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700" tabRatio="822" firstSheet="2" activeTab="11"/>
  </bookViews>
  <sheets>
    <sheet name="Charts" sheetId="30" r:id="rId1"/>
    <sheet name="Global Summary" sheetId="17" r:id="rId2"/>
    <sheet name="USA Summary_Sales" sheetId="24" r:id="rId3"/>
    <sheet name="GLOBAL&gt;&gt;" sheetId="8" r:id="rId4"/>
    <sheet name="VICE_Global" sheetId="6" r:id="rId5"/>
    <sheet name="Noisey_Global" sheetId="1" r:id="rId6"/>
    <sheet name="News_Global" sheetId="7" r:id="rId7"/>
    <sheet name="Motherboard_Global" sheetId="5" r:id="rId8"/>
    <sheet name="Munchies_Global" sheetId="28" r:id="rId9"/>
    <sheet name="Thump_Global" sheetId="2" r:id="rId10"/>
    <sheet name="Fightland_Global" sheetId="25" r:id="rId11"/>
    <sheet name="TCP_Global" sheetId="4" r:id="rId12"/>
    <sheet name="iD_Global" sheetId="27" r:id="rId13"/>
    <sheet name="USA&gt;&gt;" sheetId="16" r:id="rId14"/>
    <sheet name="VICE_USA" sheetId="9" r:id="rId15"/>
    <sheet name="Noisey_USA" sheetId="19" r:id="rId16"/>
    <sheet name="News_USA" sheetId="26" r:id="rId17"/>
    <sheet name="Motherboard_USA" sheetId="20" r:id="rId18"/>
    <sheet name="Munchies_USA" sheetId="29" r:id="rId19"/>
    <sheet name="Thump_USA" sheetId="23" r:id="rId20"/>
    <sheet name="Fightland_USA" sheetId="21" r:id="rId21"/>
    <sheet name="TCP_USA" sheetId="12" r:id="rId22"/>
    <sheet name="iD_USA" sheetId="22" r:id="rId23"/>
  </sheets>
  <externalReferences>
    <externalReference r:id="rId24"/>
    <externalReference r:id="rId25"/>
  </externalReferences>
  <definedNames>
    <definedName name="_xlnm._FilterDatabase" localSheetId="4" hidden="1">VICE_Global!$B$40:$N$50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7" l="1"/>
  <c r="G7" i="17"/>
  <c r="G8" i="17"/>
  <c r="G9" i="17"/>
  <c r="G10" i="17"/>
  <c r="G11" i="17"/>
  <c r="G12" i="17"/>
  <c r="G13" i="17"/>
  <c r="G14" i="17"/>
  <c r="G15" i="17"/>
  <c r="F6" i="17"/>
  <c r="F7" i="17"/>
  <c r="F8" i="17"/>
  <c r="F9" i="17"/>
  <c r="F10" i="17"/>
  <c r="F11" i="17"/>
  <c r="F12" i="17"/>
  <c r="F13" i="17"/>
  <c r="F14" i="17"/>
  <c r="F15" i="17"/>
  <c r="G17" i="17"/>
  <c r="E6" i="17"/>
  <c r="E7" i="17"/>
  <c r="E8" i="17"/>
  <c r="E9" i="17"/>
  <c r="E10" i="17"/>
  <c r="E11" i="17"/>
  <c r="E12" i="17"/>
  <c r="E13" i="17"/>
  <c r="E14" i="17"/>
  <c r="E15" i="17"/>
  <c r="F17" i="17"/>
  <c r="D6" i="17"/>
  <c r="D7" i="17"/>
  <c r="D8" i="17"/>
  <c r="D9" i="17"/>
  <c r="D10" i="17"/>
  <c r="D11" i="17"/>
  <c r="D12" i="17"/>
  <c r="D13" i="17"/>
  <c r="D14" i="17"/>
  <c r="D15" i="17"/>
  <c r="E17" i="17"/>
  <c r="C6" i="17"/>
  <c r="C7" i="17"/>
  <c r="C8" i="17"/>
  <c r="C9" i="17"/>
  <c r="C10" i="17"/>
  <c r="C11" i="17"/>
  <c r="C12" i="17"/>
  <c r="C13" i="17"/>
  <c r="C14" i="17"/>
  <c r="C15" i="17"/>
  <c r="D17" i="17"/>
  <c r="G6" i="24"/>
  <c r="G7" i="24"/>
  <c r="G8" i="24"/>
  <c r="G9" i="24"/>
  <c r="G10" i="24"/>
  <c r="G11" i="24"/>
  <c r="G12" i="24"/>
  <c r="G13" i="24"/>
  <c r="G14" i="24"/>
  <c r="G15" i="24"/>
  <c r="F6" i="24"/>
  <c r="F7" i="24"/>
  <c r="F8" i="24"/>
  <c r="F9" i="24"/>
  <c r="F10" i="24"/>
  <c r="F11" i="24"/>
  <c r="F12" i="24"/>
  <c r="F13" i="24"/>
  <c r="F14" i="24"/>
  <c r="F15" i="24"/>
  <c r="G16" i="24"/>
  <c r="E6" i="24"/>
  <c r="E7" i="24"/>
  <c r="E8" i="24"/>
  <c r="E9" i="24"/>
  <c r="E11" i="24"/>
  <c r="E12" i="24"/>
  <c r="E13" i="24"/>
  <c r="E14" i="24"/>
  <c r="E15" i="24"/>
  <c r="F16" i="24"/>
  <c r="D6" i="24"/>
  <c r="D7" i="24"/>
  <c r="D8" i="24"/>
  <c r="D11" i="24"/>
  <c r="D12" i="24"/>
  <c r="D13" i="24"/>
  <c r="D14" i="24"/>
  <c r="D15" i="24"/>
  <c r="E16" i="24"/>
  <c r="C6" i="24"/>
  <c r="C7" i="24"/>
  <c r="C8" i="24"/>
  <c r="C11" i="24"/>
  <c r="C12" i="24"/>
  <c r="C13" i="24"/>
  <c r="C14" i="24"/>
  <c r="C15" i="24"/>
  <c r="D16" i="24"/>
  <c r="G292" i="30"/>
  <c r="F292" i="30"/>
  <c r="E292" i="30"/>
  <c r="D292" i="30"/>
  <c r="C292" i="30"/>
  <c r="G291" i="30"/>
  <c r="F291" i="30"/>
  <c r="E291" i="30"/>
  <c r="D291" i="30"/>
  <c r="C291" i="30"/>
  <c r="G24" i="27"/>
  <c r="G287" i="30"/>
  <c r="F24" i="27"/>
  <c r="F287" i="30"/>
  <c r="E24" i="27"/>
  <c r="E287" i="30"/>
  <c r="D24" i="27"/>
  <c r="D287" i="30"/>
  <c r="C24" i="27"/>
  <c r="C287" i="30"/>
  <c r="G286" i="30"/>
  <c r="F286" i="30"/>
  <c r="E286" i="30"/>
  <c r="D286" i="30"/>
  <c r="C286" i="30"/>
  <c r="C283" i="30"/>
  <c r="G283" i="30"/>
  <c r="F283" i="30"/>
  <c r="E283" i="30"/>
  <c r="D283" i="30"/>
  <c r="G281" i="30"/>
  <c r="F281" i="30"/>
  <c r="E281" i="30"/>
  <c r="D281" i="30"/>
  <c r="C281" i="30"/>
  <c r="G282" i="30"/>
  <c r="Q281" i="30"/>
  <c r="Q282" i="30"/>
  <c r="H282" i="30"/>
  <c r="I282" i="30"/>
  <c r="J282" i="30"/>
  <c r="K282" i="30"/>
  <c r="L282" i="30"/>
  <c r="M282" i="30"/>
  <c r="C288" i="30"/>
  <c r="D288" i="30"/>
  <c r="E288" i="30"/>
  <c r="F288" i="30"/>
  <c r="G288" i="30"/>
  <c r="G258" i="30"/>
  <c r="F258" i="30"/>
  <c r="E258" i="30"/>
  <c r="D258" i="30"/>
  <c r="C258" i="30"/>
  <c r="G257" i="30"/>
  <c r="F257" i="30"/>
  <c r="E257" i="30"/>
  <c r="D257" i="30"/>
  <c r="C257" i="30"/>
  <c r="G24" i="4"/>
  <c r="G253" i="30"/>
  <c r="F24" i="4"/>
  <c r="F253" i="30"/>
  <c r="E24" i="4"/>
  <c r="E253" i="30"/>
  <c r="D24" i="4"/>
  <c r="D253" i="30"/>
  <c r="C24" i="4"/>
  <c r="C253" i="30"/>
  <c r="G252" i="30"/>
  <c r="F252" i="30"/>
  <c r="E252" i="30"/>
  <c r="D252" i="30"/>
  <c r="C252" i="30"/>
  <c r="G249" i="30"/>
  <c r="F249" i="30"/>
  <c r="E249" i="30"/>
  <c r="D249" i="30"/>
  <c r="C249" i="30"/>
  <c r="G247" i="30"/>
  <c r="F247" i="30"/>
  <c r="E247" i="30"/>
  <c r="D247" i="30"/>
  <c r="C247" i="30"/>
  <c r="G248" i="30"/>
  <c r="Q247" i="30"/>
  <c r="Q248" i="30"/>
  <c r="H248" i="30"/>
  <c r="I248" i="30"/>
  <c r="J248" i="30"/>
  <c r="K248" i="30"/>
  <c r="L248" i="30"/>
  <c r="M248" i="30"/>
  <c r="C254" i="30"/>
  <c r="D254" i="30"/>
  <c r="E254" i="30"/>
  <c r="F254" i="30"/>
  <c r="G254" i="30"/>
  <c r="G223" i="30"/>
  <c r="F223" i="30"/>
  <c r="E223" i="30"/>
  <c r="D223" i="30"/>
  <c r="C223" i="30"/>
  <c r="G222" i="30"/>
  <c r="F222" i="30"/>
  <c r="E222" i="30"/>
  <c r="D222" i="30"/>
  <c r="C222" i="30"/>
  <c r="G217" i="30"/>
  <c r="F217" i="30"/>
  <c r="E217" i="30"/>
  <c r="D217" i="30"/>
  <c r="C217" i="30"/>
  <c r="C214" i="30"/>
  <c r="G214" i="30"/>
  <c r="F214" i="30"/>
  <c r="E214" i="30"/>
  <c r="D214" i="30"/>
  <c r="G212" i="30"/>
  <c r="F212" i="30"/>
  <c r="E212" i="30"/>
  <c r="D212" i="30"/>
  <c r="C212" i="30"/>
  <c r="G213" i="30"/>
  <c r="Q212" i="30"/>
  <c r="Q213" i="30"/>
  <c r="H213" i="30"/>
  <c r="I213" i="30"/>
  <c r="J213" i="30"/>
  <c r="K213" i="30"/>
  <c r="L213" i="30"/>
  <c r="M213" i="30"/>
  <c r="G188" i="30"/>
  <c r="F188" i="30"/>
  <c r="E188" i="30"/>
  <c r="D188" i="30"/>
  <c r="C188" i="30"/>
  <c r="G187" i="30"/>
  <c r="F187" i="30"/>
  <c r="E187" i="30"/>
  <c r="D187" i="30"/>
  <c r="C187" i="30"/>
  <c r="G182" i="30"/>
  <c r="F182" i="30"/>
  <c r="E182" i="30"/>
  <c r="D182" i="30"/>
  <c r="C182" i="30"/>
  <c r="C179" i="30"/>
  <c r="G179" i="30"/>
  <c r="F179" i="30"/>
  <c r="E179" i="30"/>
  <c r="D179" i="30"/>
  <c r="G177" i="30"/>
  <c r="F177" i="30"/>
  <c r="E177" i="30"/>
  <c r="D177" i="30"/>
  <c r="C177" i="30"/>
  <c r="G178" i="30"/>
  <c r="Q178" i="30"/>
  <c r="H178" i="30"/>
  <c r="I178" i="30"/>
  <c r="J178" i="30"/>
  <c r="K178" i="30"/>
  <c r="L178" i="30"/>
  <c r="M178" i="30"/>
  <c r="Q177" i="30"/>
  <c r="G152" i="30"/>
  <c r="F152" i="30"/>
  <c r="E152" i="30"/>
  <c r="D152" i="30"/>
  <c r="C152" i="30"/>
  <c r="G148" i="30"/>
  <c r="F148" i="30"/>
  <c r="E148" i="30"/>
  <c r="D148" i="30"/>
  <c r="C148" i="30"/>
  <c r="G147" i="30"/>
  <c r="F147" i="30"/>
  <c r="E147" i="30"/>
  <c r="D147" i="30"/>
  <c r="C147" i="30"/>
  <c r="C144" i="30"/>
  <c r="G144" i="30"/>
  <c r="F144" i="30"/>
  <c r="E144" i="30"/>
  <c r="D144" i="30"/>
  <c r="G142" i="30"/>
  <c r="F142" i="30"/>
  <c r="E142" i="30"/>
  <c r="D142" i="30"/>
  <c r="C142" i="30"/>
  <c r="G143" i="30"/>
  <c r="Q142" i="30"/>
  <c r="Q143" i="30"/>
  <c r="H143" i="30"/>
  <c r="I143" i="30"/>
  <c r="J143" i="30"/>
  <c r="K143" i="30"/>
  <c r="L143" i="30"/>
  <c r="M143" i="30"/>
  <c r="C149" i="30"/>
  <c r="D149" i="30"/>
  <c r="E149" i="30"/>
  <c r="F149" i="30"/>
  <c r="G149" i="30"/>
  <c r="C153" i="30"/>
  <c r="D153" i="30"/>
  <c r="E153" i="30"/>
  <c r="F153" i="30"/>
  <c r="G153" i="30"/>
  <c r="C108" i="30"/>
  <c r="D108" i="30"/>
  <c r="E108" i="30"/>
  <c r="F108" i="30"/>
  <c r="G108" i="30"/>
  <c r="C110" i="30"/>
  <c r="G110" i="30"/>
  <c r="F110" i="30"/>
  <c r="E110" i="30"/>
  <c r="D110" i="30"/>
  <c r="G109" i="30"/>
  <c r="Q109" i="30"/>
  <c r="H109" i="30"/>
  <c r="I109" i="30"/>
  <c r="J109" i="30"/>
  <c r="K109" i="30"/>
  <c r="L109" i="30"/>
  <c r="M109" i="30"/>
  <c r="G74" i="30"/>
  <c r="G75" i="30"/>
  <c r="Q75" i="30"/>
  <c r="H75" i="30"/>
  <c r="I75" i="30"/>
  <c r="J75" i="30"/>
  <c r="K75" i="30"/>
  <c r="L75" i="30"/>
  <c r="M75" i="30"/>
  <c r="G40" i="30"/>
  <c r="G41" i="30"/>
  <c r="Q41" i="30"/>
  <c r="H41" i="30"/>
  <c r="I41" i="30"/>
  <c r="J41" i="30"/>
  <c r="K41" i="30"/>
  <c r="L41" i="30"/>
  <c r="M41" i="30"/>
  <c r="G119" i="30"/>
  <c r="F119" i="30"/>
  <c r="E119" i="30"/>
  <c r="D119" i="30"/>
  <c r="C119" i="30"/>
  <c r="G118" i="30"/>
  <c r="F118" i="30"/>
  <c r="E118" i="30"/>
  <c r="D118" i="30"/>
  <c r="C118" i="30"/>
  <c r="D114" i="30"/>
  <c r="G113" i="30"/>
  <c r="F113" i="30"/>
  <c r="E113" i="30"/>
  <c r="D113" i="30"/>
  <c r="C114" i="30"/>
  <c r="C113" i="30"/>
  <c r="D115" i="30"/>
  <c r="C115" i="30"/>
  <c r="G7" i="30"/>
  <c r="G8" i="30"/>
  <c r="Q8" i="30"/>
  <c r="Q108" i="30"/>
  <c r="G85" i="30"/>
  <c r="F85" i="30"/>
  <c r="E85" i="30"/>
  <c r="D85" i="30"/>
  <c r="C85" i="30"/>
  <c r="G84" i="30"/>
  <c r="F84" i="30"/>
  <c r="E84" i="30"/>
  <c r="D84" i="30"/>
  <c r="C84" i="30"/>
  <c r="G79" i="30"/>
  <c r="F79" i="30"/>
  <c r="E79" i="30"/>
  <c r="D79" i="30"/>
  <c r="C79" i="30"/>
  <c r="C76" i="30"/>
  <c r="G76" i="30"/>
  <c r="F76" i="30"/>
  <c r="E76" i="30"/>
  <c r="D76" i="30"/>
  <c r="F74" i="30"/>
  <c r="E74" i="30"/>
  <c r="D74" i="30"/>
  <c r="C74" i="30"/>
  <c r="Q74" i="30"/>
  <c r="G51" i="30"/>
  <c r="F51" i="30"/>
  <c r="E51" i="30"/>
  <c r="D51" i="30"/>
  <c r="C51" i="30"/>
  <c r="G50" i="30"/>
  <c r="F50" i="30"/>
  <c r="E50" i="30"/>
  <c r="D50" i="30"/>
  <c r="C50" i="30"/>
  <c r="G45" i="30"/>
  <c r="F45" i="30"/>
  <c r="E45" i="30"/>
  <c r="D45" i="30"/>
  <c r="C45" i="30"/>
  <c r="C42" i="30"/>
  <c r="G42" i="30"/>
  <c r="F42" i="30"/>
  <c r="E42" i="30"/>
  <c r="D42" i="30"/>
  <c r="Q40" i="30"/>
  <c r="F40" i="30"/>
  <c r="E40" i="30"/>
  <c r="D40" i="30"/>
  <c r="C40" i="30"/>
  <c r="G18" i="30"/>
  <c r="F18" i="30"/>
  <c r="E18" i="30"/>
  <c r="D18" i="30"/>
  <c r="G17" i="30"/>
  <c r="F17" i="30"/>
  <c r="E17" i="30"/>
  <c r="D17" i="30"/>
  <c r="C18" i="30"/>
  <c r="C17" i="30"/>
  <c r="C12" i="30"/>
  <c r="D12" i="30"/>
  <c r="E12" i="30"/>
  <c r="F12" i="30"/>
  <c r="G12" i="30"/>
  <c r="Q7" i="30"/>
  <c r="C9" i="30"/>
  <c r="G9" i="30"/>
  <c r="F9" i="30"/>
  <c r="E9" i="30"/>
  <c r="D9" i="30"/>
  <c r="F7" i="30"/>
  <c r="E7" i="30"/>
  <c r="D7" i="30"/>
  <c r="C7" i="30"/>
  <c r="H8" i="30"/>
  <c r="I8" i="30"/>
  <c r="J8" i="30"/>
  <c r="K8" i="30"/>
  <c r="L8" i="30"/>
  <c r="M8" i="30"/>
  <c r="C24" i="25"/>
  <c r="C218" i="30"/>
  <c r="C219" i="30"/>
  <c r="D24" i="25"/>
  <c r="D218" i="30"/>
  <c r="D219" i="30"/>
  <c r="E24" i="25"/>
  <c r="E218" i="30"/>
  <c r="E219" i="30"/>
  <c r="F24" i="25"/>
  <c r="F218" i="30"/>
  <c r="F219" i="30"/>
  <c r="G24" i="25"/>
  <c r="G218" i="30"/>
  <c r="G219" i="30"/>
  <c r="G24" i="2"/>
  <c r="G183" i="30"/>
  <c r="G184" i="30"/>
  <c r="F24" i="2"/>
  <c r="F183" i="30"/>
  <c r="F184" i="30"/>
  <c r="E24" i="2"/>
  <c r="E183" i="30"/>
  <c r="E184" i="30"/>
  <c r="D24" i="2"/>
  <c r="D183" i="30"/>
  <c r="D184" i="30"/>
  <c r="C24" i="2"/>
  <c r="C183" i="30"/>
  <c r="C184" i="30"/>
  <c r="G24" i="7"/>
  <c r="G114" i="30"/>
  <c r="G115" i="30"/>
  <c r="F24" i="7"/>
  <c r="F114" i="30"/>
  <c r="F115" i="30"/>
  <c r="E24" i="7"/>
  <c r="E114" i="30"/>
  <c r="E115" i="30"/>
  <c r="G24" i="5"/>
  <c r="G80" i="30"/>
  <c r="G81" i="30"/>
  <c r="F24" i="5"/>
  <c r="F80" i="30"/>
  <c r="F81" i="30"/>
  <c r="E24" i="5"/>
  <c r="E80" i="30"/>
  <c r="E81" i="30"/>
  <c r="D24" i="5"/>
  <c r="D80" i="30"/>
  <c r="D81" i="30"/>
  <c r="C24" i="5"/>
  <c r="C80" i="30"/>
  <c r="C81" i="30"/>
  <c r="G24" i="1"/>
  <c r="G46" i="30"/>
  <c r="G47" i="30"/>
  <c r="F24" i="1"/>
  <c r="F46" i="30"/>
  <c r="F47" i="30"/>
  <c r="E24" i="1"/>
  <c r="E46" i="30"/>
  <c r="E47" i="30"/>
  <c r="D24" i="1"/>
  <c r="D46" i="30"/>
  <c r="D47" i="30"/>
  <c r="C24" i="1"/>
  <c r="C46" i="30"/>
  <c r="C47" i="30"/>
  <c r="C24" i="6"/>
  <c r="C13" i="30"/>
  <c r="C14" i="30"/>
  <c r="D24" i="6"/>
  <c r="D13" i="30"/>
  <c r="D14" i="30"/>
  <c r="E24" i="6"/>
  <c r="E13" i="30"/>
  <c r="E14" i="30"/>
  <c r="F24" i="6"/>
  <c r="F13" i="30"/>
  <c r="F14" i="30"/>
  <c r="G24" i="6"/>
  <c r="G13" i="30"/>
  <c r="G14" i="30"/>
  <c r="G56" i="25"/>
  <c r="G50" i="25"/>
  <c r="G37" i="25"/>
  <c r="G35" i="25"/>
  <c r="G8" i="25"/>
  <c r="N7" i="25"/>
  <c r="G7" i="25"/>
  <c r="F50" i="25"/>
  <c r="F56" i="25"/>
  <c r="F35" i="25"/>
  <c r="F37" i="25"/>
  <c r="G9" i="25"/>
  <c r="F9" i="25"/>
  <c r="G11" i="25"/>
  <c r="F11" i="25"/>
  <c r="G12" i="25"/>
  <c r="F12" i="25"/>
  <c r="E50" i="25"/>
  <c r="E56" i="25"/>
  <c r="E37" i="25"/>
  <c r="E35" i="25"/>
  <c r="D56" i="25"/>
  <c r="C56" i="25"/>
  <c r="D50" i="25"/>
  <c r="C50" i="25"/>
  <c r="D37" i="25"/>
  <c r="C37" i="25"/>
  <c r="D35" i="25"/>
  <c r="C35" i="25"/>
  <c r="N24" i="25"/>
  <c r="M24" i="25"/>
  <c r="L24" i="25"/>
  <c r="K24" i="25"/>
  <c r="J24" i="25"/>
  <c r="I24" i="25"/>
  <c r="H24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N12" i="25"/>
  <c r="M12" i="25"/>
  <c r="L12" i="25"/>
  <c r="K12" i="25"/>
  <c r="J12" i="25"/>
  <c r="I12" i="25"/>
  <c r="H12" i="25"/>
  <c r="E12" i="25"/>
  <c r="D12" i="25"/>
  <c r="C12" i="25"/>
  <c r="N11" i="25"/>
  <c r="M11" i="25"/>
  <c r="L11" i="25"/>
  <c r="K11" i="25"/>
  <c r="J11" i="25"/>
  <c r="I11" i="25"/>
  <c r="H11" i="25"/>
  <c r="E11" i="25"/>
  <c r="D11" i="25"/>
  <c r="C1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N9" i="25"/>
  <c r="M9" i="25"/>
  <c r="L9" i="25"/>
  <c r="K9" i="25"/>
  <c r="J9" i="25"/>
  <c r="I9" i="25"/>
  <c r="H9" i="25"/>
  <c r="E9" i="25"/>
  <c r="D9" i="25"/>
  <c r="C9" i="25"/>
  <c r="N8" i="25"/>
  <c r="M8" i="25"/>
  <c r="L8" i="25"/>
  <c r="K8" i="25"/>
  <c r="J8" i="25"/>
  <c r="I8" i="25"/>
  <c r="H8" i="25"/>
  <c r="F8" i="25"/>
  <c r="E8" i="25"/>
  <c r="D8" i="25"/>
  <c r="C8" i="25"/>
  <c r="M7" i="25"/>
  <c r="L7" i="25"/>
  <c r="K7" i="25"/>
  <c r="J7" i="25"/>
  <c r="I7" i="25"/>
  <c r="H7" i="25"/>
  <c r="F7" i="25"/>
  <c r="E7" i="25"/>
  <c r="D7" i="25"/>
  <c r="C7" i="25"/>
  <c r="S55" i="21"/>
  <c r="S57" i="21"/>
  <c r="S38" i="21"/>
  <c r="S36" i="21"/>
  <c r="S51" i="21"/>
  <c r="S25" i="21"/>
  <c r="S24" i="21"/>
  <c r="O51" i="21"/>
  <c r="O55" i="21"/>
  <c r="O57" i="21"/>
  <c r="O39" i="21"/>
  <c r="O38" i="21"/>
  <c r="O37" i="21"/>
  <c r="O36" i="21"/>
  <c r="O25" i="21"/>
  <c r="O24" i="21"/>
  <c r="K43" i="21"/>
  <c r="K51" i="21"/>
  <c r="K55" i="21"/>
  <c r="K57" i="21"/>
  <c r="K39" i="21"/>
  <c r="K38" i="21"/>
  <c r="K37" i="21"/>
  <c r="K36" i="21"/>
  <c r="K25" i="21"/>
  <c r="K24" i="21"/>
  <c r="G55" i="21"/>
  <c r="C55" i="21"/>
  <c r="G57" i="21"/>
  <c r="G51" i="21"/>
  <c r="G36" i="21"/>
  <c r="G25" i="21"/>
  <c r="G24" i="21"/>
  <c r="C57" i="21"/>
  <c r="C51" i="21"/>
  <c r="C38" i="21"/>
  <c r="C36" i="21"/>
  <c r="C25" i="21"/>
  <c r="C24" i="21"/>
  <c r="AW54" i="21"/>
  <c r="AS54" i="21"/>
  <c r="AO54" i="21"/>
  <c r="AK54" i="21"/>
  <c r="AG54" i="21"/>
  <c r="AC54" i="21"/>
  <c r="Y54" i="21"/>
  <c r="U54" i="21"/>
  <c r="Q54" i="21"/>
  <c r="M54" i="21"/>
  <c r="I54" i="21"/>
  <c r="E54" i="21"/>
  <c r="AW30" i="21"/>
  <c r="AS30" i="21"/>
  <c r="AO30" i="21"/>
  <c r="AK30" i="21"/>
  <c r="AG30" i="21"/>
  <c r="AC30" i="21"/>
  <c r="Y30" i="21"/>
  <c r="U30" i="21"/>
  <c r="Q30" i="21"/>
  <c r="M30" i="21"/>
  <c r="I30" i="21"/>
  <c r="E30" i="21"/>
  <c r="AW29" i="21"/>
  <c r="AS29" i="21"/>
  <c r="AO29" i="21"/>
  <c r="AK29" i="21"/>
  <c r="AG29" i="21"/>
  <c r="AC29" i="21"/>
  <c r="Y29" i="21"/>
  <c r="U29" i="21"/>
  <c r="Q29" i="21"/>
  <c r="M29" i="21"/>
  <c r="I29" i="21"/>
  <c r="E29" i="21"/>
  <c r="AW25" i="21"/>
  <c r="AS25" i="21"/>
  <c r="AO25" i="21"/>
  <c r="AK25" i="21"/>
  <c r="AG25" i="21"/>
  <c r="AC25" i="21"/>
  <c r="Y25" i="21"/>
  <c r="U25" i="21"/>
  <c r="Q25" i="21"/>
  <c r="M25" i="21"/>
  <c r="I25" i="21"/>
  <c r="E25" i="21"/>
  <c r="AW24" i="21"/>
  <c r="AS24" i="21"/>
  <c r="AO24" i="21"/>
  <c r="AK24" i="21"/>
  <c r="AG24" i="21"/>
  <c r="AC24" i="21"/>
  <c r="Y24" i="21"/>
  <c r="U24" i="21"/>
  <c r="Q24" i="21"/>
  <c r="M24" i="21"/>
  <c r="I24" i="21"/>
  <c r="E24" i="21"/>
  <c r="AW20" i="21"/>
  <c r="AS20" i="21"/>
  <c r="AO20" i="21"/>
  <c r="AK20" i="21"/>
  <c r="AG20" i="21"/>
  <c r="AC20" i="21"/>
  <c r="Y20" i="21"/>
  <c r="U20" i="21"/>
  <c r="Q20" i="21"/>
  <c r="M20" i="21"/>
  <c r="I20" i="21"/>
  <c r="E20" i="21"/>
  <c r="AW19" i="21"/>
  <c r="AS19" i="21"/>
  <c r="AO19" i="21"/>
  <c r="AK19" i="21"/>
  <c r="AG19" i="21"/>
  <c r="AC19" i="21"/>
  <c r="Y19" i="21"/>
  <c r="U19" i="21"/>
  <c r="Q19" i="21"/>
  <c r="M19" i="21"/>
  <c r="I19" i="21"/>
  <c r="E19" i="21"/>
  <c r="AW18" i="21"/>
  <c r="AS18" i="21"/>
  <c r="AO18" i="21"/>
  <c r="AK18" i="21"/>
  <c r="AG18" i="21"/>
  <c r="AC18" i="21"/>
  <c r="Y18" i="21"/>
  <c r="U18" i="21"/>
  <c r="Q18" i="21"/>
  <c r="M18" i="21"/>
  <c r="I18" i="21"/>
  <c r="E18" i="21"/>
  <c r="AU13" i="21"/>
  <c r="AV13" i="21"/>
  <c r="AW13" i="21"/>
  <c r="AQ13" i="21"/>
  <c r="AR13" i="21"/>
  <c r="AS13" i="21"/>
  <c r="AM13" i="21"/>
  <c r="AN13" i="21"/>
  <c r="AO13" i="21"/>
  <c r="AI13" i="21"/>
  <c r="AJ13" i="21"/>
  <c r="AK13" i="21"/>
  <c r="AE13" i="21"/>
  <c r="AF13" i="21"/>
  <c r="AG13" i="21"/>
  <c r="AA13" i="21"/>
  <c r="AB13" i="21"/>
  <c r="AC13" i="21"/>
  <c r="W13" i="21"/>
  <c r="X13" i="21"/>
  <c r="Y13" i="21"/>
  <c r="S13" i="21"/>
  <c r="T13" i="21"/>
  <c r="U13" i="21"/>
  <c r="O13" i="21"/>
  <c r="P13" i="21"/>
  <c r="Q13" i="21"/>
  <c r="K13" i="21"/>
  <c r="L13" i="21"/>
  <c r="M13" i="21"/>
  <c r="G13" i="21"/>
  <c r="H13" i="21"/>
  <c r="I13" i="21"/>
  <c r="C13" i="21"/>
  <c r="D13" i="21"/>
  <c r="E13" i="21"/>
  <c r="AU12" i="21"/>
  <c r="AQ12" i="21"/>
  <c r="AM12" i="21"/>
  <c r="AI12" i="21"/>
  <c r="AE12" i="21"/>
  <c r="AA12" i="21"/>
  <c r="W12" i="21"/>
  <c r="S12" i="21"/>
  <c r="O12" i="21"/>
  <c r="K12" i="21"/>
  <c r="G12" i="21"/>
  <c r="C12" i="21"/>
  <c r="AU11" i="21"/>
  <c r="AQ11" i="21"/>
  <c r="AM11" i="21"/>
  <c r="AI11" i="21"/>
  <c r="AE11" i="21"/>
  <c r="AA11" i="21"/>
  <c r="W11" i="21"/>
  <c r="S11" i="21"/>
  <c r="O11" i="21"/>
  <c r="K11" i="21"/>
  <c r="G11" i="21"/>
  <c r="C11" i="21"/>
  <c r="AU10" i="21"/>
  <c r="AQ10" i="21"/>
  <c r="AM10" i="21"/>
  <c r="AI10" i="21"/>
  <c r="AE10" i="21"/>
  <c r="AA10" i="21"/>
  <c r="W10" i="21"/>
  <c r="S10" i="21"/>
  <c r="O10" i="21"/>
  <c r="K10" i="21"/>
  <c r="G10" i="21"/>
  <c r="C10" i="21"/>
  <c r="AU9" i="21"/>
  <c r="AV9" i="21"/>
  <c r="AW9" i="21"/>
  <c r="AQ9" i="21"/>
  <c r="AR9" i="21"/>
  <c r="AS9" i="21"/>
  <c r="AM9" i="21"/>
  <c r="AN9" i="21"/>
  <c r="AO9" i="21"/>
  <c r="AI9" i="21"/>
  <c r="AJ9" i="21"/>
  <c r="AK9" i="21"/>
  <c r="AE9" i="21"/>
  <c r="AF9" i="21"/>
  <c r="AG9" i="21"/>
  <c r="AA9" i="21"/>
  <c r="AB9" i="21"/>
  <c r="AC9" i="21"/>
  <c r="W9" i="21"/>
  <c r="X9" i="21"/>
  <c r="Y9" i="21"/>
  <c r="S9" i="21"/>
  <c r="T9" i="21"/>
  <c r="U9" i="21"/>
  <c r="O9" i="21"/>
  <c r="P9" i="21"/>
  <c r="Q9" i="21"/>
  <c r="K9" i="21"/>
  <c r="L9" i="21"/>
  <c r="M9" i="21"/>
  <c r="G9" i="21"/>
  <c r="H9" i="21"/>
  <c r="I9" i="21"/>
  <c r="C9" i="21"/>
  <c r="D9" i="21"/>
  <c r="E9" i="21"/>
  <c r="AU8" i="21"/>
  <c r="AV8" i="21"/>
  <c r="AW8" i="21"/>
  <c r="AQ8" i="21"/>
  <c r="AR8" i="21"/>
  <c r="AS8" i="21"/>
  <c r="AM8" i="21"/>
  <c r="AN8" i="21"/>
  <c r="AO8" i="21"/>
  <c r="AI8" i="21"/>
  <c r="AJ8" i="21"/>
  <c r="AK8" i="21"/>
  <c r="AE8" i="21"/>
  <c r="AF8" i="21"/>
  <c r="AG8" i="21"/>
  <c r="AA8" i="21"/>
  <c r="AB8" i="21"/>
  <c r="AC8" i="21"/>
  <c r="W8" i="21"/>
  <c r="X8" i="21"/>
  <c r="Y8" i="21"/>
  <c r="S8" i="21"/>
  <c r="T8" i="21"/>
  <c r="U8" i="21"/>
  <c r="O8" i="21"/>
  <c r="P8" i="21"/>
  <c r="Q8" i="21"/>
  <c r="K8" i="21"/>
  <c r="L8" i="21"/>
  <c r="M8" i="21"/>
  <c r="G8" i="21"/>
  <c r="H8" i="21"/>
  <c r="I8" i="21"/>
  <c r="C8" i="21"/>
  <c r="D8" i="21"/>
  <c r="E8" i="21"/>
  <c r="G4" i="21"/>
  <c r="K4" i="21"/>
  <c r="O4" i="21"/>
  <c r="S4" i="21"/>
  <c r="W4" i="21"/>
  <c r="AA4" i="21"/>
  <c r="AE4" i="21"/>
  <c r="AI4" i="21"/>
  <c r="AM4" i="21"/>
  <c r="AQ4" i="21"/>
  <c r="AU4" i="21"/>
  <c r="G172" i="17"/>
  <c r="G173" i="17"/>
  <c r="G174" i="17"/>
  <c r="G175" i="17"/>
  <c r="G176" i="17"/>
  <c r="G177" i="17"/>
  <c r="G178" i="17"/>
  <c r="G179" i="17"/>
  <c r="G180" i="17"/>
  <c r="G181" i="17"/>
  <c r="G150" i="17"/>
  <c r="G151" i="17"/>
  <c r="G152" i="17"/>
  <c r="G153" i="17"/>
  <c r="G154" i="17"/>
  <c r="G155" i="17"/>
  <c r="G156" i="17"/>
  <c r="G157" i="17"/>
  <c r="G158" i="17"/>
  <c r="G159" i="17"/>
  <c r="G141" i="17"/>
  <c r="G139" i="17"/>
  <c r="G140" i="17"/>
  <c r="G142" i="17"/>
  <c r="G143" i="17"/>
  <c r="G144" i="17"/>
  <c r="G145" i="17"/>
  <c r="G146" i="17"/>
  <c r="G147" i="17"/>
  <c r="G148" i="17"/>
  <c r="G128" i="17"/>
  <c r="G129" i="17"/>
  <c r="G130" i="17"/>
  <c r="G131" i="17"/>
  <c r="G132" i="17"/>
  <c r="G133" i="17"/>
  <c r="G134" i="17"/>
  <c r="G135" i="17"/>
  <c r="G136" i="17"/>
  <c r="G137" i="17"/>
  <c r="N180" i="17"/>
  <c r="M180" i="17"/>
  <c r="L180" i="17"/>
  <c r="K180" i="17"/>
  <c r="J180" i="17"/>
  <c r="I180" i="17"/>
  <c r="H180" i="17"/>
  <c r="F180" i="17"/>
  <c r="E180" i="17"/>
  <c r="D180" i="17"/>
  <c r="N179" i="17"/>
  <c r="M179" i="17"/>
  <c r="L179" i="17"/>
  <c r="K179" i="17"/>
  <c r="J179" i="17"/>
  <c r="I179" i="17"/>
  <c r="H179" i="17"/>
  <c r="F179" i="17"/>
  <c r="E179" i="17"/>
  <c r="D179" i="17"/>
  <c r="N178" i="17"/>
  <c r="M178" i="17"/>
  <c r="L178" i="17"/>
  <c r="K178" i="17"/>
  <c r="J178" i="17"/>
  <c r="I178" i="17"/>
  <c r="H178" i="17"/>
  <c r="F178" i="17"/>
  <c r="E178" i="17"/>
  <c r="D178" i="17"/>
  <c r="N177" i="17"/>
  <c r="M177" i="17"/>
  <c r="L177" i="17"/>
  <c r="K177" i="17"/>
  <c r="J177" i="17"/>
  <c r="I177" i="17"/>
  <c r="H177" i="17"/>
  <c r="F177" i="17"/>
  <c r="E177" i="17"/>
  <c r="D177" i="17"/>
  <c r="N176" i="17"/>
  <c r="M176" i="17"/>
  <c r="L176" i="17"/>
  <c r="K176" i="17"/>
  <c r="J176" i="17"/>
  <c r="I176" i="17"/>
  <c r="H176" i="17"/>
  <c r="F176" i="17"/>
  <c r="E176" i="17"/>
  <c r="D176" i="17"/>
  <c r="N175" i="17"/>
  <c r="M175" i="17"/>
  <c r="L175" i="17"/>
  <c r="K175" i="17"/>
  <c r="J175" i="17"/>
  <c r="I175" i="17"/>
  <c r="H175" i="17"/>
  <c r="F175" i="17"/>
  <c r="E175" i="17"/>
  <c r="D175" i="17"/>
  <c r="N174" i="17"/>
  <c r="M174" i="17"/>
  <c r="L174" i="17"/>
  <c r="K174" i="17"/>
  <c r="J174" i="17"/>
  <c r="I174" i="17"/>
  <c r="H174" i="17"/>
  <c r="F174" i="17"/>
  <c r="E174" i="17"/>
  <c r="D174" i="17"/>
  <c r="N173" i="17"/>
  <c r="M173" i="17"/>
  <c r="L173" i="17"/>
  <c r="K173" i="17"/>
  <c r="J173" i="17"/>
  <c r="I173" i="17"/>
  <c r="H173" i="17"/>
  <c r="F173" i="17"/>
  <c r="E173" i="17"/>
  <c r="D173" i="17"/>
  <c r="N172" i="17"/>
  <c r="M172" i="17"/>
  <c r="L172" i="17"/>
  <c r="K172" i="17"/>
  <c r="J172" i="17"/>
  <c r="I172" i="17"/>
  <c r="H172" i="17"/>
  <c r="F172" i="17"/>
  <c r="E172" i="17"/>
  <c r="D172" i="17"/>
  <c r="C180" i="17"/>
  <c r="C179" i="17"/>
  <c r="C178" i="17"/>
  <c r="C177" i="17"/>
  <c r="C176" i="17"/>
  <c r="C175" i="17"/>
  <c r="C174" i="17"/>
  <c r="C173" i="17"/>
  <c r="C172" i="17"/>
  <c r="N169" i="17"/>
  <c r="M169" i="17"/>
  <c r="L169" i="17"/>
  <c r="K169" i="17"/>
  <c r="J169" i="17"/>
  <c r="I169" i="17"/>
  <c r="H169" i="17"/>
  <c r="N168" i="17"/>
  <c r="M168" i="17"/>
  <c r="L168" i="17"/>
  <c r="K168" i="17"/>
  <c r="J168" i="17"/>
  <c r="I168" i="17"/>
  <c r="H168" i="17"/>
  <c r="N167" i="17"/>
  <c r="M167" i="17"/>
  <c r="L167" i="17"/>
  <c r="K167" i="17"/>
  <c r="J167" i="17"/>
  <c r="I167" i="17"/>
  <c r="H167" i="17"/>
  <c r="G167" i="17"/>
  <c r="F167" i="17"/>
  <c r="E167" i="17"/>
  <c r="D167" i="17"/>
  <c r="N166" i="17"/>
  <c r="M166" i="17"/>
  <c r="L166" i="17"/>
  <c r="K166" i="17"/>
  <c r="J166" i="17"/>
  <c r="I166" i="17"/>
  <c r="H166" i="17"/>
  <c r="N165" i="17"/>
  <c r="M165" i="17"/>
  <c r="L165" i="17"/>
  <c r="K165" i="17"/>
  <c r="J165" i="17"/>
  <c r="I165" i="17"/>
  <c r="H165" i="17"/>
  <c r="E165" i="17"/>
  <c r="D165" i="17"/>
  <c r="N164" i="17"/>
  <c r="M164" i="17"/>
  <c r="L164" i="17"/>
  <c r="K164" i="17"/>
  <c r="J164" i="17"/>
  <c r="I164" i="17"/>
  <c r="H164" i="17"/>
  <c r="D164" i="17"/>
  <c r="N163" i="17"/>
  <c r="M163" i="17"/>
  <c r="L163" i="17"/>
  <c r="K163" i="17"/>
  <c r="J163" i="17"/>
  <c r="I163" i="17"/>
  <c r="H163" i="17"/>
  <c r="N162" i="17"/>
  <c r="M162" i="17"/>
  <c r="L162" i="17"/>
  <c r="K162" i="17"/>
  <c r="J162" i="17"/>
  <c r="I162" i="17"/>
  <c r="H162" i="17"/>
  <c r="C167" i="17"/>
  <c r="C165" i="17"/>
  <c r="C164" i="17"/>
  <c r="N158" i="17"/>
  <c r="M158" i="17"/>
  <c r="L158" i="17"/>
  <c r="K158" i="17"/>
  <c r="J158" i="17"/>
  <c r="I158" i="17"/>
  <c r="H158" i="17"/>
  <c r="F158" i="17"/>
  <c r="E158" i="17"/>
  <c r="D158" i="17"/>
  <c r="N157" i="17"/>
  <c r="M157" i="17"/>
  <c r="L157" i="17"/>
  <c r="K157" i="17"/>
  <c r="J157" i="17"/>
  <c r="I157" i="17"/>
  <c r="H157" i="17"/>
  <c r="F157" i="17"/>
  <c r="E157" i="17"/>
  <c r="D157" i="17"/>
  <c r="N156" i="17"/>
  <c r="M156" i="17"/>
  <c r="L156" i="17"/>
  <c r="K156" i="17"/>
  <c r="J156" i="17"/>
  <c r="I156" i="17"/>
  <c r="H156" i="17"/>
  <c r="F156" i="17"/>
  <c r="E156" i="17"/>
  <c r="D156" i="17"/>
  <c r="N155" i="17"/>
  <c r="M155" i="17"/>
  <c r="L155" i="17"/>
  <c r="K155" i="17"/>
  <c r="J155" i="17"/>
  <c r="I155" i="17"/>
  <c r="H155" i="17"/>
  <c r="F155" i="17"/>
  <c r="E155" i="17"/>
  <c r="D155" i="17"/>
  <c r="N154" i="17"/>
  <c r="M154" i="17"/>
  <c r="L154" i="17"/>
  <c r="K154" i="17"/>
  <c r="J154" i="17"/>
  <c r="I154" i="17"/>
  <c r="H154" i="17"/>
  <c r="F154" i="17"/>
  <c r="E154" i="17"/>
  <c r="D154" i="17"/>
  <c r="N153" i="17"/>
  <c r="M153" i="17"/>
  <c r="L153" i="17"/>
  <c r="K153" i="17"/>
  <c r="J153" i="17"/>
  <c r="I153" i="17"/>
  <c r="H153" i="17"/>
  <c r="F153" i="17"/>
  <c r="E153" i="17"/>
  <c r="D153" i="17"/>
  <c r="N152" i="17"/>
  <c r="M152" i="17"/>
  <c r="L152" i="17"/>
  <c r="K152" i="17"/>
  <c r="J152" i="17"/>
  <c r="I152" i="17"/>
  <c r="H152" i="17"/>
  <c r="F152" i="17"/>
  <c r="E152" i="17"/>
  <c r="D152" i="17"/>
  <c r="N151" i="17"/>
  <c r="M151" i="17"/>
  <c r="L151" i="17"/>
  <c r="K151" i="17"/>
  <c r="J151" i="17"/>
  <c r="I151" i="17"/>
  <c r="H151" i="17"/>
  <c r="F151" i="17"/>
  <c r="E151" i="17"/>
  <c r="D151" i="17"/>
  <c r="N150" i="17"/>
  <c r="M150" i="17"/>
  <c r="L150" i="17"/>
  <c r="K150" i="17"/>
  <c r="J150" i="17"/>
  <c r="I150" i="17"/>
  <c r="H150" i="17"/>
  <c r="F150" i="17"/>
  <c r="E150" i="17"/>
  <c r="D150" i="17"/>
  <c r="C158" i="17"/>
  <c r="C157" i="17"/>
  <c r="C156" i="17"/>
  <c r="C155" i="17"/>
  <c r="C154" i="17"/>
  <c r="C153" i="17"/>
  <c r="C152" i="17"/>
  <c r="C151" i="17"/>
  <c r="C150" i="17"/>
  <c r="N147" i="17"/>
  <c r="M147" i="17"/>
  <c r="L147" i="17"/>
  <c r="K147" i="17"/>
  <c r="J147" i="17"/>
  <c r="I147" i="17"/>
  <c r="H147" i="17"/>
  <c r="F147" i="17"/>
  <c r="E147" i="17"/>
  <c r="D147" i="17"/>
  <c r="N146" i="17"/>
  <c r="M146" i="17"/>
  <c r="L146" i="17"/>
  <c r="K146" i="17"/>
  <c r="J146" i="17"/>
  <c r="I146" i="17"/>
  <c r="H146" i="17"/>
  <c r="F146" i="17"/>
  <c r="E146" i="17"/>
  <c r="D146" i="17"/>
  <c r="N145" i="17"/>
  <c r="M145" i="17"/>
  <c r="L145" i="17"/>
  <c r="K145" i="17"/>
  <c r="J145" i="17"/>
  <c r="I145" i="17"/>
  <c r="H145" i="17"/>
  <c r="F145" i="17"/>
  <c r="E145" i="17"/>
  <c r="D145" i="17"/>
  <c r="N144" i="17"/>
  <c r="M144" i="17"/>
  <c r="L144" i="17"/>
  <c r="K144" i="17"/>
  <c r="J144" i="17"/>
  <c r="I144" i="17"/>
  <c r="H144" i="17"/>
  <c r="F144" i="17"/>
  <c r="E144" i="17"/>
  <c r="D144" i="17"/>
  <c r="N143" i="17"/>
  <c r="M143" i="17"/>
  <c r="L143" i="17"/>
  <c r="K143" i="17"/>
  <c r="J143" i="17"/>
  <c r="I143" i="17"/>
  <c r="H143" i="17"/>
  <c r="F143" i="17"/>
  <c r="E143" i="17"/>
  <c r="D143" i="17"/>
  <c r="N142" i="17"/>
  <c r="M142" i="17"/>
  <c r="L142" i="17"/>
  <c r="K142" i="17"/>
  <c r="J142" i="17"/>
  <c r="I142" i="17"/>
  <c r="H142" i="17"/>
  <c r="F142" i="17"/>
  <c r="E142" i="17"/>
  <c r="D142" i="17"/>
  <c r="N141" i="17"/>
  <c r="M141" i="17"/>
  <c r="L141" i="17"/>
  <c r="K141" i="17"/>
  <c r="J141" i="17"/>
  <c r="I141" i="17"/>
  <c r="H141" i="17"/>
  <c r="F141" i="17"/>
  <c r="E141" i="17"/>
  <c r="D141" i="17"/>
  <c r="N140" i="17"/>
  <c r="M140" i="17"/>
  <c r="L140" i="17"/>
  <c r="K140" i="17"/>
  <c r="J140" i="17"/>
  <c r="I140" i="17"/>
  <c r="H140" i="17"/>
  <c r="F140" i="17"/>
  <c r="E140" i="17"/>
  <c r="D140" i="17"/>
  <c r="N139" i="17"/>
  <c r="M139" i="17"/>
  <c r="L139" i="17"/>
  <c r="K139" i="17"/>
  <c r="J139" i="17"/>
  <c r="I139" i="17"/>
  <c r="H139" i="17"/>
  <c r="F139" i="17"/>
  <c r="E139" i="17"/>
  <c r="D139" i="17"/>
  <c r="C147" i="17"/>
  <c r="C146" i="17"/>
  <c r="C145" i="17"/>
  <c r="C144" i="17"/>
  <c r="C143" i="17"/>
  <c r="C142" i="17"/>
  <c r="C141" i="17"/>
  <c r="C140" i="17"/>
  <c r="C139" i="17"/>
  <c r="N136" i="17"/>
  <c r="M136" i="17"/>
  <c r="L136" i="17"/>
  <c r="K136" i="17"/>
  <c r="J136" i="17"/>
  <c r="I136" i="17"/>
  <c r="H136" i="17"/>
  <c r="F136" i="17"/>
  <c r="E136" i="17"/>
  <c r="D136" i="17"/>
  <c r="N135" i="17"/>
  <c r="M135" i="17"/>
  <c r="L135" i="17"/>
  <c r="K135" i="17"/>
  <c r="J135" i="17"/>
  <c r="I135" i="17"/>
  <c r="H135" i="17"/>
  <c r="F135" i="17"/>
  <c r="E135" i="17"/>
  <c r="D135" i="17"/>
  <c r="N134" i="17"/>
  <c r="M134" i="17"/>
  <c r="L134" i="17"/>
  <c r="K134" i="17"/>
  <c r="J134" i="17"/>
  <c r="I134" i="17"/>
  <c r="H134" i="17"/>
  <c r="F134" i="17"/>
  <c r="E134" i="17"/>
  <c r="D134" i="17"/>
  <c r="N133" i="17"/>
  <c r="M133" i="17"/>
  <c r="L133" i="17"/>
  <c r="K133" i="17"/>
  <c r="J133" i="17"/>
  <c r="I133" i="17"/>
  <c r="H133" i="17"/>
  <c r="F133" i="17"/>
  <c r="E133" i="17"/>
  <c r="D133" i="17"/>
  <c r="N132" i="17"/>
  <c r="M132" i="17"/>
  <c r="L132" i="17"/>
  <c r="K132" i="17"/>
  <c r="J132" i="17"/>
  <c r="I132" i="17"/>
  <c r="H132" i="17"/>
  <c r="F132" i="17"/>
  <c r="E132" i="17"/>
  <c r="D132" i="17"/>
  <c r="N131" i="17"/>
  <c r="M131" i="17"/>
  <c r="L131" i="17"/>
  <c r="K131" i="17"/>
  <c r="J131" i="17"/>
  <c r="I131" i="17"/>
  <c r="H131" i="17"/>
  <c r="F131" i="17"/>
  <c r="E131" i="17"/>
  <c r="D131" i="17"/>
  <c r="N130" i="17"/>
  <c r="M130" i="17"/>
  <c r="L130" i="17"/>
  <c r="K130" i="17"/>
  <c r="J130" i="17"/>
  <c r="I130" i="17"/>
  <c r="H130" i="17"/>
  <c r="F130" i="17"/>
  <c r="E130" i="17"/>
  <c r="D130" i="17"/>
  <c r="N129" i="17"/>
  <c r="M129" i="17"/>
  <c r="L129" i="17"/>
  <c r="K129" i="17"/>
  <c r="J129" i="17"/>
  <c r="I129" i="17"/>
  <c r="H129" i="17"/>
  <c r="F129" i="17"/>
  <c r="E129" i="17"/>
  <c r="D129" i="17"/>
  <c r="N128" i="17"/>
  <c r="M128" i="17"/>
  <c r="L128" i="17"/>
  <c r="K128" i="17"/>
  <c r="J128" i="17"/>
  <c r="I128" i="17"/>
  <c r="H128" i="17"/>
  <c r="F128" i="17"/>
  <c r="E128" i="17"/>
  <c r="D128" i="17"/>
  <c r="C136" i="17"/>
  <c r="C135" i="17"/>
  <c r="C134" i="17"/>
  <c r="C133" i="17"/>
  <c r="C132" i="17"/>
  <c r="C131" i="17"/>
  <c r="C130" i="17"/>
  <c r="C129" i="17"/>
  <c r="C128" i="17"/>
  <c r="N125" i="17"/>
  <c r="M125" i="17"/>
  <c r="L125" i="17"/>
  <c r="K125" i="17"/>
  <c r="J125" i="17"/>
  <c r="I125" i="17"/>
  <c r="H125" i="17"/>
  <c r="N124" i="17"/>
  <c r="M124" i="17"/>
  <c r="L124" i="17"/>
  <c r="K124" i="17"/>
  <c r="J124" i="17"/>
  <c r="I124" i="17"/>
  <c r="H124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N122" i="17"/>
  <c r="M122" i="17"/>
  <c r="L122" i="17"/>
  <c r="K122" i="17"/>
  <c r="J122" i="17"/>
  <c r="I122" i="17"/>
  <c r="H122" i="17"/>
  <c r="N121" i="17"/>
  <c r="M121" i="17"/>
  <c r="L121" i="17"/>
  <c r="K121" i="17"/>
  <c r="J121" i="17"/>
  <c r="I121" i="17"/>
  <c r="H121" i="17"/>
  <c r="E121" i="17"/>
  <c r="D121" i="17"/>
  <c r="C121" i="17"/>
  <c r="N120" i="17"/>
  <c r="M120" i="17"/>
  <c r="L120" i="17"/>
  <c r="K120" i="17"/>
  <c r="J120" i="17"/>
  <c r="I120" i="17"/>
  <c r="H120" i="17"/>
  <c r="D120" i="17"/>
  <c r="C120" i="17"/>
  <c r="N119" i="17"/>
  <c r="M119" i="17"/>
  <c r="L119" i="17"/>
  <c r="K119" i="17"/>
  <c r="J119" i="17"/>
  <c r="I119" i="17"/>
  <c r="H119" i="17"/>
  <c r="N117" i="17"/>
  <c r="M117" i="17"/>
  <c r="L117" i="17"/>
  <c r="K117" i="17"/>
  <c r="J117" i="17"/>
  <c r="I117" i="17"/>
  <c r="H117" i="17"/>
  <c r="G106" i="17"/>
  <c r="G107" i="17"/>
  <c r="G108" i="17"/>
  <c r="G109" i="17"/>
  <c r="G110" i="17"/>
  <c r="G111" i="17"/>
  <c r="G112" i="17"/>
  <c r="G113" i="17"/>
  <c r="G114" i="17"/>
  <c r="G115" i="17"/>
  <c r="N114" i="17"/>
  <c r="M114" i="17"/>
  <c r="L114" i="17"/>
  <c r="K114" i="17"/>
  <c r="J114" i="17"/>
  <c r="I114" i="17"/>
  <c r="H114" i="17"/>
  <c r="F114" i="17"/>
  <c r="E114" i="17"/>
  <c r="D114" i="17"/>
  <c r="N113" i="17"/>
  <c r="M113" i="17"/>
  <c r="L113" i="17"/>
  <c r="K113" i="17"/>
  <c r="J113" i="17"/>
  <c r="I113" i="17"/>
  <c r="H113" i="17"/>
  <c r="F113" i="17"/>
  <c r="E113" i="17"/>
  <c r="D113" i="17"/>
  <c r="N112" i="17"/>
  <c r="M112" i="17"/>
  <c r="L112" i="17"/>
  <c r="K112" i="17"/>
  <c r="J112" i="17"/>
  <c r="I112" i="17"/>
  <c r="H112" i="17"/>
  <c r="F112" i="17"/>
  <c r="E112" i="17"/>
  <c r="D112" i="17"/>
  <c r="N111" i="17"/>
  <c r="M111" i="17"/>
  <c r="L111" i="17"/>
  <c r="K111" i="17"/>
  <c r="J111" i="17"/>
  <c r="I111" i="17"/>
  <c r="H111" i="17"/>
  <c r="F111" i="17"/>
  <c r="E111" i="17"/>
  <c r="D111" i="17"/>
  <c r="N110" i="17"/>
  <c r="M110" i="17"/>
  <c r="L110" i="17"/>
  <c r="K110" i="17"/>
  <c r="J110" i="17"/>
  <c r="I110" i="17"/>
  <c r="H110" i="17"/>
  <c r="F110" i="17"/>
  <c r="E110" i="17"/>
  <c r="D110" i="17"/>
  <c r="N109" i="17"/>
  <c r="M109" i="17"/>
  <c r="L109" i="17"/>
  <c r="K109" i="17"/>
  <c r="J109" i="17"/>
  <c r="I109" i="17"/>
  <c r="H109" i="17"/>
  <c r="F109" i="17"/>
  <c r="E109" i="17"/>
  <c r="D109" i="17"/>
  <c r="N108" i="17"/>
  <c r="M108" i="17"/>
  <c r="L108" i="17"/>
  <c r="K108" i="17"/>
  <c r="J108" i="17"/>
  <c r="I108" i="17"/>
  <c r="H108" i="17"/>
  <c r="F108" i="17"/>
  <c r="E108" i="17"/>
  <c r="D108" i="17"/>
  <c r="N107" i="17"/>
  <c r="M107" i="17"/>
  <c r="L107" i="17"/>
  <c r="K107" i="17"/>
  <c r="J107" i="17"/>
  <c r="I107" i="17"/>
  <c r="H107" i="17"/>
  <c r="F107" i="17"/>
  <c r="E107" i="17"/>
  <c r="D107" i="17"/>
  <c r="C114" i="17"/>
  <c r="C113" i="17"/>
  <c r="C112" i="17"/>
  <c r="C111" i="17"/>
  <c r="C110" i="17"/>
  <c r="C109" i="17"/>
  <c r="C108" i="17"/>
  <c r="C107" i="17"/>
  <c r="N106" i="17"/>
  <c r="M106" i="17"/>
  <c r="L106" i="17"/>
  <c r="K106" i="17"/>
  <c r="J106" i="17"/>
  <c r="I106" i="17"/>
  <c r="H106" i="17"/>
  <c r="F106" i="17"/>
  <c r="E106" i="17"/>
  <c r="D106" i="17"/>
  <c r="C106" i="17"/>
  <c r="G73" i="17"/>
  <c r="G74" i="17"/>
  <c r="G75" i="17"/>
  <c r="G76" i="17"/>
  <c r="G77" i="17"/>
  <c r="G78" i="17"/>
  <c r="G79" i="17"/>
  <c r="G80" i="17"/>
  <c r="G81" i="17"/>
  <c r="G82" i="17"/>
  <c r="G40" i="17"/>
  <c r="G41" i="17"/>
  <c r="G42" i="17"/>
  <c r="G43" i="17"/>
  <c r="G44" i="17"/>
  <c r="G45" i="17"/>
  <c r="G46" i="17"/>
  <c r="G47" i="17"/>
  <c r="G48" i="17"/>
  <c r="G49" i="17"/>
  <c r="N44" i="17"/>
  <c r="M44" i="17"/>
  <c r="L44" i="17"/>
  <c r="K44" i="17"/>
  <c r="J44" i="17"/>
  <c r="I44" i="17"/>
  <c r="H44" i="17"/>
  <c r="N77" i="17"/>
  <c r="M77" i="17"/>
  <c r="L77" i="17"/>
  <c r="K77" i="17"/>
  <c r="J77" i="17"/>
  <c r="I77" i="17"/>
  <c r="H77" i="17"/>
  <c r="F77" i="17"/>
  <c r="F44" i="17"/>
  <c r="N88" i="17"/>
  <c r="M88" i="17"/>
  <c r="L88" i="17"/>
  <c r="K88" i="17"/>
  <c r="J88" i="17"/>
  <c r="I88" i="17"/>
  <c r="H88" i="17"/>
  <c r="E88" i="17"/>
  <c r="D88" i="17"/>
  <c r="C88" i="17"/>
  <c r="E22" i="17"/>
  <c r="D22" i="17"/>
  <c r="C22" i="17"/>
  <c r="N35" i="17"/>
  <c r="M35" i="17"/>
  <c r="L35" i="17"/>
  <c r="K35" i="17"/>
  <c r="J35" i="17"/>
  <c r="I35" i="17"/>
  <c r="H35" i="17"/>
  <c r="G35" i="17"/>
  <c r="F35" i="17"/>
  <c r="N24" i="17"/>
  <c r="M24" i="17"/>
  <c r="L24" i="17"/>
  <c r="K24" i="17"/>
  <c r="J24" i="17"/>
  <c r="I24" i="17"/>
  <c r="H24" i="17"/>
  <c r="G24" i="17"/>
  <c r="F24" i="17"/>
  <c r="N9" i="17"/>
  <c r="M9" i="17"/>
  <c r="L9" i="17"/>
  <c r="K9" i="17"/>
  <c r="J9" i="17"/>
  <c r="I9" i="17"/>
  <c r="H9" i="17"/>
  <c r="N10" i="17"/>
  <c r="M10" i="17"/>
  <c r="L10" i="17"/>
  <c r="K10" i="17"/>
  <c r="J10" i="17"/>
  <c r="I10" i="17"/>
  <c r="H10" i="17"/>
  <c r="E35" i="17"/>
  <c r="E24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N79" i="17"/>
  <c r="M79" i="17"/>
  <c r="L79" i="17"/>
  <c r="K79" i="17"/>
  <c r="J79" i="17"/>
  <c r="I79" i="17"/>
  <c r="H79" i="17"/>
  <c r="F79" i="17"/>
  <c r="E79" i="17"/>
  <c r="D79" i="17"/>
  <c r="C79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N46" i="17"/>
  <c r="M46" i="17"/>
  <c r="L46" i="17"/>
  <c r="K46" i="17"/>
  <c r="J46" i="17"/>
  <c r="I46" i="17"/>
  <c r="H46" i="17"/>
  <c r="F46" i="17"/>
  <c r="E46" i="17"/>
  <c r="D46" i="17"/>
  <c r="C46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N48" i="17"/>
  <c r="M48" i="17"/>
  <c r="L48" i="17"/>
  <c r="K48" i="17"/>
  <c r="J48" i="17"/>
  <c r="I48" i="17"/>
  <c r="H48" i="17"/>
  <c r="F48" i="17"/>
  <c r="E48" i="17"/>
  <c r="D48" i="17"/>
  <c r="C48" i="17"/>
  <c r="N92" i="17"/>
  <c r="M92" i="17"/>
  <c r="L92" i="17"/>
  <c r="K92" i="17"/>
  <c r="J92" i="17"/>
  <c r="I92" i="17"/>
  <c r="H92" i="17"/>
  <c r="N81" i="17"/>
  <c r="M81" i="17"/>
  <c r="L81" i="17"/>
  <c r="K81" i="17"/>
  <c r="J81" i="17"/>
  <c r="I81" i="17"/>
  <c r="H81" i="17"/>
  <c r="F81" i="17"/>
  <c r="E81" i="17"/>
  <c r="D81" i="17"/>
  <c r="C81" i="17"/>
  <c r="N12" i="17"/>
  <c r="M12" i="17"/>
  <c r="L12" i="17"/>
  <c r="K12" i="17"/>
  <c r="J12" i="17"/>
  <c r="I12" i="17"/>
  <c r="H12" i="17"/>
  <c r="N14" i="17"/>
  <c r="M14" i="17"/>
  <c r="L14" i="17"/>
  <c r="K14" i="17"/>
  <c r="J14" i="17"/>
  <c r="I14" i="17"/>
  <c r="H14" i="17"/>
  <c r="N87" i="17"/>
  <c r="M87" i="17"/>
  <c r="L87" i="17"/>
  <c r="K87" i="17"/>
  <c r="J87" i="17"/>
  <c r="I87" i="17"/>
  <c r="H87" i="17"/>
  <c r="D87" i="17"/>
  <c r="C87" i="17"/>
  <c r="N76" i="17"/>
  <c r="M76" i="17"/>
  <c r="L76" i="17"/>
  <c r="K76" i="17"/>
  <c r="J76" i="17"/>
  <c r="I76" i="17"/>
  <c r="H76" i="17"/>
  <c r="F76" i="17"/>
  <c r="E76" i="17"/>
  <c r="D76" i="17"/>
  <c r="C76" i="17"/>
  <c r="N43" i="17"/>
  <c r="M43" i="17"/>
  <c r="L43" i="17"/>
  <c r="K43" i="17"/>
  <c r="J43" i="17"/>
  <c r="I43" i="17"/>
  <c r="H43" i="17"/>
  <c r="F43" i="17"/>
  <c r="E43" i="17"/>
  <c r="D43" i="17"/>
  <c r="C43" i="17"/>
  <c r="N91" i="17"/>
  <c r="M91" i="17"/>
  <c r="L91" i="17"/>
  <c r="K91" i="17"/>
  <c r="J91" i="17"/>
  <c r="I91" i="17"/>
  <c r="H91" i="17"/>
  <c r="N89" i="17"/>
  <c r="M89" i="17"/>
  <c r="L89" i="17"/>
  <c r="K89" i="17"/>
  <c r="J89" i="17"/>
  <c r="I89" i="17"/>
  <c r="H89" i="17"/>
  <c r="N86" i="17"/>
  <c r="M86" i="17"/>
  <c r="L86" i="17"/>
  <c r="K86" i="17"/>
  <c r="J86" i="17"/>
  <c r="I86" i="17"/>
  <c r="H86" i="17"/>
  <c r="N85" i="17"/>
  <c r="M85" i="17"/>
  <c r="L85" i="17"/>
  <c r="K85" i="17"/>
  <c r="J85" i="17"/>
  <c r="I85" i="17"/>
  <c r="H85" i="17"/>
  <c r="N84" i="17"/>
  <c r="M84" i="17"/>
  <c r="L84" i="17"/>
  <c r="K84" i="17"/>
  <c r="J84" i="17"/>
  <c r="I84" i="17"/>
  <c r="H84" i="17"/>
  <c r="N80" i="17"/>
  <c r="M80" i="17"/>
  <c r="L80" i="17"/>
  <c r="K80" i="17"/>
  <c r="J80" i="17"/>
  <c r="I80" i="17"/>
  <c r="H80" i="17"/>
  <c r="F80" i="17"/>
  <c r="E80" i="17"/>
  <c r="D80" i="17"/>
  <c r="N78" i="17"/>
  <c r="M78" i="17"/>
  <c r="L78" i="17"/>
  <c r="K78" i="17"/>
  <c r="J78" i="17"/>
  <c r="I78" i="17"/>
  <c r="H78" i="17"/>
  <c r="F78" i="17"/>
  <c r="E78" i="17"/>
  <c r="D78" i="17"/>
  <c r="N75" i="17"/>
  <c r="M75" i="17"/>
  <c r="L75" i="17"/>
  <c r="K75" i="17"/>
  <c r="J75" i="17"/>
  <c r="I75" i="17"/>
  <c r="H75" i="17"/>
  <c r="F75" i="17"/>
  <c r="E75" i="17"/>
  <c r="D75" i="17"/>
  <c r="N74" i="17"/>
  <c r="M74" i="17"/>
  <c r="L74" i="17"/>
  <c r="K74" i="17"/>
  <c r="J74" i="17"/>
  <c r="I74" i="17"/>
  <c r="H74" i="17"/>
  <c r="F74" i="17"/>
  <c r="E74" i="17"/>
  <c r="D74" i="17"/>
  <c r="N73" i="17"/>
  <c r="M73" i="17"/>
  <c r="L73" i="17"/>
  <c r="K73" i="17"/>
  <c r="J73" i="17"/>
  <c r="I73" i="17"/>
  <c r="H73" i="17"/>
  <c r="F73" i="17"/>
  <c r="E73" i="17"/>
  <c r="D73" i="17"/>
  <c r="C80" i="17"/>
  <c r="C78" i="17"/>
  <c r="C75" i="17"/>
  <c r="C74" i="17"/>
  <c r="C73" i="17"/>
  <c r="N47" i="17"/>
  <c r="M47" i="17"/>
  <c r="L47" i="17"/>
  <c r="K47" i="17"/>
  <c r="J47" i="17"/>
  <c r="I47" i="17"/>
  <c r="H47" i="17"/>
  <c r="F47" i="17"/>
  <c r="E47" i="17"/>
  <c r="D47" i="17"/>
  <c r="N45" i="17"/>
  <c r="M45" i="17"/>
  <c r="L45" i="17"/>
  <c r="K45" i="17"/>
  <c r="J45" i="17"/>
  <c r="I45" i="17"/>
  <c r="H45" i="17"/>
  <c r="F45" i="17"/>
  <c r="E45" i="17"/>
  <c r="D45" i="17"/>
  <c r="N42" i="17"/>
  <c r="M42" i="17"/>
  <c r="L42" i="17"/>
  <c r="K42" i="17"/>
  <c r="J42" i="17"/>
  <c r="I42" i="17"/>
  <c r="H42" i="17"/>
  <c r="F42" i="17"/>
  <c r="E42" i="17"/>
  <c r="D42" i="17"/>
  <c r="N41" i="17"/>
  <c r="M41" i="17"/>
  <c r="L41" i="17"/>
  <c r="K41" i="17"/>
  <c r="J41" i="17"/>
  <c r="I41" i="17"/>
  <c r="H41" i="17"/>
  <c r="F41" i="17"/>
  <c r="E41" i="17"/>
  <c r="D41" i="17"/>
  <c r="N40" i="17"/>
  <c r="M40" i="17"/>
  <c r="L40" i="17"/>
  <c r="K40" i="17"/>
  <c r="J40" i="17"/>
  <c r="I40" i="17"/>
  <c r="H40" i="17"/>
  <c r="F40" i="17"/>
  <c r="E40" i="17"/>
  <c r="D40" i="17"/>
  <c r="C47" i="17"/>
  <c r="C45" i="17"/>
  <c r="C42" i="17"/>
  <c r="C41" i="17"/>
  <c r="C40" i="17"/>
  <c r="D35" i="17"/>
  <c r="C35" i="17"/>
  <c r="D24" i="17"/>
  <c r="C24" i="17"/>
  <c r="N6" i="17"/>
  <c r="N7" i="17"/>
  <c r="N8" i="17"/>
  <c r="N11" i="17"/>
  <c r="N13" i="17"/>
  <c r="N15" i="17"/>
  <c r="M6" i="17"/>
  <c r="M7" i="17"/>
  <c r="M8" i="17"/>
  <c r="M11" i="17"/>
  <c r="M13" i="17"/>
  <c r="M15" i="17"/>
  <c r="L6" i="17"/>
  <c r="L7" i="17"/>
  <c r="L8" i="17"/>
  <c r="L11" i="17"/>
  <c r="L13" i="17"/>
  <c r="L15" i="17"/>
  <c r="K6" i="17"/>
  <c r="K7" i="17"/>
  <c r="K8" i="17"/>
  <c r="K11" i="17"/>
  <c r="K13" i="17"/>
  <c r="K15" i="17"/>
  <c r="J6" i="17"/>
  <c r="J7" i="17"/>
  <c r="J8" i="17"/>
  <c r="J11" i="17"/>
  <c r="J13" i="17"/>
  <c r="J15" i="17"/>
  <c r="I6" i="17"/>
  <c r="I7" i="17"/>
  <c r="I8" i="17"/>
  <c r="I11" i="17"/>
  <c r="I13" i="17"/>
  <c r="I15" i="17"/>
  <c r="H6" i="17"/>
  <c r="H7" i="17"/>
  <c r="H8" i="17"/>
  <c r="H11" i="17"/>
  <c r="H13" i="17"/>
  <c r="H15" i="17"/>
  <c r="G50" i="27"/>
  <c r="G169" i="17"/>
  <c r="F50" i="27"/>
  <c r="F169" i="17"/>
  <c r="E50" i="27"/>
  <c r="E169" i="17"/>
  <c r="D50" i="27"/>
  <c r="D169" i="17"/>
  <c r="G50" i="2"/>
  <c r="G168" i="17"/>
  <c r="F50" i="2"/>
  <c r="F168" i="17"/>
  <c r="E50" i="2"/>
  <c r="E168" i="17"/>
  <c r="D50" i="2"/>
  <c r="D168" i="17"/>
  <c r="G50" i="4"/>
  <c r="G166" i="17"/>
  <c r="F50" i="4"/>
  <c r="F166" i="17"/>
  <c r="E50" i="4"/>
  <c r="E166" i="17"/>
  <c r="D50" i="4"/>
  <c r="D166" i="17"/>
  <c r="G50" i="28"/>
  <c r="G165" i="17"/>
  <c r="F50" i="28"/>
  <c r="F165" i="17"/>
  <c r="G50" i="7"/>
  <c r="G164" i="17"/>
  <c r="F50" i="7"/>
  <c r="F164" i="17"/>
  <c r="E50" i="7"/>
  <c r="E164" i="17"/>
  <c r="F50" i="1"/>
  <c r="F163" i="17"/>
  <c r="E50" i="1"/>
  <c r="E163" i="17"/>
  <c r="D50" i="1"/>
  <c r="D163" i="17"/>
  <c r="G51" i="5"/>
  <c r="G162" i="17"/>
  <c r="F51" i="5"/>
  <c r="F162" i="17"/>
  <c r="E51" i="5"/>
  <c r="E162" i="17"/>
  <c r="D51" i="5"/>
  <c r="D162" i="17"/>
  <c r="N50" i="6"/>
  <c r="N161" i="17"/>
  <c r="M50" i="6"/>
  <c r="M161" i="17"/>
  <c r="L50" i="6"/>
  <c r="L161" i="17"/>
  <c r="K50" i="6"/>
  <c r="K161" i="17"/>
  <c r="J50" i="6"/>
  <c r="J161" i="17"/>
  <c r="I50" i="6"/>
  <c r="I161" i="17"/>
  <c r="H50" i="6"/>
  <c r="H161" i="17"/>
  <c r="F50" i="6"/>
  <c r="F161" i="17"/>
  <c r="E50" i="6"/>
  <c r="E161" i="17"/>
  <c r="D50" i="6"/>
  <c r="D161" i="17"/>
  <c r="C50" i="27"/>
  <c r="C169" i="17"/>
  <c r="C50" i="2"/>
  <c r="C168" i="17"/>
  <c r="C50" i="4"/>
  <c r="C166" i="17"/>
  <c r="C50" i="1"/>
  <c r="C163" i="17"/>
  <c r="C51" i="5"/>
  <c r="C162" i="17"/>
  <c r="C50" i="6"/>
  <c r="C161" i="17"/>
  <c r="G37" i="6"/>
  <c r="G117" i="17"/>
  <c r="G37" i="5"/>
  <c r="G118" i="17"/>
  <c r="G37" i="1"/>
  <c r="G119" i="17"/>
  <c r="G37" i="7"/>
  <c r="G120" i="17"/>
  <c r="G37" i="28"/>
  <c r="G121" i="17"/>
  <c r="G37" i="4"/>
  <c r="G122" i="17"/>
  <c r="G37" i="2"/>
  <c r="G124" i="17"/>
  <c r="G37" i="27"/>
  <c r="G125" i="17"/>
  <c r="G126" i="17"/>
  <c r="C37" i="6"/>
  <c r="C117" i="17"/>
  <c r="F37" i="27"/>
  <c r="F125" i="17"/>
  <c r="E37" i="27"/>
  <c r="E125" i="17"/>
  <c r="D37" i="27"/>
  <c r="D125" i="17"/>
  <c r="C37" i="27"/>
  <c r="C125" i="17"/>
  <c r="F37" i="2"/>
  <c r="F124" i="17"/>
  <c r="E37" i="2"/>
  <c r="E124" i="17"/>
  <c r="D37" i="2"/>
  <c r="D124" i="17"/>
  <c r="C37" i="2"/>
  <c r="C124" i="17"/>
  <c r="F37" i="4"/>
  <c r="F122" i="17"/>
  <c r="E37" i="4"/>
  <c r="E122" i="17"/>
  <c r="D37" i="4"/>
  <c r="D122" i="17"/>
  <c r="C37" i="4"/>
  <c r="C122" i="17"/>
  <c r="F37" i="28"/>
  <c r="F121" i="17"/>
  <c r="F37" i="7"/>
  <c r="F120" i="17"/>
  <c r="E37" i="7"/>
  <c r="E120" i="17"/>
  <c r="F37" i="1"/>
  <c r="F119" i="17"/>
  <c r="E37" i="1"/>
  <c r="E119" i="17"/>
  <c r="D37" i="1"/>
  <c r="D119" i="17"/>
  <c r="C37" i="1"/>
  <c r="C119" i="17"/>
  <c r="N37" i="5"/>
  <c r="N118" i="17"/>
  <c r="M37" i="5"/>
  <c r="M118" i="17"/>
  <c r="L37" i="5"/>
  <c r="L118" i="17"/>
  <c r="K37" i="5"/>
  <c r="K118" i="17"/>
  <c r="J37" i="5"/>
  <c r="J118" i="17"/>
  <c r="I37" i="5"/>
  <c r="I118" i="17"/>
  <c r="H37" i="5"/>
  <c r="H118" i="17"/>
  <c r="F37" i="5"/>
  <c r="F118" i="17"/>
  <c r="E37" i="5"/>
  <c r="E118" i="17"/>
  <c r="D37" i="5"/>
  <c r="D118" i="17"/>
  <c r="C37" i="5"/>
  <c r="C118" i="17"/>
  <c r="F37" i="6"/>
  <c r="F117" i="17"/>
  <c r="E37" i="6"/>
  <c r="E117" i="17"/>
  <c r="D37" i="6"/>
  <c r="D117" i="17"/>
  <c r="G9" i="6"/>
  <c r="G62" i="17"/>
  <c r="G9" i="5"/>
  <c r="G63" i="17"/>
  <c r="G9" i="1"/>
  <c r="G64" i="17"/>
  <c r="G9" i="7"/>
  <c r="G65" i="17"/>
  <c r="G9" i="28"/>
  <c r="G66" i="17"/>
  <c r="G9" i="4"/>
  <c r="G67" i="17"/>
  <c r="G9" i="2"/>
  <c r="G69" i="17"/>
  <c r="G9" i="27"/>
  <c r="G70" i="17"/>
  <c r="G71" i="17"/>
  <c r="G8" i="6"/>
  <c r="G29" i="17"/>
  <c r="G8" i="5"/>
  <c r="G30" i="17"/>
  <c r="G8" i="1"/>
  <c r="G31" i="17"/>
  <c r="G8" i="7"/>
  <c r="G32" i="17"/>
  <c r="G8" i="28"/>
  <c r="G33" i="17"/>
  <c r="G8" i="4"/>
  <c r="G34" i="17"/>
  <c r="G8" i="2"/>
  <c r="G36" i="17"/>
  <c r="G8" i="27"/>
  <c r="G37" i="17"/>
  <c r="G38" i="17"/>
  <c r="G7" i="6"/>
  <c r="G18" i="17"/>
  <c r="G7" i="5"/>
  <c r="G19" i="17"/>
  <c r="G7" i="1"/>
  <c r="G20" i="17"/>
  <c r="G7" i="7"/>
  <c r="G21" i="17"/>
  <c r="G7" i="28"/>
  <c r="G22" i="17"/>
  <c r="G7" i="4"/>
  <c r="G23" i="17"/>
  <c r="G7" i="2"/>
  <c r="G25" i="17"/>
  <c r="G7" i="27"/>
  <c r="G26" i="17"/>
  <c r="G35" i="6"/>
  <c r="G84" i="17"/>
  <c r="G35" i="5"/>
  <c r="G85" i="17"/>
  <c r="G35" i="1"/>
  <c r="G86" i="17"/>
  <c r="G35" i="7"/>
  <c r="G87" i="17"/>
  <c r="G35" i="28"/>
  <c r="G88" i="17"/>
  <c r="G35" i="4"/>
  <c r="G89" i="17"/>
  <c r="G35" i="2"/>
  <c r="G91" i="17"/>
  <c r="G35" i="27"/>
  <c r="G92" i="17"/>
  <c r="G93" i="17"/>
  <c r="N9" i="28"/>
  <c r="N66" i="17"/>
  <c r="M9" i="28"/>
  <c r="M66" i="17"/>
  <c r="L9" i="28"/>
  <c r="L66" i="17"/>
  <c r="K9" i="28"/>
  <c r="K66" i="17"/>
  <c r="J9" i="28"/>
  <c r="J66" i="17"/>
  <c r="I9" i="28"/>
  <c r="I66" i="17"/>
  <c r="H9" i="28"/>
  <c r="H66" i="17"/>
  <c r="N11" i="28"/>
  <c r="N55" i="17"/>
  <c r="M11" i="28"/>
  <c r="M55" i="17"/>
  <c r="L11" i="28"/>
  <c r="L55" i="17"/>
  <c r="K11" i="28"/>
  <c r="K55" i="17"/>
  <c r="J11" i="28"/>
  <c r="J55" i="17"/>
  <c r="I11" i="28"/>
  <c r="I55" i="17"/>
  <c r="H11" i="28"/>
  <c r="H55" i="17"/>
  <c r="G63" i="28"/>
  <c r="G64" i="28"/>
  <c r="G11" i="28"/>
  <c r="G55" i="17"/>
  <c r="E8" i="28"/>
  <c r="E33" i="17"/>
  <c r="D8" i="28"/>
  <c r="D33" i="17"/>
  <c r="C8" i="28"/>
  <c r="C33" i="17"/>
  <c r="N8" i="28"/>
  <c r="N33" i="17"/>
  <c r="M8" i="28"/>
  <c r="M33" i="17"/>
  <c r="L8" i="28"/>
  <c r="L33" i="17"/>
  <c r="K8" i="28"/>
  <c r="K33" i="17"/>
  <c r="J8" i="28"/>
  <c r="J33" i="17"/>
  <c r="I8" i="28"/>
  <c r="I33" i="17"/>
  <c r="H8" i="28"/>
  <c r="H33" i="17"/>
  <c r="N7" i="28"/>
  <c r="N22" i="17"/>
  <c r="M7" i="28"/>
  <c r="M22" i="17"/>
  <c r="L7" i="28"/>
  <c r="L22" i="17"/>
  <c r="K7" i="28"/>
  <c r="K22" i="17"/>
  <c r="J7" i="28"/>
  <c r="J22" i="17"/>
  <c r="I7" i="28"/>
  <c r="I22" i="17"/>
  <c r="H7" i="28"/>
  <c r="H22" i="17"/>
  <c r="F9" i="28"/>
  <c r="F66" i="17"/>
  <c r="F63" i="28"/>
  <c r="F64" i="28"/>
  <c r="F11" i="28"/>
  <c r="F55" i="17"/>
  <c r="F8" i="28"/>
  <c r="F33" i="17"/>
  <c r="F7" i="28"/>
  <c r="F22" i="17"/>
  <c r="F35" i="28"/>
  <c r="F88" i="17"/>
  <c r="N12" i="28"/>
  <c r="N99" i="17"/>
  <c r="M12" i="28"/>
  <c r="M99" i="17"/>
  <c r="L12" i="28"/>
  <c r="L99" i="17"/>
  <c r="K12" i="28"/>
  <c r="K99" i="17"/>
  <c r="J12" i="28"/>
  <c r="J99" i="17"/>
  <c r="I12" i="28"/>
  <c r="I99" i="17"/>
  <c r="H12" i="28"/>
  <c r="H99" i="17"/>
  <c r="G12" i="28"/>
  <c r="G99" i="17"/>
  <c r="E12" i="28"/>
  <c r="E99" i="17"/>
  <c r="D12" i="28"/>
  <c r="D99" i="17"/>
  <c r="C12" i="28"/>
  <c r="C99" i="17"/>
  <c r="F12" i="28"/>
  <c r="F99" i="17"/>
  <c r="N9" i="27"/>
  <c r="N70" i="17"/>
  <c r="M9" i="27"/>
  <c r="M70" i="17"/>
  <c r="L9" i="27"/>
  <c r="L70" i="17"/>
  <c r="K9" i="27"/>
  <c r="K70" i="17"/>
  <c r="J9" i="27"/>
  <c r="J70" i="17"/>
  <c r="I9" i="27"/>
  <c r="I70" i="17"/>
  <c r="H9" i="27"/>
  <c r="H70" i="17"/>
  <c r="F9" i="27"/>
  <c r="F70" i="17"/>
  <c r="E9" i="27"/>
  <c r="E70" i="17"/>
  <c r="D9" i="27"/>
  <c r="D70" i="17"/>
  <c r="C9" i="27"/>
  <c r="C70" i="17"/>
  <c r="N7" i="27"/>
  <c r="N26" i="17"/>
  <c r="M7" i="27"/>
  <c r="M26" i="17"/>
  <c r="L7" i="27"/>
  <c r="L26" i="17"/>
  <c r="K7" i="27"/>
  <c r="K26" i="17"/>
  <c r="J7" i="27"/>
  <c r="J26" i="17"/>
  <c r="I7" i="27"/>
  <c r="I26" i="17"/>
  <c r="H7" i="27"/>
  <c r="H26" i="17"/>
  <c r="F7" i="27"/>
  <c r="F26" i="17"/>
  <c r="E7" i="27"/>
  <c r="E26" i="17"/>
  <c r="D7" i="27"/>
  <c r="D26" i="17"/>
  <c r="C7" i="27"/>
  <c r="C26" i="17"/>
  <c r="N8" i="27"/>
  <c r="N37" i="17"/>
  <c r="M8" i="27"/>
  <c r="M37" i="17"/>
  <c r="L8" i="27"/>
  <c r="L37" i="17"/>
  <c r="K8" i="27"/>
  <c r="K37" i="17"/>
  <c r="J8" i="27"/>
  <c r="J37" i="17"/>
  <c r="I8" i="27"/>
  <c r="I37" i="17"/>
  <c r="H8" i="27"/>
  <c r="H37" i="17"/>
  <c r="F8" i="27"/>
  <c r="F37" i="17"/>
  <c r="E8" i="27"/>
  <c r="E37" i="17"/>
  <c r="D8" i="27"/>
  <c r="D37" i="17"/>
  <c r="C8" i="27"/>
  <c r="C37" i="17"/>
  <c r="N11" i="27"/>
  <c r="N59" i="17"/>
  <c r="M11" i="27"/>
  <c r="M59" i="17"/>
  <c r="L11" i="27"/>
  <c r="L59" i="17"/>
  <c r="K11" i="27"/>
  <c r="K59" i="17"/>
  <c r="J11" i="27"/>
  <c r="J59" i="17"/>
  <c r="I11" i="27"/>
  <c r="I59" i="17"/>
  <c r="H11" i="27"/>
  <c r="H59" i="17"/>
  <c r="G63" i="27"/>
  <c r="G64" i="27"/>
  <c r="G11" i="27"/>
  <c r="G59" i="17"/>
  <c r="F63" i="27"/>
  <c r="F64" i="27"/>
  <c r="F11" i="27"/>
  <c r="F59" i="17"/>
  <c r="E63" i="27"/>
  <c r="E64" i="27"/>
  <c r="E11" i="27"/>
  <c r="E59" i="17"/>
  <c r="D63" i="27"/>
  <c r="D64" i="27"/>
  <c r="D11" i="27"/>
  <c r="D59" i="17"/>
  <c r="C64" i="27"/>
  <c r="C11" i="27"/>
  <c r="C59" i="17"/>
  <c r="N12" i="27"/>
  <c r="N103" i="17"/>
  <c r="M12" i="27"/>
  <c r="M103" i="17"/>
  <c r="L12" i="27"/>
  <c r="L103" i="17"/>
  <c r="K12" i="27"/>
  <c r="K103" i="17"/>
  <c r="J12" i="27"/>
  <c r="J103" i="17"/>
  <c r="I12" i="27"/>
  <c r="I103" i="17"/>
  <c r="H12" i="27"/>
  <c r="H103" i="17"/>
  <c r="G12" i="27"/>
  <c r="G103" i="17"/>
  <c r="F12" i="27"/>
  <c r="F103" i="17"/>
  <c r="E12" i="27"/>
  <c r="E103" i="17"/>
  <c r="D12" i="27"/>
  <c r="D103" i="17"/>
  <c r="C12" i="27"/>
  <c r="C103" i="17"/>
  <c r="F35" i="27"/>
  <c r="F92" i="17"/>
  <c r="E35" i="27"/>
  <c r="E92" i="17"/>
  <c r="D35" i="27"/>
  <c r="D92" i="17"/>
  <c r="C35" i="27"/>
  <c r="C92" i="17"/>
  <c r="N12" i="7"/>
  <c r="N98" i="17"/>
  <c r="M12" i="7"/>
  <c r="M98" i="17"/>
  <c r="L12" i="7"/>
  <c r="L98" i="17"/>
  <c r="K12" i="7"/>
  <c r="K98" i="17"/>
  <c r="J12" i="7"/>
  <c r="J98" i="17"/>
  <c r="I12" i="7"/>
  <c r="I98" i="17"/>
  <c r="H12" i="7"/>
  <c r="H98" i="17"/>
  <c r="G12" i="7"/>
  <c r="G98" i="17"/>
  <c r="F12" i="7"/>
  <c r="F98" i="17"/>
  <c r="E12" i="7"/>
  <c r="E98" i="17"/>
  <c r="D12" i="7"/>
  <c r="D98" i="17"/>
  <c r="C12" i="7"/>
  <c r="C98" i="17"/>
  <c r="F35" i="7"/>
  <c r="F87" i="17"/>
  <c r="E35" i="7"/>
  <c r="E87" i="17"/>
  <c r="N9" i="7"/>
  <c r="N65" i="17"/>
  <c r="M9" i="7"/>
  <c r="M65" i="17"/>
  <c r="L9" i="7"/>
  <c r="L65" i="17"/>
  <c r="K9" i="7"/>
  <c r="K65" i="17"/>
  <c r="J9" i="7"/>
  <c r="J65" i="17"/>
  <c r="I9" i="7"/>
  <c r="I65" i="17"/>
  <c r="H9" i="7"/>
  <c r="H65" i="17"/>
  <c r="F9" i="7"/>
  <c r="F65" i="17"/>
  <c r="E9" i="7"/>
  <c r="E65" i="17"/>
  <c r="D9" i="7"/>
  <c r="D65" i="17"/>
  <c r="C9" i="7"/>
  <c r="C65" i="17"/>
  <c r="N11" i="7"/>
  <c r="N54" i="17"/>
  <c r="M11" i="7"/>
  <c r="M54" i="17"/>
  <c r="L11" i="7"/>
  <c r="L54" i="17"/>
  <c r="K11" i="7"/>
  <c r="K54" i="17"/>
  <c r="J11" i="7"/>
  <c r="J54" i="17"/>
  <c r="I11" i="7"/>
  <c r="I54" i="17"/>
  <c r="H11" i="7"/>
  <c r="H54" i="17"/>
  <c r="G63" i="7"/>
  <c r="G64" i="7"/>
  <c r="G11" i="7"/>
  <c r="G54" i="17"/>
  <c r="F63" i="7"/>
  <c r="F64" i="7"/>
  <c r="F11" i="7"/>
  <c r="F54" i="17"/>
  <c r="E63" i="7"/>
  <c r="E64" i="7"/>
  <c r="E11" i="7"/>
  <c r="E54" i="17"/>
  <c r="D11" i="7"/>
  <c r="D54" i="17"/>
  <c r="C11" i="7"/>
  <c r="C54" i="17"/>
  <c r="N8" i="7"/>
  <c r="N32" i="17"/>
  <c r="M8" i="7"/>
  <c r="M32" i="17"/>
  <c r="L8" i="7"/>
  <c r="L32" i="17"/>
  <c r="K8" i="7"/>
  <c r="K32" i="17"/>
  <c r="J8" i="7"/>
  <c r="J32" i="17"/>
  <c r="I8" i="7"/>
  <c r="I32" i="17"/>
  <c r="H8" i="7"/>
  <c r="H32" i="17"/>
  <c r="F8" i="7"/>
  <c r="F32" i="17"/>
  <c r="E8" i="7"/>
  <c r="E32" i="17"/>
  <c r="D8" i="7"/>
  <c r="D32" i="17"/>
  <c r="C8" i="7"/>
  <c r="C32" i="17"/>
  <c r="N7" i="7"/>
  <c r="N21" i="17"/>
  <c r="M7" i="7"/>
  <c r="M21" i="17"/>
  <c r="L7" i="7"/>
  <c r="L21" i="17"/>
  <c r="K7" i="7"/>
  <c r="K21" i="17"/>
  <c r="J7" i="7"/>
  <c r="J21" i="17"/>
  <c r="I7" i="7"/>
  <c r="I21" i="17"/>
  <c r="H7" i="7"/>
  <c r="H21" i="17"/>
  <c r="F7" i="7"/>
  <c r="F21" i="17"/>
  <c r="E7" i="7"/>
  <c r="E21" i="17"/>
  <c r="D7" i="7"/>
  <c r="D21" i="17"/>
  <c r="C7" i="7"/>
  <c r="C21" i="17"/>
  <c r="F35" i="2"/>
  <c r="F91" i="17"/>
  <c r="E35" i="2"/>
  <c r="E91" i="17"/>
  <c r="F35" i="4"/>
  <c r="F89" i="17"/>
  <c r="E35" i="4"/>
  <c r="E89" i="17"/>
  <c r="F35" i="1"/>
  <c r="F86" i="17"/>
  <c r="E35" i="1"/>
  <c r="E86" i="17"/>
  <c r="F35" i="5"/>
  <c r="F85" i="17"/>
  <c r="E35" i="5"/>
  <c r="E85" i="17"/>
  <c r="F35" i="6"/>
  <c r="F84" i="17"/>
  <c r="E35" i="6"/>
  <c r="E84" i="17"/>
  <c r="N12" i="2"/>
  <c r="N102" i="17"/>
  <c r="M12" i="2"/>
  <c r="M102" i="17"/>
  <c r="L12" i="2"/>
  <c r="L102" i="17"/>
  <c r="K12" i="2"/>
  <c r="K102" i="17"/>
  <c r="J12" i="2"/>
  <c r="J102" i="17"/>
  <c r="I12" i="2"/>
  <c r="I102" i="17"/>
  <c r="H12" i="2"/>
  <c r="H102" i="17"/>
  <c r="G12" i="2"/>
  <c r="G102" i="17"/>
  <c r="F12" i="2"/>
  <c r="F102" i="17"/>
  <c r="E12" i="2"/>
  <c r="E102" i="17"/>
  <c r="D12" i="2"/>
  <c r="D102" i="17"/>
  <c r="N12" i="4"/>
  <c r="N100" i="17"/>
  <c r="M12" i="4"/>
  <c r="M100" i="17"/>
  <c r="L12" i="4"/>
  <c r="L100" i="17"/>
  <c r="K12" i="4"/>
  <c r="K100" i="17"/>
  <c r="J12" i="4"/>
  <c r="J100" i="17"/>
  <c r="I12" i="4"/>
  <c r="I100" i="17"/>
  <c r="H12" i="4"/>
  <c r="H100" i="17"/>
  <c r="G12" i="4"/>
  <c r="G100" i="17"/>
  <c r="F12" i="4"/>
  <c r="F100" i="17"/>
  <c r="E12" i="4"/>
  <c r="E100" i="17"/>
  <c r="D12" i="4"/>
  <c r="D100" i="17"/>
  <c r="N12" i="1"/>
  <c r="N97" i="17"/>
  <c r="M12" i="1"/>
  <c r="M97" i="17"/>
  <c r="L12" i="1"/>
  <c r="L97" i="17"/>
  <c r="K12" i="1"/>
  <c r="K97" i="17"/>
  <c r="J12" i="1"/>
  <c r="J97" i="17"/>
  <c r="I12" i="1"/>
  <c r="I97" i="17"/>
  <c r="H12" i="1"/>
  <c r="H97" i="17"/>
  <c r="G12" i="1"/>
  <c r="G97" i="17"/>
  <c r="F12" i="1"/>
  <c r="F97" i="17"/>
  <c r="E12" i="1"/>
  <c r="E97" i="17"/>
  <c r="D12" i="1"/>
  <c r="D97" i="17"/>
  <c r="N12" i="5"/>
  <c r="N96" i="17"/>
  <c r="M12" i="5"/>
  <c r="M96" i="17"/>
  <c r="L12" i="5"/>
  <c r="L96" i="17"/>
  <c r="K12" i="5"/>
  <c r="K96" i="17"/>
  <c r="J12" i="5"/>
  <c r="J96" i="17"/>
  <c r="I12" i="5"/>
  <c r="I96" i="17"/>
  <c r="H12" i="5"/>
  <c r="H96" i="17"/>
  <c r="G12" i="5"/>
  <c r="G96" i="17"/>
  <c r="F12" i="5"/>
  <c r="F96" i="17"/>
  <c r="E12" i="5"/>
  <c r="E96" i="17"/>
  <c r="D12" i="5"/>
  <c r="D96" i="17"/>
  <c r="N12" i="6"/>
  <c r="N95" i="17"/>
  <c r="M12" i="6"/>
  <c r="M95" i="17"/>
  <c r="L12" i="6"/>
  <c r="L95" i="17"/>
  <c r="K12" i="6"/>
  <c r="K95" i="17"/>
  <c r="J12" i="6"/>
  <c r="J95" i="17"/>
  <c r="I12" i="6"/>
  <c r="I95" i="17"/>
  <c r="H12" i="6"/>
  <c r="H95" i="17"/>
  <c r="G12" i="6"/>
  <c r="G95" i="17"/>
  <c r="F12" i="6"/>
  <c r="F95" i="17"/>
  <c r="E12" i="6"/>
  <c r="E95" i="17"/>
  <c r="D12" i="6"/>
  <c r="D95" i="17"/>
  <c r="C12" i="2"/>
  <c r="C102" i="17"/>
  <c r="C12" i="4"/>
  <c r="C100" i="17"/>
  <c r="C12" i="1"/>
  <c r="C97" i="17"/>
  <c r="C12" i="5"/>
  <c r="C96" i="17"/>
  <c r="C12" i="6"/>
  <c r="C95" i="17"/>
  <c r="D35" i="2"/>
  <c r="D91" i="17"/>
  <c r="D35" i="4"/>
  <c r="D89" i="17"/>
  <c r="D35" i="1"/>
  <c r="D86" i="17"/>
  <c r="D35" i="5"/>
  <c r="D85" i="17"/>
  <c r="D35" i="6"/>
  <c r="D84" i="17"/>
  <c r="C35" i="2"/>
  <c r="C91" i="17"/>
  <c r="C35" i="4"/>
  <c r="C89" i="17"/>
  <c r="C35" i="1"/>
  <c r="C86" i="17"/>
  <c r="C35" i="5"/>
  <c r="C85" i="17"/>
  <c r="C35" i="6"/>
  <c r="C84" i="17"/>
  <c r="N9" i="2"/>
  <c r="N69" i="17"/>
  <c r="M9" i="2"/>
  <c r="M69" i="17"/>
  <c r="L9" i="2"/>
  <c r="L69" i="17"/>
  <c r="K9" i="2"/>
  <c r="K69" i="17"/>
  <c r="J9" i="2"/>
  <c r="J69" i="17"/>
  <c r="I9" i="2"/>
  <c r="I69" i="17"/>
  <c r="H9" i="2"/>
  <c r="H69" i="17"/>
  <c r="F9" i="2"/>
  <c r="F69" i="17"/>
  <c r="E9" i="2"/>
  <c r="E69" i="17"/>
  <c r="D9" i="2"/>
  <c r="D69" i="17"/>
  <c r="N9" i="4"/>
  <c r="N67" i="17"/>
  <c r="M9" i="4"/>
  <c r="M67" i="17"/>
  <c r="L9" i="4"/>
  <c r="L67" i="17"/>
  <c r="K9" i="4"/>
  <c r="K67" i="17"/>
  <c r="J9" i="4"/>
  <c r="J67" i="17"/>
  <c r="I9" i="4"/>
  <c r="I67" i="17"/>
  <c r="H9" i="4"/>
  <c r="H67" i="17"/>
  <c r="F9" i="4"/>
  <c r="F67" i="17"/>
  <c r="E9" i="4"/>
  <c r="E67" i="17"/>
  <c r="D9" i="4"/>
  <c r="D67" i="17"/>
  <c r="N9" i="1"/>
  <c r="N64" i="17"/>
  <c r="M9" i="1"/>
  <c r="M64" i="17"/>
  <c r="L9" i="1"/>
  <c r="L64" i="17"/>
  <c r="K9" i="1"/>
  <c r="K64" i="17"/>
  <c r="J9" i="1"/>
  <c r="J64" i="17"/>
  <c r="I9" i="1"/>
  <c r="I64" i="17"/>
  <c r="H9" i="1"/>
  <c r="H64" i="17"/>
  <c r="F9" i="1"/>
  <c r="F64" i="17"/>
  <c r="E9" i="1"/>
  <c r="E64" i="17"/>
  <c r="D9" i="1"/>
  <c r="D64" i="17"/>
  <c r="N9" i="5"/>
  <c r="N63" i="17"/>
  <c r="M9" i="5"/>
  <c r="M63" i="17"/>
  <c r="L9" i="5"/>
  <c r="L63" i="17"/>
  <c r="K9" i="5"/>
  <c r="K63" i="17"/>
  <c r="J9" i="5"/>
  <c r="J63" i="17"/>
  <c r="I9" i="5"/>
  <c r="I63" i="17"/>
  <c r="H9" i="5"/>
  <c r="H63" i="17"/>
  <c r="F9" i="5"/>
  <c r="F63" i="17"/>
  <c r="E9" i="5"/>
  <c r="E63" i="17"/>
  <c r="D9" i="5"/>
  <c r="D63" i="17"/>
  <c r="N9" i="6"/>
  <c r="N62" i="17"/>
  <c r="M9" i="6"/>
  <c r="M62" i="17"/>
  <c r="L9" i="6"/>
  <c r="L62" i="17"/>
  <c r="K9" i="6"/>
  <c r="K62" i="17"/>
  <c r="J9" i="6"/>
  <c r="J62" i="17"/>
  <c r="I9" i="6"/>
  <c r="I62" i="17"/>
  <c r="H9" i="6"/>
  <c r="H62" i="17"/>
  <c r="F9" i="6"/>
  <c r="F62" i="17"/>
  <c r="E9" i="6"/>
  <c r="E62" i="17"/>
  <c r="D9" i="6"/>
  <c r="D62" i="17"/>
  <c r="C9" i="2"/>
  <c r="C69" i="17"/>
  <c r="C9" i="4"/>
  <c r="C67" i="17"/>
  <c r="C9" i="1"/>
  <c r="C64" i="17"/>
  <c r="C9" i="5"/>
  <c r="C63" i="17"/>
  <c r="C9" i="6"/>
  <c r="C62" i="17"/>
  <c r="N11" i="2"/>
  <c r="N58" i="17"/>
  <c r="M11" i="2"/>
  <c r="M58" i="17"/>
  <c r="L11" i="2"/>
  <c r="L58" i="17"/>
  <c r="K11" i="2"/>
  <c r="K58" i="17"/>
  <c r="J11" i="2"/>
  <c r="J58" i="17"/>
  <c r="I11" i="2"/>
  <c r="I58" i="17"/>
  <c r="H11" i="2"/>
  <c r="H58" i="17"/>
  <c r="G63" i="2"/>
  <c r="G64" i="2"/>
  <c r="G11" i="2"/>
  <c r="G58" i="17"/>
  <c r="F63" i="2"/>
  <c r="F64" i="2"/>
  <c r="F11" i="2"/>
  <c r="F58" i="17"/>
  <c r="E63" i="2"/>
  <c r="E64" i="2"/>
  <c r="E11" i="2"/>
  <c r="E58" i="17"/>
  <c r="D63" i="2"/>
  <c r="D64" i="2"/>
  <c r="D11" i="2"/>
  <c r="D58" i="17"/>
  <c r="N11" i="4"/>
  <c r="N56" i="17"/>
  <c r="M11" i="4"/>
  <c r="M56" i="17"/>
  <c r="L11" i="4"/>
  <c r="L56" i="17"/>
  <c r="K11" i="4"/>
  <c r="K56" i="17"/>
  <c r="J11" i="4"/>
  <c r="J56" i="17"/>
  <c r="I11" i="4"/>
  <c r="I56" i="17"/>
  <c r="H11" i="4"/>
  <c r="H56" i="17"/>
  <c r="G63" i="4"/>
  <c r="G64" i="4"/>
  <c r="G11" i="4"/>
  <c r="G56" i="17"/>
  <c r="F63" i="4"/>
  <c r="F64" i="4"/>
  <c r="F11" i="4"/>
  <c r="F56" i="17"/>
  <c r="E63" i="4"/>
  <c r="E64" i="4"/>
  <c r="E11" i="4"/>
  <c r="E56" i="17"/>
  <c r="D63" i="4"/>
  <c r="D64" i="4"/>
  <c r="D11" i="4"/>
  <c r="D56" i="17"/>
  <c r="N11" i="1"/>
  <c r="N53" i="17"/>
  <c r="M11" i="1"/>
  <c r="M53" i="17"/>
  <c r="L11" i="1"/>
  <c r="L53" i="17"/>
  <c r="K11" i="1"/>
  <c r="K53" i="17"/>
  <c r="J11" i="1"/>
  <c r="J53" i="17"/>
  <c r="I11" i="1"/>
  <c r="I53" i="17"/>
  <c r="H11" i="1"/>
  <c r="H53" i="17"/>
  <c r="G56" i="1"/>
  <c r="G63" i="1"/>
  <c r="G64" i="1"/>
  <c r="G11" i="1"/>
  <c r="G53" i="17"/>
  <c r="F56" i="1"/>
  <c r="F63" i="1"/>
  <c r="F64" i="1"/>
  <c r="F11" i="1"/>
  <c r="F53" i="17"/>
  <c r="E56" i="1"/>
  <c r="E63" i="1"/>
  <c r="E64" i="1"/>
  <c r="E11" i="1"/>
  <c r="E53" i="17"/>
  <c r="D56" i="1"/>
  <c r="D63" i="1"/>
  <c r="D64" i="1"/>
  <c r="D11" i="1"/>
  <c r="D53" i="17"/>
  <c r="N11" i="5"/>
  <c r="N52" i="17"/>
  <c r="M11" i="5"/>
  <c r="M52" i="17"/>
  <c r="L11" i="5"/>
  <c r="L52" i="17"/>
  <c r="K11" i="5"/>
  <c r="K52" i="17"/>
  <c r="J11" i="5"/>
  <c r="J52" i="17"/>
  <c r="I11" i="5"/>
  <c r="I52" i="17"/>
  <c r="H11" i="5"/>
  <c r="H52" i="17"/>
  <c r="G57" i="5"/>
  <c r="G64" i="5"/>
  <c r="G65" i="5"/>
  <c r="G11" i="5"/>
  <c r="G52" i="17"/>
  <c r="F57" i="5"/>
  <c r="F64" i="5"/>
  <c r="F65" i="5"/>
  <c r="F11" i="5"/>
  <c r="F52" i="17"/>
  <c r="E57" i="5"/>
  <c r="E64" i="5"/>
  <c r="E65" i="5"/>
  <c r="E11" i="5"/>
  <c r="E52" i="17"/>
  <c r="D57" i="5"/>
  <c r="D64" i="5"/>
  <c r="D65" i="5"/>
  <c r="D11" i="5"/>
  <c r="D52" i="17"/>
  <c r="N11" i="6"/>
  <c r="N51" i="17"/>
  <c r="M11" i="6"/>
  <c r="M51" i="17"/>
  <c r="L11" i="6"/>
  <c r="L51" i="17"/>
  <c r="K11" i="6"/>
  <c r="K51" i="17"/>
  <c r="J11" i="6"/>
  <c r="J51" i="17"/>
  <c r="I11" i="6"/>
  <c r="I51" i="17"/>
  <c r="H11" i="6"/>
  <c r="H51" i="17"/>
  <c r="G56" i="6"/>
  <c r="G63" i="6"/>
  <c r="G64" i="6"/>
  <c r="G11" i="6"/>
  <c r="G51" i="17"/>
  <c r="F56" i="6"/>
  <c r="F63" i="6"/>
  <c r="F64" i="6"/>
  <c r="F11" i="6"/>
  <c r="F51" i="17"/>
  <c r="E56" i="6"/>
  <c r="E63" i="6"/>
  <c r="E64" i="6"/>
  <c r="E11" i="6"/>
  <c r="E51" i="17"/>
  <c r="D56" i="6"/>
  <c r="D64" i="6"/>
  <c r="D11" i="6"/>
  <c r="D51" i="17"/>
  <c r="C7" i="6"/>
  <c r="C18" i="17"/>
  <c r="D7" i="6"/>
  <c r="D18" i="17"/>
  <c r="N7" i="6"/>
  <c r="N18" i="17"/>
  <c r="M7" i="6"/>
  <c r="M18" i="17"/>
  <c r="L7" i="6"/>
  <c r="L18" i="17"/>
  <c r="K7" i="6"/>
  <c r="K18" i="17"/>
  <c r="J7" i="6"/>
  <c r="J18" i="17"/>
  <c r="I7" i="6"/>
  <c r="I18" i="17"/>
  <c r="H7" i="6"/>
  <c r="H18" i="17"/>
  <c r="F7" i="6"/>
  <c r="F18" i="17"/>
  <c r="E7" i="6"/>
  <c r="E18" i="17"/>
  <c r="C8" i="6"/>
  <c r="C29" i="17"/>
  <c r="N8" i="6"/>
  <c r="N29" i="17"/>
  <c r="M8" i="6"/>
  <c r="M29" i="17"/>
  <c r="L8" i="6"/>
  <c r="L29" i="17"/>
  <c r="K8" i="6"/>
  <c r="K29" i="17"/>
  <c r="J8" i="6"/>
  <c r="J29" i="17"/>
  <c r="I8" i="6"/>
  <c r="I29" i="17"/>
  <c r="H8" i="6"/>
  <c r="H29" i="17"/>
  <c r="F8" i="6"/>
  <c r="F29" i="17"/>
  <c r="E8" i="6"/>
  <c r="E29" i="17"/>
  <c r="D8" i="6"/>
  <c r="D29" i="17"/>
  <c r="C56" i="6"/>
  <c r="C64" i="6"/>
  <c r="C11" i="6"/>
  <c r="C51" i="17"/>
  <c r="C7" i="1"/>
  <c r="C20" i="17"/>
  <c r="D7" i="1"/>
  <c r="D20" i="17"/>
  <c r="E7" i="1"/>
  <c r="E20" i="17"/>
  <c r="F7" i="1"/>
  <c r="F20" i="17"/>
  <c r="H7" i="1"/>
  <c r="H20" i="17"/>
  <c r="I7" i="1"/>
  <c r="I20" i="17"/>
  <c r="J7" i="1"/>
  <c r="J20" i="17"/>
  <c r="K7" i="1"/>
  <c r="K20" i="17"/>
  <c r="L7" i="1"/>
  <c r="L20" i="17"/>
  <c r="M7" i="1"/>
  <c r="M20" i="17"/>
  <c r="N7" i="1"/>
  <c r="N20" i="17"/>
  <c r="C8" i="1"/>
  <c r="C31" i="17"/>
  <c r="D8" i="1"/>
  <c r="D31" i="17"/>
  <c r="E8" i="1"/>
  <c r="E31" i="17"/>
  <c r="F8" i="1"/>
  <c r="F31" i="17"/>
  <c r="H8" i="1"/>
  <c r="H31" i="17"/>
  <c r="I8" i="1"/>
  <c r="I31" i="17"/>
  <c r="J8" i="1"/>
  <c r="J31" i="17"/>
  <c r="K8" i="1"/>
  <c r="K31" i="17"/>
  <c r="L8" i="1"/>
  <c r="L31" i="17"/>
  <c r="M8" i="1"/>
  <c r="M31" i="17"/>
  <c r="N8" i="1"/>
  <c r="N31" i="17"/>
  <c r="C56" i="1"/>
  <c r="C64" i="1"/>
  <c r="C11" i="1"/>
  <c r="C53" i="17"/>
  <c r="C7" i="5"/>
  <c r="C19" i="17"/>
  <c r="D7" i="5"/>
  <c r="D19" i="17"/>
  <c r="E7" i="5"/>
  <c r="E19" i="17"/>
  <c r="F7" i="5"/>
  <c r="F19" i="17"/>
  <c r="H7" i="5"/>
  <c r="H19" i="17"/>
  <c r="I7" i="5"/>
  <c r="I19" i="17"/>
  <c r="J7" i="5"/>
  <c r="J19" i="17"/>
  <c r="K7" i="5"/>
  <c r="K19" i="17"/>
  <c r="L7" i="5"/>
  <c r="L19" i="17"/>
  <c r="M7" i="5"/>
  <c r="M19" i="17"/>
  <c r="N7" i="5"/>
  <c r="N19" i="17"/>
  <c r="C8" i="5"/>
  <c r="C30" i="17"/>
  <c r="D8" i="5"/>
  <c r="D30" i="17"/>
  <c r="E8" i="5"/>
  <c r="E30" i="17"/>
  <c r="F8" i="5"/>
  <c r="F30" i="17"/>
  <c r="H8" i="5"/>
  <c r="H30" i="17"/>
  <c r="I8" i="5"/>
  <c r="I30" i="17"/>
  <c r="J8" i="5"/>
  <c r="J30" i="17"/>
  <c r="K8" i="5"/>
  <c r="K30" i="17"/>
  <c r="L8" i="5"/>
  <c r="L30" i="17"/>
  <c r="M8" i="5"/>
  <c r="M30" i="17"/>
  <c r="N8" i="5"/>
  <c r="N30" i="17"/>
  <c r="C57" i="5"/>
  <c r="C65" i="5"/>
  <c r="C11" i="5"/>
  <c r="C52" i="17"/>
  <c r="C7" i="4"/>
  <c r="C23" i="17"/>
  <c r="D7" i="4"/>
  <c r="D23" i="17"/>
  <c r="E7" i="4"/>
  <c r="E23" i="17"/>
  <c r="F7" i="4"/>
  <c r="F23" i="17"/>
  <c r="H7" i="4"/>
  <c r="H23" i="17"/>
  <c r="I7" i="4"/>
  <c r="I23" i="17"/>
  <c r="J7" i="4"/>
  <c r="J23" i="17"/>
  <c r="K7" i="4"/>
  <c r="K23" i="17"/>
  <c r="L7" i="4"/>
  <c r="L23" i="17"/>
  <c r="M7" i="4"/>
  <c r="M23" i="17"/>
  <c r="N7" i="4"/>
  <c r="N23" i="17"/>
  <c r="C8" i="4"/>
  <c r="C34" i="17"/>
  <c r="D8" i="4"/>
  <c r="D34" i="17"/>
  <c r="E8" i="4"/>
  <c r="E34" i="17"/>
  <c r="F8" i="4"/>
  <c r="F34" i="17"/>
  <c r="H8" i="4"/>
  <c r="H34" i="17"/>
  <c r="I8" i="4"/>
  <c r="I34" i="17"/>
  <c r="J8" i="4"/>
  <c r="J34" i="17"/>
  <c r="K8" i="4"/>
  <c r="K34" i="17"/>
  <c r="L8" i="4"/>
  <c r="L34" i="17"/>
  <c r="M8" i="4"/>
  <c r="M34" i="17"/>
  <c r="N8" i="4"/>
  <c r="N34" i="17"/>
  <c r="C64" i="4"/>
  <c r="C11" i="4"/>
  <c r="C56" i="17"/>
  <c r="C7" i="2"/>
  <c r="C25" i="17"/>
  <c r="D7" i="2"/>
  <c r="D25" i="17"/>
  <c r="E7" i="2"/>
  <c r="E25" i="17"/>
  <c r="F7" i="2"/>
  <c r="F25" i="17"/>
  <c r="H7" i="2"/>
  <c r="H25" i="17"/>
  <c r="I7" i="2"/>
  <c r="I25" i="17"/>
  <c r="J7" i="2"/>
  <c r="J25" i="17"/>
  <c r="K7" i="2"/>
  <c r="K25" i="17"/>
  <c r="L7" i="2"/>
  <c r="L25" i="17"/>
  <c r="M7" i="2"/>
  <c r="M25" i="17"/>
  <c r="N7" i="2"/>
  <c r="N25" i="17"/>
  <c r="C8" i="2"/>
  <c r="C36" i="17"/>
  <c r="D8" i="2"/>
  <c r="D36" i="17"/>
  <c r="E8" i="2"/>
  <c r="E36" i="17"/>
  <c r="F8" i="2"/>
  <c r="F36" i="17"/>
  <c r="H8" i="2"/>
  <c r="H36" i="17"/>
  <c r="I8" i="2"/>
  <c r="I36" i="17"/>
  <c r="J8" i="2"/>
  <c r="J36" i="17"/>
  <c r="K8" i="2"/>
  <c r="K36" i="17"/>
  <c r="L8" i="2"/>
  <c r="L36" i="17"/>
  <c r="M8" i="2"/>
  <c r="M36" i="17"/>
  <c r="N8" i="2"/>
  <c r="N36" i="17"/>
  <c r="C64" i="2"/>
  <c r="C11" i="2"/>
  <c r="C58" i="17"/>
  <c r="G50" i="1"/>
  <c r="G163" i="17"/>
  <c r="G50" i="6"/>
  <c r="G161" i="17"/>
  <c r="G170" i="17"/>
  <c r="G16" i="17"/>
  <c r="F16" i="17"/>
  <c r="C16" i="17"/>
  <c r="D16" i="17"/>
  <c r="E16" i="17"/>
  <c r="N24" i="27"/>
  <c r="M24" i="27"/>
  <c r="L24" i="27"/>
  <c r="K24" i="27"/>
  <c r="J24" i="27"/>
  <c r="I24" i="27"/>
  <c r="H24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S25" i="22"/>
  <c r="S24" i="22"/>
  <c r="S38" i="22"/>
  <c r="S36" i="22"/>
  <c r="S51" i="22"/>
  <c r="S64" i="22"/>
  <c r="S65" i="22"/>
  <c r="O25" i="22"/>
  <c r="O24" i="22"/>
  <c r="O51" i="22"/>
  <c r="O37" i="22"/>
  <c r="O39" i="22"/>
  <c r="O38" i="22"/>
  <c r="O36" i="22"/>
  <c r="O64" i="22"/>
  <c r="O65" i="22"/>
  <c r="K65" i="22"/>
  <c r="K25" i="22"/>
  <c r="K24" i="22"/>
  <c r="K43" i="22"/>
  <c r="K51" i="22"/>
  <c r="K39" i="22"/>
  <c r="K38" i="22"/>
  <c r="K37" i="22"/>
  <c r="K36" i="22"/>
  <c r="G64" i="22"/>
  <c r="G65" i="22"/>
  <c r="G51" i="22"/>
  <c r="G36" i="22"/>
  <c r="G25" i="22"/>
  <c r="G24" i="22"/>
  <c r="C65" i="22"/>
  <c r="C51" i="22"/>
  <c r="C38" i="22"/>
  <c r="C36" i="22"/>
  <c r="C25" i="22"/>
  <c r="C24" i="22"/>
  <c r="AW54" i="22"/>
  <c r="AS54" i="22"/>
  <c r="AO54" i="22"/>
  <c r="AK54" i="22"/>
  <c r="AG54" i="22"/>
  <c r="AC54" i="22"/>
  <c r="Y54" i="22"/>
  <c r="U54" i="22"/>
  <c r="Q54" i="22"/>
  <c r="M54" i="22"/>
  <c r="I54" i="22"/>
  <c r="E54" i="22"/>
  <c r="AW30" i="22"/>
  <c r="AS30" i="22"/>
  <c r="AO30" i="22"/>
  <c r="AK30" i="22"/>
  <c r="AG30" i="22"/>
  <c r="AC30" i="22"/>
  <c r="Y30" i="22"/>
  <c r="U30" i="22"/>
  <c r="Q30" i="22"/>
  <c r="M30" i="22"/>
  <c r="I30" i="22"/>
  <c r="E30" i="22"/>
  <c r="AW29" i="22"/>
  <c r="AS29" i="22"/>
  <c r="AO29" i="22"/>
  <c r="AK29" i="22"/>
  <c r="AG29" i="22"/>
  <c r="AC29" i="22"/>
  <c r="Y29" i="22"/>
  <c r="U29" i="22"/>
  <c r="Q29" i="22"/>
  <c r="M29" i="22"/>
  <c r="I29" i="22"/>
  <c r="E29" i="22"/>
  <c r="AW25" i="22"/>
  <c r="AS25" i="22"/>
  <c r="AO25" i="22"/>
  <c r="AK25" i="22"/>
  <c r="AG25" i="22"/>
  <c r="AC25" i="22"/>
  <c r="Y25" i="22"/>
  <c r="U25" i="22"/>
  <c r="Q25" i="22"/>
  <c r="M25" i="22"/>
  <c r="I25" i="22"/>
  <c r="E25" i="22"/>
  <c r="AW24" i="22"/>
  <c r="AS24" i="22"/>
  <c r="AO24" i="22"/>
  <c r="AK24" i="22"/>
  <c r="AG24" i="22"/>
  <c r="AC24" i="22"/>
  <c r="Y24" i="22"/>
  <c r="U24" i="22"/>
  <c r="Q24" i="22"/>
  <c r="M24" i="22"/>
  <c r="I24" i="22"/>
  <c r="E24" i="22"/>
  <c r="AW20" i="22"/>
  <c r="AS20" i="22"/>
  <c r="AO20" i="22"/>
  <c r="AK20" i="22"/>
  <c r="AG20" i="22"/>
  <c r="AC20" i="22"/>
  <c r="Y20" i="22"/>
  <c r="U20" i="22"/>
  <c r="Q20" i="22"/>
  <c r="M20" i="22"/>
  <c r="I20" i="22"/>
  <c r="E20" i="22"/>
  <c r="AW19" i="22"/>
  <c r="AS19" i="22"/>
  <c r="AO19" i="22"/>
  <c r="AK19" i="22"/>
  <c r="AG19" i="22"/>
  <c r="AC19" i="22"/>
  <c r="Y19" i="22"/>
  <c r="U19" i="22"/>
  <c r="Q19" i="22"/>
  <c r="M19" i="22"/>
  <c r="I19" i="22"/>
  <c r="E19" i="22"/>
  <c r="AW18" i="22"/>
  <c r="AS18" i="22"/>
  <c r="AO18" i="22"/>
  <c r="AK18" i="22"/>
  <c r="AG18" i="22"/>
  <c r="AC18" i="22"/>
  <c r="Y18" i="22"/>
  <c r="U18" i="22"/>
  <c r="Q18" i="22"/>
  <c r="M18" i="22"/>
  <c r="I18" i="22"/>
  <c r="E18" i="22"/>
  <c r="AU13" i="22"/>
  <c r="AV13" i="22"/>
  <c r="AW13" i="22"/>
  <c r="AQ13" i="22"/>
  <c r="AR13" i="22"/>
  <c r="AS13" i="22"/>
  <c r="AM13" i="22"/>
  <c r="AN13" i="22"/>
  <c r="AO13" i="22"/>
  <c r="AI13" i="22"/>
  <c r="AJ13" i="22"/>
  <c r="AK13" i="22"/>
  <c r="AE13" i="22"/>
  <c r="AF13" i="22"/>
  <c r="AG13" i="22"/>
  <c r="AA13" i="22"/>
  <c r="AB13" i="22"/>
  <c r="AC13" i="22"/>
  <c r="W13" i="22"/>
  <c r="X13" i="22"/>
  <c r="Y13" i="22"/>
  <c r="S13" i="22"/>
  <c r="T13" i="22"/>
  <c r="U13" i="22"/>
  <c r="O13" i="22"/>
  <c r="P13" i="22"/>
  <c r="Q13" i="22"/>
  <c r="K13" i="22"/>
  <c r="L13" i="22"/>
  <c r="M13" i="22"/>
  <c r="G13" i="22"/>
  <c r="H13" i="22"/>
  <c r="I13" i="22"/>
  <c r="C13" i="22"/>
  <c r="D13" i="22"/>
  <c r="E13" i="22"/>
  <c r="AU12" i="22"/>
  <c r="AQ12" i="22"/>
  <c r="AM12" i="22"/>
  <c r="AI12" i="22"/>
  <c r="AE12" i="22"/>
  <c r="AA12" i="22"/>
  <c r="W12" i="22"/>
  <c r="S12" i="22"/>
  <c r="O12" i="22"/>
  <c r="K12" i="22"/>
  <c r="G12" i="22"/>
  <c r="C12" i="22"/>
  <c r="AU11" i="22"/>
  <c r="AQ11" i="22"/>
  <c r="AM11" i="22"/>
  <c r="AI11" i="22"/>
  <c r="AE11" i="22"/>
  <c r="AA11" i="22"/>
  <c r="W11" i="22"/>
  <c r="S11" i="22"/>
  <c r="O11" i="22"/>
  <c r="K11" i="22"/>
  <c r="G11" i="22"/>
  <c r="C11" i="22"/>
  <c r="AU10" i="22"/>
  <c r="AQ10" i="22"/>
  <c r="AM10" i="22"/>
  <c r="AI10" i="22"/>
  <c r="AE10" i="22"/>
  <c r="AA10" i="22"/>
  <c r="W10" i="22"/>
  <c r="S10" i="22"/>
  <c r="O10" i="22"/>
  <c r="K10" i="22"/>
  <c r="G10" i="22"/>
  <c r="C10" i="22"/>
  <c r="AU9" i="22"/>
  <c r="AV9" i="22"/>
  <c r="AW9" i="22"/>
  <c r="AQ9" i="22"/>
  <c r="AR9" i="22"/>
  <c r="AS9" i="22"/>
  <c r="AM9" i="22"/>
  <c r="AN9" i="22"/>
  <c r="AO9" i="22"/>
  <c r="AI9" i="22"/>
  <c r="AJ9" i="22"/>
  <c r="AK9" i="22"/>
  <c r="AE9" i="22"/>
  <c r="AF9" i="22"/>
  <c r="AG9" i="22"/>
  <c r="AA9" i="22"/>
  <c r="AB9" i="22"/>
  <c r="AC9" i="22"/>
  <c r="W9" i="22"/>
  <c r="X9" i="22"/>
  <c r="Y9" i="22"/>
  <c r="S9" i="22"/>
  <c r="T9" i="22"/>
  <c r="U9" i="22"/>
  <c r="O9" i="22"/>
  <c r="P9" i="22"/>
  <c r="Q9" i="22"/>
  <c r="K9" i="22"/>
  <c r="L9" i="22"/>
  <c r="M9" i="22"/>
  <c r="G9" i="22"/>
  <c r="H9" i="22"/>
  <c r="I9" i="22"/>
  <c r="C9" i="22"/>
  <c r="D9" i="22"/>
  <c r="E9" i="22"/>
  <c r="AU8" i="22"/>
  <c r="AV8" i="22"/>
  <c r="AW8" i="22"/>
  <c r="AQ8" i="22"/>
  <c r="AR8" i="22"/>
  <c r="AS8" i="22"/>
  <c r="AM8" i="22"/>
  <c r="AN8" i="22"/>
  <c r="AO8" i="22"/>
  <c r="AI8" i="22"/>
  <c r="AJ8" i="22"/>
  <c r="AK8" i="22"/>
  <c r="AE8" i="22"/>
  <c r="AF8" i="22"/>
  <c r="AG8" i="22"/>
  <c r="AA8" i="22"/>
  <c r="AB8" i="22"/>
  <c r="AC8" i="22"/>
  <c r="W8" i="22"/>
  <c r="X8" i="22"/>
  <c r="Y8" i="22"/>
  <c r="S8" i="22"/>
  <c r="T8" i="22"/>
  <c r="U8" i="22"/>
  <c r="O8" i="22"/>
  <c r="P8" i="22"/>
  <c r="Q8" i="22"/>
  <c r="K8" i="22"/>
  <c r="L8" i="22"/>
  <c r="M8" i="22"/>
  <c r="G8" i="22"/>
  <c r="H8" i="22"/>
  <c r="I8" i="22"/>
  <c r="C8" i="22"/>
  <c r="D8" i="22"/>
  <c r="E8" i="22"/>
  <c r="G4" i="22"/>
  <c r="K4" i="22"/>
  <c r="O4" i="22"/>
  <c r="S4" i="22"/>
  <c r="W4" i="22"/>
  <c r="AA4" i="22"/>
  <c r="AE4" i="22"/>
  <c r="AI4" i="22"/>
  <c r="AM4" i="22"/>
  <c r="AQ4" i="22"/>
  <c r="AU4" i="22"/>
  <c r="N10" i="5"/>
  <c r="M10" i="5"/>
  <c r="L10" i="5"/>
  <c r="K10" i="5"/>
  <c r="J10" i="5"/>
  <c r="I10" i="5"/>
  <c r="H10" i="5"/>
  <c r="G10" i="5"/>
  <c r="F10" i="5"/>
  <c r="E10" i="5"/>
  <c r="D10" i="5"/>
  <c r="C10" i="5"/>
  <c r="N24" i="5"/>
  <c r="M24" i="5"/>
  <c r="L24" i="5"/>
  <c r="K24" i="5"/>
  <c r="J24" i="5"/>
  <c r="I24" i="5"/>
  <c r="H24" i="5"/>
  <c r="N23" i="5"/>
  <c r="M23" i="5"/>
  <c r="L23" i="5"/>
  <c r="K23" i="5"/>
  <c r="J23" i="5"/>
  <c r="I23" i="5"/>
  <c r="H23" i="5"/>
  <c r="G23" i="5"/>
  <c r="F23" i="5"/>
  <c r="E23" i="5"/>
  <c r="D23" i="5"/>
  <c r="C23" i="5"/>
  <c r="S56" i="20"/>
  <c r="S58" i="20"/>
  <c r="S65" i="20"/>
  <c r="S66" i="20"/>
  <c r="S52" i="20"/>
  <c r="S38" i="20"/>
  <c r="S36" i="20"/>
  <c r="S25" i="20"/>
  <c r="S24" i="20"/>
  <c r="O65" i="20"/>
  <c r="O58" i="20"/>
  <c r="O52" i="20"/>
  <c r="O66" i="20"/>
  <c r="O39" i="20"/>
  <c r="O37" i="20"/>
  <c r="O25" i="20"/>
  <c r="O24" i="20"/>
  <c r="O38" i="20"/>
  <c r="O36" i="20"/>
  <c r="K36" i="20"/>
  <c r="K58" i="20"/>
  <c r="K52" i="20"/>
  <c r="K65" i="20"/>
  <c r="K66" i="20"/>
  <c r="K25" i="20"/>
  <c r="K24" i="20"/>
  <c r="G56" i="20"/>
  <c r="C56" i="20"/>
  <c r="G24" i="20"/>
  <c r="C24" i="20"/>
  <c r="AV55" i="20"/>
  <c r="AV20" i="20"/>
  <c r="AR55" i="20"/>
  <c r="AR20" i="20"/>
  <c r="AN55" i="20"/>
  <c r="AN20" i="20"/>
  <c r="AJ55" i="20"/>
  <c r="AJ20" i="20"/>
  <c r="AF55" i="20"/>
  <c r="AF20" i="20"/>
  <c r="AB55" i="20"/>
  <c r="AB20" i="20"/>
  <c r="X55" i="20"/>
  <c r="X20" i="20"/>
  <c r="T55" i="20"/>
  <c r="T20" i="20"/>
  <c r="G65" i="20"/>
  <c r="G66" i="20"/>
  <c r="G58" i="20"/>
  <c r="G52" i="20"/>
  <c r="G36" i="20"/>
  <c r="G25" i="20"/>
  <c r="C66" i="20"/>
  <c r="C58" i="20"/>
  <c r="C52" i="20"/>
  <c r="C38" i="20"/>
  <c r="C36" i="20"/>
  <c r="C25" i="20"/>
  <c r="AU13" i="20"/>
  <c r="AV13" i="20"/>
  <c r="AW13" i="20"/>
  <c r="AQ13" i="20"/>
  <c r="AR13" i="20"/>
  <c r="AS13" i="20"/>
  <c r="AM13" i="20"/>
  <c r="AN13" i="20"/>
  <c r="AO13" i="20"/>
  <c r="AI13" i="20"/>
  <c r="AJ13" i="20"/>
  <c r="AK13" i="20"/>
  <c r="AE13" i="20"/>
  <c r="AF13" i="20"/>
  <c r="AG13" i="20"/>
  <c r="AA13" i="20"/>
  <c r="AB13" i="20"/>
  <c r="AC13" i="20"/>
  <c r="W13" i="20"/>
  <c r="X13" i="20"/>
  <c r="Y13" i="20"/>
  <c r="S13" i="20"/>
  <c r="T13" i="20"/>
  <c r="U13" i="20"/>
  <c r="O13" i="20"/>
  <c r="P13" i="20"/>
  <c r="Q13" i="20"/>
  <c r="K13" i="20"/>
  <c r="L13" i="20"/>
  <c r="M13" i="20"/>
  <c r="G13" i="20"/>
  <c r="H13" i="20"/>
  <c r="I13" i="20"/>
  <c r="C13" i="20"/>
  <c r="D13" i="20"/>
  <c r="E13" i="20"/>
  <c r="AU12" i="20"/>
  <c r="AQ12" i="20"/>
  <c r="AM12" i="20"/>
  <c r="AI12" i="20"/>
  <c r="AE12" i="20"/>
  <c r="AA12" i="20"/>
  <c r="W12" i="20"/>
  <c r="S12" i="20"/>
  <c r="O12" i="20"/>
  <c r="K12" i="20"/>
  <c r="G12" i="20"/>
  <c r="C12" i="20"/>
  <c r="AU11" i="20"/>
  <c r="AQ11" i="20"/>
  <c r="AM11" i="20"/>
  <c r="AI11" i="20"/>
  <c r="AE11" i="20"/>
  <c r="AA11" i="20"/>
  <c r="W11" i="20"/>
  <c r="S11" i="20"/>
  <c r="O11" i="20"/>
  <c r="K11" i="20"/>
  <c r="G11" i="20"/>
  <c r="C11" i="20"/>
  <c r="AU10" i="20"/>
  <c r="AQ10" i="20"/>
  <c r="AM10" i="20"/>
  <c r="AI10" i="20"/>
  <c r="AE10" i="20"/>
  <c r="AA10" i="20"/>
  <c r="W10" i="20"/>
  <c r="S10" i="20"/>
  <c r="O10" i="20"/>
  <c r="K10" i="20"/>
  <c r="G10" i="20"/>
  <c r="C10" i="20"/>
  <c r="AU9" i="20"/>
  <c r="AV9" i="20"/>
  <c r="AW9" i="20"/>
  <c r="AQ9" i="20"/>
  <c r="AR9" i="20"/>
  <c r="AS9" i="20"/>
  <c r="AM9" i="20"/>
  <c r="AN9" i="20"/>
  <c r="AO9" i="20"/>
  <c r="AI9" i="20"/>
  <c r="AJ9" i="20"/>
  <c r="AK9" i="20"/>
  <c r="AE9" i="20"/>
  <c r="AF9" i="20"/>
  <c r="AG9" i="20"/>
  <c r="AA9" i="20"/>
  <c r="AB9" i="20"/>
  <c r="AC9" i="20"/>
  <c r="W9" i="20"/>
  <c r="X9" i="20"/>
  <c r="Y9" i="20"/>
  <c r="S9" i="20"/>
  <c r="T9" i="20"/>
  <c r="U9" i="20"/>
  <c r="O9" i="20"/>
  <c r="K9" i="20"/>
  <c r="G9" i="20"/>
  <c r="C9" i="20"/>
  <c r="AU8" i="20"/>
  <c r="AV8" i="20"/>
  <c r="AW8" i="20"/>
  <c r="AQ8" i="20"/>
  <c r="AR8" i="20"/>
  <c r="AS8" i="20"/>
  <c r="AM8" i="20"/>
  <c r="AN8" i="20"/>
  <c r="AO8" i="20"/>
  <c r="AI8" i="20"/>
  <c r="AJ8" i="20"/>
  <c r="AK8" i="20"/>
  <c r="AE8" i="20"/>
  <c r="AF8" i="20"/>
  <c r="AG8" i="20"/>
  <c r="AA8" i="20"/>
  <c r="AB8" i="20"/>
  <c r="AC8" i="20"/>
  <c r="W8" i="20"/>
  <c r="X8" i="20"/>
  <c r="Y8" i="20"/>
  <c r="S8" i="20"/>
  <c r="T8" i="20"/>
  <c r="U8" i="20"/>
  <c r="O8" i="20"/>
  <c r="P8" i="20"/>
  <c r="Q8" i="20"/>
  <c r="K8" i="20"/>
  <c r="L8" i="20"/>
  <c r="M8" i="20"/>
  <c r="G8" i="20"/>
  <c r="H8" i="20"/>
  <c r="I8" i="20"/>
  <c r="C8" i="20"/>
  <c r="D8" i="20"/>
  <c r="E8" i="20"/>
  <c r="AW55" i="20"/>
  <c r="AS55" i="20"/>
  <c r="AO55" i="20"/>
  <c r="AK55" i="20"/>
  <c r="AG55" i="20"/>
  <c r="AC55" i="20"/>
  <c r="Y55" i="20"/>
  <c r="U55" i="20"/>
  <c r="AW30" i="20"/>
  <c r="AS30" i="20"/>
  <c r="AO30" i="20"/>
  <c r="AK30" i="20"/>
  <c r="AG30" i="20"/>
  <c r="AC30" i="20"/>
  <c r="Y30" i="20"/>
  <c r="U30" i="20"/>
  <c r="Q30" i="20"/>
  <c r="M30" i="20"/>
  <c r="I30" i="20"/>
  <c r="E30" i="20"/>
  <c r="AW29" i="20"/>
  <c r="AS29" i="20"/>
  <c r="AO29" i="20"/>
  <c r="AK29" i="20"/>
  <c r="AG29" i="20"/>
  <c r="AC29" i="20"/>
  <c r="Y29" i="20"/>
  <c r="U29" i="20"/>
  <c r="Q29" i="20"/>
  <c r="M29" i="20"/>
  <c r="I29" i="20"/>
  <c r="E29" i="20"/>
  <c r="AW25" i="20"/>
  <c r="AS25" i="20"/>
  <c r="AO25" i="20"/>
  <c r="AK25" i="20"/>
  <c r="AG25" i="20"/>
  <c r="AC25" i="20"/>
  <c r="Y25" i="20"/>
  <c r="U25" i="20"/>
  <c r="Q25" i="20"/>
  <c r="M25" i="20"/>
  <c r="I25" i="20"/>
  <c r="E25" i="20"/>
  <c r="AW24" i="20"/>
  <c r="AS24" i="20"/>
  <c r="AO24" i="20"/>
  <c r="AK24" i="20"/>
  <c r="AG24" i="20"/>
  <c r="AC24" i="20"/>
  <c r="Y24" i="20"/>
  <c r="U24" i="20"/>
  <c r="Q24" i="20"/>
  <c r="M24" i="20"/>
  <c r="I24" i="20"/>
  <c r="E24" i="20"/>
  <c r="AW20" i="20"/>
  <c r="AS20" i="20"/>
  <c r="AO20" i="20"/>
  <c r="AK20" i="20"/>
  <c r="AG20" i="20"/>
  <c r="AC20" i="20"/>
  <c r="Y20" i="20"/>
  <c r="U20" i="20"/>
  <c r="AW19" i="20"/>
  <c r="AS19" i="20"/>
  <c r="AO19" i="20"/>
  <c r="AK19" i="20"/>
  <c r="AG19" i="20"/>
  <c r="AC19" i="20"/>
  <c r="Y19" i="20"/>
  <c r="U19" i="20"/>
  <c r="Q19" i="20"/>
  <c r="M19" i="20"/>
  <c r="I19" i="20"/>
  <c r="E19" i="20"/>
  <c r="AW18" i="20"/>
  <c r="AS18" i="20"/>
  <c r="AO18" i="20"/>
  <c r="AK18" i="20"/>
  <c r="AG18" i="20"/>
  <c r="AC18" i="20"/>
  <c r="Y18" i="20"/>
  <c r="U18" i="20"/>
  <c r="Q18" i="20"/>
  <c r="M18" i="20"/>
  <c r="I18" i="20"/>
  <c r="E18" i="20"/>
  <c r="G4" i="20"/>
  <c r="K4" i="20"/>
  <c r="O4" i="20"/>
  <c r="S4" i="20"/>
  <c r="W4" i="20"/>
  <c r="AA4" i="20"/>
  <c r="AE4" i="20"/>
  <c r="AI4" i="20"/>
  <c r="AM4" i="20"/>
  <c r="AQ4" i="20"/>
  <c r="AU4" i="20"/>
  <c r="P20" i="20"/>
  <c r="P9" i="20"/>
  <c r="Q9" i="20"/>
  <c r="L20" i="20"/>
  <c r="L9" i="20"/>
  <c r="M9" i="20"/>
  <c r="H20" i="20"/>
  <c r="H9" i="20"/>
  <c r="I9" i="20"/>
  <c r="D20" i="20"/>
  <c r="D9" i="20"/>
  <c r="E9" i="20"/>
  <c r="P55" i="20"/>
  <c r="Q55" i="20"/>
  <c r="L55" i="20"/>
  <c r="M55" i="20"/>
  <c r="H55" i="20"/>
  <c r="I55" i="20"/>
  <c r="D55" i="20"/>
  <c r="E55" i="20"/>
  <c r="Q20" i="20"/>
  <c r="M20" i="20"/>
  <c r="I20" i="20"/>
  <c r="E20" i="20"/>
  <c r="N24" i="28"/>
  <c r="M24" i="28"/>
  <c r="L24" i="28"/>
  <c r="K24" i="28"/>
  <c r="J24" i="28"/>
  <c r="I24" i="28"/>
  <c r="H24" i="28"/>
  <c r="G24" i="28"/>
  <c r="F24" i="28"/>
  <c r="N23" i="28"/>
  <c r="M23" i="28"/>
  <c r="L23" i="28"/>
  <c r="K23" i="28"/>
  <c r="J23" i="28"/>
  <c r="I23" i="28"/>
  <c r="H23" i="28"/>
  <c r="G23" i="28"/>
  <c r="F23" i="28"/>
  <c r="E11" i="28"/>
  <c r="D11" i="28"/>
  <c r="C11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E9" i="28"/>
  <c r="D9" i="28"/>
  <c r="C9" i="28"/>
  <c r="E7" i="28"/>
  <c r="D7" i="28"/>
  <c r="C7" i="28"/>
  <c r="S25" i="29"/>
  <c r="S24" i="29"/>
  <c r="S38" i="29"/>
  <c r="S36" i="29"/>
  <c r="S51" i="29"/>
  <c r="S64" i="29"/>
  <c r="S65" i="29"/>
  <c r="S13" i="29"/>
  <c r="O51" i="29"/>
  <c r="O64" i="29"/>
  <c r="O65" i="29"/>
  <c r="O39" i="29"/>
  <c r="O37" i="29"/>
  <c r="O38" i="29"/>
  <c r="O36" i="29"/>
  <c r="O25" i="29"/>
  <c r="O24" i="29"/>
  <c r="O13" i="29"/>
  <c r="O12" i="29"/>
  <c r="O11" i="29"/>
  <c r="O10" i="29"/>
  <c r="O9" i="29"/>
  <c r="O8" i="29"/>
  <c r="G4" i="29"/>
  <c r="K4" i="29"/>
  <c r="O4" i="29"/>
  <c r="K13" i="29"/>
  <c r="K12" i="29"/>
  <c r="K11" i="29"/>
  <c r="K10" i="29"/>
  <c r="K9" i="29"/>
  <c r="K8" i="29"/>
  <c r="AW54" i="29"/>
  <c r="AS54" i="29"/>
  <c r="AO54" i="29"/>
  <c r="AK54" i="29"/>
  <c r="AG54" i="29"/>
  <c r="AC54" i="29"/>
  <c r="Y54" i="29"/>
  <c r="U54" i="29"/>
  <c r="Q54" i="29"/>
  <c r="M54" i="29"/>
  <c r="I54" i="29"/>
  <c r="E54" i="29"/>
  <c r="AW30" i="29"/>
  <c r="AS30" i="29"/>
  <c r="AO30" i="29"/>
  <c r="AK30" i="29"/>
  <c r="AG30" i="29"/>
  <c r="AC30" i="29"/>
  <c r="Y30" i="29"/>
  <c r="U30" i="29"/>
  <c r="Q30" i="29"/>
  <c r="M30" i="29"/>
  <c r="I30" i="29"/>
  <c r="E30" i="29"/>
  <c r="AW29" i="29"/>
  <c r="AS29" i="29"/>
  <c r="AO29" i="29"/>
  <c r="AK29" i="29"/>
  <c r="AG29" i="29"/>
  <c r="AC29" i="29"/>
  <c r="Y29" i="29"/>
  <c r="U29" i="29"/>
  <c r="Q29" i="29"/>
  <c r="M29" i="29"/>
  <c r="I29" i="29"/>
  <c r="E29" i="29"/>
  <c r="AW25" i="29"/>
  <c r="AS25" i="29"/>
  <c r="AO25" i="29"/>
  <c r="AK25" i="29"/>
  <c r="AG25" i="29"/>
  <c r="AC25" i="29"/>
  <c r="Y25" i="29"/>
  <c r="U25" i="29"/>
  <c r="Q25" i="29"/>
  <c r="M25" i="29"/>
  <c r="I25" i="29"/>
  <c r="E25" i="29"/>
  <c r="AW24" i="29"/>
  <c r="AS24" i="29"/>
  <c r="AO24" i="29"/>
  <c r="AK24" i="29"/>
  <c r="AG24" i="29"/>
  <c r="AC24" i="29"/>
  <c r="Y24" i="29"/>
  <c r="U24" i="29"/>
  <c r="Q24" i="29"/>
  <c r="M24" i="29"/>
  <c r="I24" i="29"/>
  <c r="E24" i="29"/>
  <c r="AW20" i="29"/>
  <c r="AS20" i="29"/>
  <c r="AO20" i="29"/>
  <c r="AK20" i="29"/>
  <c r="AG20" i="29"/>
  <c r="AC20" i="29"/>
  <c r="Y20" i="29"/>
  <c r="U20" i="29"/>
  <c r="Q20" i="29"/>
  <c r="M20" i="29"/>
  <c r="I20" i="29"/>
  <c r="E20" i="29"/>
  <c r="AW19" i="29"/>
  <c r="AS19" i="29"/>
  <c r="AO19" i="29"/>
  <c r="AK19" i="29"/>
  <c r="AG19" i="29"/>
  <c r="AC19" i="29"/>
  <c r="Y19" i="29"/>
  <c r="U19" i="29"/>
  <c r="Q19" i="29"/>
  <c r="M19" i="29"/>
  <c r="I19" i="29"/>
  <c r="E19" i="29"/>
  <c r="AW18" i="29"/>
  <c r="AS18" i="29"/>
  <c r="AO18" i="29"/>
  <c r="AK18" i="29"/>
  <c r="AG18" i="29"/>
  <c r="AC18" i="29"/>
  <c r="Y18" i="29"/>
  <c r="U18" i="29"/>
  <c r="Q18" i="29"/>
  <c r="M18" i="29"/>
  <c r="I18" i="29"/>
  <c r="E18" i="29"/>
  <c r="AU13" i="29"/>
  <c r="AV13" i="29"/>
  <c r="AW13" i="29"/>
  <c r="AQ13" i="29"/>
  <c r="AR13" i="29"/>
  <c r="AS13" i="29"/>
  <c r="AM13" i="29"/>
  <c r="AN13" i="29"/>
  <c r="AO13" i="29"/>
  <c r="AI13" i="29"/>
  <c r="AJ13" i="29"/>
  <c r="AK13" i="29"/>
  <c r="AE13" i="29"/>
  <c r="AF13" i="29"/>
  <c r="AG13" i="29"/>
  <c r="AA13" i="29"/>
  <c r="AB13" i="29"/>
  <c r="AC13" i="29"/>
  <c r="W13" i="29"/>
  <c r="X13" i="29"/>
  <c r="Y13" i="29"/>
  <c r="T13" i="29"/>
  <c r="U13" i="29"/>
  <c r="P13" i="29"/>
  <c r="Q13" i="29"/>
  <c r="L13" i="29"/>
  <c r="M13" i="29"/>
  <c r="G13" i="29"/>
  <c r="H13" i="29"/>
  <c r="I13" i="29"/>
  <c r="C13" i="29"/>
  <c r="D13" i="29"/>
  <c r="E13" i="29"/>
  <c r="AU12" i="29"/>
  <c r="AQ12" i="29"/>
  <c r="AM12" i="29"/>
  <c r="AI12" i="29"/>
  <c r="AE12" i="29"/>
  <c r="AA12" i="29"/>
  <c r="W12" i="29"/>
  <c r="S12" i="29"/>
  <c r="G12" i="29"/>
  <c r="C12" i="29"/>
  <c r="AU11" i="29"/>
  <c r="AQ11" i="29"/>
  <c r="AM11" i="29"/>
  <c r="AI11" i="29"/>
  <c r="AE11" i="29"/>
  <c r="AA11" i="29"/>
  <c r="W11" i="29"/>
  <c r="S11" i="29"/>
  <c r="G11" i="29"/>
  <c r="C11" i="29"/>
  <c r="AU10" i="29"/>
  <c r="AQ10" i="29"/>
  <c r="AM10" i="29"/>
  <c r="AI10" i="29"/>
  <c r="AE10" i="29"/>
  <c r="AA10" i="29"/>
  <c r="W10" i="29"/>
  <c r="S10" i="29"/>
  <c r="G10" i="29"/>
  <c r="C10" i="29"/>
  <c r="AU9" i="29"/>
  <c r="AV9" i="29"/>
  <c r="AW9" i="29"/>
  <c r="AQ9" i="29"/>
  <c r="AR9" i="29"/>
  <c r="AS9" i="29"/>
  <c r="AM9" i="29"/>
  <c r="AN9" i="29"/>
  <c r="AO9" i="29"/>
  <c r="AI9" i="29"/>
  <c r="AJ9" i="29"/>
  <c r="AK9" i="29"/>
  <c r="AE9" i="29"/>
  <c r="AF9" i="29"/>
  <c r="AG9" i="29"/>
  <c r="AA9" i="29"/>
  <c r="AB9" i="29"/>
  <c r="AC9" i="29"/>
  <c r="W9" i="29"/>
  <c r="X9" i="29"/>
  <c r="Y9" i="29"/>
  <c r="S9" i="29"/>
  <c r="T9" i="29"/>
  <c r="U9" i="29"/>
  <c r="P9" i="29"/>
  <c r="Q9" i="29"/>
  <c r="L9" i="29"/>
  <c r="M9" i="29"/>
  <c r="G9" i="29"/>
  <c r="H9" i="29"/>
  <c r="I9" i="29"/>
  <c r="C9" i="29"/>
  <c r="D9" i="29"/>
  <c r="E9" i="29"/>
  <c r="AU8" i="29"/>
  <c r="AV8" i="29"/>
  <c r="AW8" i="29"/>
  <c r="AQ8" i="29"/>
  <c r="AR8" i="29"/>
  <c r="AS8" i="29"/>
  <c r="AM8" i="29"/>
  <c r="AN8" i="29"/>
  <c r="AO8" i="29"/>
  <c r="AI8" i="29"/>
  <c r="AJ8" i="29"/>
  <c r="AK8" i="29"/>
  <c r="AE8" i="29"/>
  <c r="AF8" i="29"/>
  <c r="AG8" i="29"/>
  <c r="AA8" i="29"/>
  <c r="AB8" i="29"/>
  <c r="AC8" i="29"/>
  <c r="W8" i="29"/>
  <c r="X8" i="29"/>
  <c r="Y8" i="29"/>
  <c r="S8" i="29"/>
  <c r="T8" i="29"/>
  <c r="U8" i="29"/>
  <c r="P8" i="29"/>
  <c r="Q8" i="29"/>
  <c r="L8" i="29"/>
  <c r="M8" i="29"/>
  <c r="G8" i="29"/>
  <c r="H8" i="29"/>
  <c r="I8" i="29"/>
  <c r="C8" i="29"/>
  <c r="D8" i="29"/>
  <c r="E8" i="29"/>
  <c r="S4" i="29"/>
  <c r="W4" i="29"/>
  <c r="AA4" i="29"/>
  <c r="AE4" i="29"/>
  <c r="AI4" i="29"/>
  <c r="AM4" i="29"/>
  <c r="AQ4" i="29"/>
  <c r="AU4" i="29"/>
  <c r="N10" i="7"/>
  <c r="M10" i="7"/>
  <c r="L10" i="7"/>
  <c r="K10" i="7"/>
  <c r="J10" i="7"/>
  <c r="I10" i="7"/>
  <c r="H10" i="7"/>
  <c r="G10" i="7"/>
  <c r="F10" i="7"/>
  <c r="E10" i="7"/>
  <c r="D10" i="7"/>
  <c r="C10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G23" i="7"/>
  <c r="F23" i="7"/>
  <c r="E23" i="7"/>
  <c r="S64" i="26"/>
  <c r="S65" i="26"/>
  <c r="S25" i="26"/>
  <c r="S24" i="26"/>
  <c r="S38" i="26"/>
  <c r="S36" i="26"/>
  <c r="S51" i="26"/>
  <c r="O51" i="26"/>
  <c r="O64" i="26"/>
  <c r="O65" i="26"/>
  <c r="O37" i="26"/>
  <c r="O39" i="26"/>
  <c r="O38" i="26"/>
  <c r="O36" i="26"/>
  <c r="O25" i="26"/>
  <c r="O24" i="26"/>
  <c r="K51" i="26"/>
  <c r="K64" i="26"/>
  <c r="K65" i="26"/>
  <c r="K38" i="26"/>
  <c r="K36" i="26"/>
  <c r="K25" i="26"/>
  <c r="K24" i="26"/>
  <c r="Y18" i="26"/>
  <c r="Y19" i="26"/>
  <c r="Y20" i="26"/>
  <c r="Y24" i="26"/>
  <c r="Y25" i="26"/>
  <c r="Y29" i="26"/>
  <c r="Y30" i="26"/>
  <c r="Y54" i="26"/>
  <c r="AW54" i="26"/>
  <c r="AS54" i="26"/>
  <c r="AO54" i="26"/>
  <c r="AK54" i="26"/>
  <c r="AG54" i="26"/>
  <c r="AC54" i="26"/>
  <c r="U54" i="26"/>
  <c r="Q54" i="26"/>
  <c r="M54" i="26"/>
  <c r="I54" i="26"/>
  <c r="E54" i="26"/>
  <c r="AW30" i="26"/>
  <c r="AS30" i="26"/>
  <c r="AO30" i="26"/>
  <c r="AK30" i="26"/>
  <c r="AG30" i="26"/>
  <c r="AC30" i="26"/>
  <c r="U30" i="26"/>
  <c r="Q30" i="26"/>
  <c r="M30" i="26"/>
  <c r="I30" i="26"/>
  <c r="E30" i="26"/>
  <c r="AW29" i="26"/>
  <c r="AS29" i="26"/>
  <c r="AO29" i="26"/>
  <c r="AK29" i="26"/>
  <c r="AG29" i="26"/>
  <c r="AC29" i="26"/>
  <c r="U29" i="26"/>
  <c r="Q29" i="26"/>
  <c r="M29" i="26"/>
  <c r="I29" i="26"/>
  <c r="E29" i="26"/>
  <c r="AW25" i="26"/>
  <c r="AS25" i="26"/>
  <c r="AO25" i="26"/>
  <c r="AK25" i="26"/>
  <c r="AG25" i="26"/>
  <c r="AC25" i="26"/>
  <c r="U25" i="26"/>
  <c r="Q25" i="26"/>
  <c r="M25" i="26"/>
  <c r="I25" i="26"/>
  <c r="E25" i="26"/>
  <c r="AW24" i="26"/>
  <c r="AS24" i="26"/>
  <c r="AO24" i="26"/>
  <c r="AK24" i="26"/>
  <c r="AG24" i="26"/>
  <c r="AC24" i="26"/>
  <c r="U24" i="26"/>
  <c r="Q24" i="26"/>
  <c r="M24" i="26"/>
  <c r="I24" i="26"/>
  <c r="E24" i="26"/>
  <c r="AW20" i="26"/>
  <c r="AS20" i="26"/>
  <c r="AO20" i="26"/>
  <c r="AK20" i="26"/>
  <c r="AG20" i="26"/>
  <c r="AC20" i="26"/>
  <c r="U20" i="26"/>
  <c r="Q20" i="26"/>
  <c r="M20" i="26"/>
  <c r="I20" i="26"/>
  <c r="E20" i="26"/>
  <c r="AW19" i="26"/>
  <c r="AS19" i="26"/>
  <c r="AO19" i="26"/>
  <c r="AK19" i="26"/>
  <c r="AG19" i="26"/>
  <c r="AC19" i="26"/>
  <c r="U19" i="26"/>
  <c r="Q19" i="26"/>
  <c r="M19" i="26"/>
  <c r="I19" i="26"/>
  <c r="E19" i="26"/>
  <c r="AW18" i="26"/>
  <c r="AS18" i="26"/>
  <c r="AO18" i="26"/>
  <c r="AK18" i="26"/>
  <c r="AG18" i="26"/>
  <c r="AC18" i="26"/>
  <c r="U18" i="26"/>
  <c r="Q18" i="26"/>
  <c r="M18" i="26"/>
  <c r="I18" i="26"/>
  <c r="E18" i="26"/>
  <c r="AU13" i="26"/>
  <c r="AV13" i="26"/>
  <c r="AW13" i="26"/>
  <c r="AQ13" i="26"/>
  <c r="AR13" i="26"/>
  <c r="AS13" i="26"/>
  <c r="AM13" i="26"/>
  <c r="AN13" i="26"/>
  <c r="AO13" i="26"/>
  <c r="AI13" i="26"/>
  <c r="AJ13" i="26"/>
  <c r="AK13" i="26"/>
  <c r="AE13" i="26"/>
  <c r="AF13" i="26"/>
  <c r="AG13" i="26"/>
  <c r="AA13" i="26"/>
  <c r="AB13" i="26"/>
  <c r="AC13" i="26"/>
  <c r="W13" i="26"/>
  <c r="X13" i="26"/>
  <c r="Y13" i="26"/>
  <c r="S13" i="26"/>
  <c r="T13" i="26"/>
  <c r="U13" i="26"/>
  <c r="O13" i="26"/>
  <c r="P13" i="26"/>
  <c r="Q13" i="26"/>
  <c r="K13" i="26"/>
  <c r="L13" i="26"/>
  <c r="M13" i="26"/>
  <c r="G13" i="26"/>
  <c r="H13" i="26"/>
  <c r="I13" i="26"/>
  <c r="C13" i="26"/>
  <c r="D13" i="26"/>
  <c r="E13" i="26"/>
  <c r="AU12" i="26"/>
  <c r="AQ12" i="26"/>
  <c r="AM12" i="26"/>
  <c r="AI12" i="26"/>
  <c r="AE12" i="26"/>
  <c r="AA12" i="26"/>
  <c r="W12" i="26"/>
  <c r="S12" i="26"/>
  <c r="O12" i="26"/>
  <c r="K12" i="26"/>
  <c r="G12" i="26"/>
  <c r="C12" i="26"/>
  <c r="AU11" i="26"/>
  <c r="AQ11" i="26"/>
  <c r="AM11" i="26"/>
  <c r="AI11" i="26"/>
  <c r="AE11" i="26"/>
  <c r="AA11" i="26"/>
  <c r="W11" i="26"/>
  <c r="S11" i="26"/>
  <c r="O11" i="26"/>
  <c r="K11" i="26"/>
  <c r="G11" i="26"/>
  <c r="C11" i="26"/>
  <c r="AU10" i="26"/>
  <c r="AQ10" i="26"/>
  <c r="AM10" i="26"/>
  <c r="AI10" i="26"/>
  <c r="AE10" i="26"/>
  <c r="AA10" i="26"/>
  <c r="W10" i="26"/>
  <c r="S10" i="26"/>
  <c r="O10" i="26"/>
  <c r="K10" i="26"/>
  <c r="G10" i="26"/>
  <c r="C10" i="26"/>
  <c r="AU9" i="26"/>
  <c r="AV9" i="26"/>
  <c r="AW9" i="26"/>
  <c r="AQ9" i="26"/>
  <c r="AR9" i="26"/>
  <c r="AS9" i="26"/>
  <c r="AM9" i="26"/>
  <c r="AN9" i="26"/>
  <c r="AO9" i="26"/>
  <c r="AI9" i="26"/>
  <c r="AJ9" i="26"/>
  <c r="AK9" i="26"/>
  <c r="AE9" i="26"/>
  <c r="AF9" i="26"/>
  <c r="AG9" i="26"/>
  <c r="AA9" i="26"/>
  <c r="AB9" i="26"/>
  <c r="AC9" i="26"/>
  <c r="W9" i="26"/>
  <c r="X9" i="26"/>
  <c r="Y9" i="26"/>
  <c r="S9" i="26"/>
  <c r="T9" i="26"/>
  <c r="U9" i="26"/>
  <c r="O9" i="26"/>
  <c r="P9" i="26"/>
  <c r="Q9" i="26"/>
  <c r="K9" i="26"/>
  <c r="L9" i="26"/>
  <c r="M9" i="26"/>
  <c r="G9" i="26"/>
  <c r="H9" i="26"/>
  <c r="I9" i="26"/>
  <c r="C9" i="26"/>
  <c r="D9" i="26"/>
  <c r="E9" i="26"/>
  <c r="AU8" i="26"/>
  <c r="AV8" i="26"/>
  <c r="AW8" i="26"/>
  <c r="AQ8" i="26"/>
  <c r="AR8" i="26"/>
  <c r="AS8" i="26"/>
  <c r="AM8" i="26"/>
  <c r="AN8" i="26"/>
  <c r="AO8" i="26"/>
  <c r="AI8" i="26"/>
  <c r="AJ8" i="26"/>
  <c r="AK8" i="26"/>
  <c r="AE8" i="26"/>
  <c r="AF8" i="26"/>
  <c r="AG8" i="26"/>
  <c r="AA8" i="26"/>
  <c r="AB8" i="26"/>
  <c r="AC8" i="26"/>
  <c r="W8" i="26"/>
  <c r="X8" i="26"/>
  <c r="Y8" i="26"/>
  <c r="S8" i="26"/>
  <c r="T8" i="26"/>
  <c r="U8" i="26"/>
  <c r="O8" i="26"/>
  <c r="P8" i="26"/>
  <c r="Q8" i="26"/>
  <c r="K8" i="26"/>
  <c r="L8" i="26"/>
  <c r="M8" i="26"/>
  <c r="G8" i="26"/>
  <c r="H8" i="26"/>
  <c r="I8" i="26"/>
  <c r="C8" i="26"/>
  <c r="D8" i="26"/>
  <c r="E8" i="26"/>
  <c r="G4" i="26"/>
  <c r="K4" i="26"/>
  <c r="O4" i="26"/>
  <c r="S4" i="26"/>
  <c r="W4" i="26"/>
  <c r="AA4" i="26"/>
  <c r="AE4" i="26"/>
  <c r="AI4" i="26"/>
  <c r="AM4" i="26"/>
  <c r="AQ4" i="26"/>
  <c r="AU4" i="26"/>
  <c r="N10" i="1"/>
  <c r="M10" i="1"/>
  <c r="L10" i="1"/>
  <c r="K10" i="1"/>
  <c r="J10" i="1"/>
  <c r="I10" i="1"/>
  <c r="H10" i="1"/>
  <c r="G10" i="1"/>
  <c r="F10" i="1"/>
  <c r="E10" i="1"/>
  <c r="D10" i="1"/>
  <c r="C10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G23" i="1"/>
  <c r="F23" i="1"/>
  <c r="E23" i="1"/>
  <c r="D23" i="1"/>
  <c r="C23" i="1"/>
  <c r="S57" i="19"/>
  <c r="S55" i="19"/>
  <c r="S64" i="19"/>
  <c r="S38" i="19"/>
  <c r="S36" i="19"/>
  <c r="S25" i="19"/>
  <c r="S24" i="19"/>
  <c r="S51" i="19"/>
  <c r="O64" i="19"/>
  <c r="O51" i="19"/>
  <c r="O57" i="19"/>
  <c r="O55" i="19"/>
  <c r="O39" i="19"/>
  <c r="O38" i="19"/>
  <c r="O37" i="19"/>
  <c r="O36" i="19"/>
  <c r="O25" i="19"/>
  <c r="O24" i="19"/>
  <c r="K51" i="19"/>
  <c r="AU65" i="19"/>
  <c r="AQ65" i="19"/>
  <c r="AM65" i="19"/>
  <c r="AI65" i="19"/>
  <c r="AE65" i="19"/>
  <c r="AA65" i="19"/>
  <c r="W65" i="19"/>
  <c r="S65" i="19"/>
  <c r="O65" i="19"/>
  <c r="K64" i="19"/>
  <c r="K65" i="19"/>
  <c r="K57" i="19"/>
  <c r="K55" i="19"/>
  <c r="K25" i="19"/>
  <c r="K24" i="19"/>
  <c r="K36" i="19"/>
  <c r="G55" i="19"/>
  <c r="C55" i="19"/>
  <c r="AU13" i="19"/>
  <c r="AV13" i="19"/>
  <c r="AW13" i="19"/>
  <c r="AQ13" i="19"/>
  <c r="AR13" i="19"/>
  <c r="AS13" i="19"/>
  <c r="AM13" i="19"/>
  <c r="AN13" i="19"/>
  <c r="AO13" i="19"/>
  <c r="AI13" i="19"/>
  <c r="AJ13" i="19"/>
  <c r="AK13" i="19"/>
  <c r="AE13" i="19"/>
  <c r="AF13" i="19"/>
  <c r="AG13" i="19"/>
  <c r="AA13" i="19"/>
  <c r="AB13" i="19"/>
  <c r="AC13" i="19"/>
  <c r="W13" i="19"/>
  <c r="X13" i="19"/>
  <c r="Y13" i="19"/>
  <c r="S13" i="19"/>
  <c r="T13" i="19"/>
  <c r="U13" i="19"/>
  <c r="O13" i="19"/>
  <c r="P13" i="19"/>
  <c r="Q13" i="19"/>
  <c r="K13" i="19"/>
  <c r="L13" i="19"/>
  <c r="M13" i="19"/>
  <c r="G13" i="19"/>
  <c r="H13" i="19"/>
  <c r="I13" i="19"/>
  <c r="G64" i="19"/>
  <c r="G65" i="19"/>
  <c r="G57" i="19"/>
  <c r="G51" i="19"/>
  <c r="G36" i="19"/>
  <c r="G25" i="19"/>
  <c r="G24" i="19"/>
  <c r="C65" i="19"/>
  <c r="C57" i="19"/>
  <c r="C51" i="19"/>
  <c r="C38" i="19"/>
  <c r="C36" i="19"/>
  <c r="C25" i="19"/>
  <c r="C24" i="19"/>
  <c r="D13" i="19"/>
  <c r="C13" i="19"/>
  <c r="E13" i="19"/>
  <c r="D9" i="19"/>
  <c r="C9" i="19"/>
  <c r="E9" i="19"/>
  <c r="D8" i="19"/>
  <c r="C8" i="19"/>
  <c r="E8" i="19"/>
  <c r="H9" i="19"/>
  <c r="G9" i="19"/>
  <c r="I9" i="19"/>
  <c r="H8" i="19"/>
  <c r="G8" i="19"/>
  <c r="I8" i="19"/>
  <c r="AW54" i="19"/>
  <c r="AS54" i="19"/>
  <c r="AO54" i="19"/>
  <c r="AK54" i="19"/>
  <c r="AG54" i="19"/>
  <c r="AC54" i="19"/>
  <c r="Y54" i="19"/>
  <c r="U54" i="19"/>
  <c r="Q54" i="19"/>
  <c r="M54" i="19"/>
  <c r="I54" i="19"/>
  <c r="E54" i="19"/>
  <c r="AW30" i="19"/>
  <c r="AS30" i="19"/>
  <c r="AO30" i="19"/>
  <c r="AK30" i="19"/>
  <c r="AG30" i="19"/>
  <c r="AC30" i="19"/>
  <c r="Y30" i="19"/>
  <c r="U30" i="19"/>
  <c r="Q30" i="19"/>
  <c r="M30" i="19"/>
  <c r="I30" i="19"/>
  <c r="E30" i="19"/>
  <c r="AW29" i="19"/>
  <c r="AS29" i="19"/>
  <c r="AO29" i="19"/>
  <c r="AK29" i="19"/>
  <c r="AG29" i="19"/>
  <c r="AC29" i="19"/>
  <c r="Y29" i="19"/>
  <c r="U29" i="19"/>
  <c r="Q29" i="19"/>
  <c r="M29" i="19"/>
  <c r="I29" i="19"/>
  <c r="E29" i="19"/>
  <c r="AW25" i="19"/>
  <c r="AS25" i="19"/>
  <c r="AO25" i="19"/>
  <c r="AK25" i="19"/>
  <c r="AG25" i="19"/>
  <c r="AC25" i="19"/>
  <c r="Y25" i="19"/>
  <c r="U25" i="19"/>
  <c r="Q25" i="19"/>
  <c r="M25" i="19"/>
  <c r="I25" i="19"/>
  <c r="E25" i="19"/>
  <c r="AW24" i="19"/>
  <c r="AS24" i="19"/>
  <c r="AO24" i="19"/>
  <c r="AK24" i="19"/>
  <c r="AG24" i="19"/>
  <c r="AC24" i="19"/>
  <c r="Y24" i="19"/>
  <c r="U24" i="19"/>
  <c r="Q24" i="19"/>
  <c r="M24" i="19"/>
  <c r="I24" i="19"/>
  <c r="E24" i="19"/>
  <c r="AW20" i="19"/>
  <c r="AS20" i="19"/>
  <c r="AO20" i="19"/>
  <c r="AK20" i="19"/>
  <c r="AG20" i="19"/>
  <c r="AC20" i="19"/>
  <c r="Y20" i="19"/>
  <c r="U20" i="19"/>
  <c r="Q20" i="19"/>
  <c r="M20" i="19"/>
  <c r="I20" i="19"/>
  <c r="E20" i="19"/>
  <c r="AW19" i="19"/>
  <c r="AS19" i="19"/>
  <c r="AO19" i="19"/>
  <c r="AK19" i="19"/>
  <c r="AG19" i="19"/>
  <c r="AC19" i="19"/>
  <c r="Y19" i="19"/>
  <c r="U19" i="19"/>
  <c r="Q19" i="19"/>
  <c r="M19" i="19"/>
  <c r="I19" i="19"/>
  <c r="E19" i="19"/>
  <c r="AW18" i="19"/>
  <c r="AS18" i="19"/>
  <c r="AO18" i="19"/>
  <c r="AK18" i="19"/>
  <c r="AG18" i="19"/>
  <c r="AC18" i="19"/>
  <c r="Y18" i="19"/>
  <c r="U18" i="19"/>
  <c r="Q18" i="19"/>
  <c r="M18" i="19"/>
  <c r="I18" i="19"/>
  <c r="E18" i="19"/>
  <c r="AU12" i="19"/>
  <c r="AQ12" i="19"/>
  <c r="AM12" i="19"/>
  <c r="AI12" i="19"/>
  <c r="AE12" i="19"/>
  <c r="AA12" i="19"/>
  <c r="W12" i="19"/>
  <c r="S12" i="19"/>
  <c r="O12" i="19"/>
  <c r="K12" i="19"/>
  <c r="G12" i="19"/>
  <c r="C12" i="19"/>
  <c r="AU11" i="19"/>
  <c r="AQ11" i="19"/>
  <c r="AM11" i="19"/>
  <c r="AI11" i="19"/>
  <c r="AE11" i="19"/>
  <c r="AA11" i="19"/>
  <c r="W11" i="19"/>
  <c r="S11" i="19"/>
  <c r="O11" i="19"/>
  <c r="K11" i="19"/>
  <c r="G11" i="19"/>
  <c r="C11" i="19"/>
  <c r="AU10" i="19"/>
  <c r="AQ10" i="19"/>
  <c r="AM10" i="19"/>
  <c r="AI10" i="19"/>
  <c r="AE10" i="19"/>
  <c r="AA10" i="19"/>
  <c r="W10" i="19"/>
  <c r="S10" i="19"/>
  <c r="O10" i="19"/>
  <c r="K10" i="19"/>
  <c r="G10" i="19"/>
  <c r="C10" i="19"/>
  <c r="AU9" i="19"/>
  <c r="AV9" i="19"/>
  <c r="AW9" i="19"/>
  <c r="AQ9" i="19"/>
  <c r="AR9" i="19"/>
  <c r="AS9" i="19"/>
  <c r="AM9" i="19"/>
  <c r="AN9" i="19"/>
  <c r="AO9" i="19"/>
  <c r="AI9" i="19"/>
  <c r="AJ9" i="19"/>
  <c r="AK9" i="19"/>
  <c r="AE9" i="19"/>
  <c r="AF9" i="19"/>
  <c r="AG9" i="19"/>
  <c r="AA9" i="19"/>
  <c r="AB9" i="19"/>
  <c r="AC9" i="19"/>
  <c r="W9" i="19"/>
  <c r="X9" i="19"/>
  <c r="Y9" i="19"/>
  <c r="S9" i="19"/>
  <c r="T9" i="19"/>
  <c r="U9" i="19"/>
  <c r="O9" i="19"/>
  <c r="P9" i="19"/>
  <c r="Q9" i="19"/>
  <c r="K9" i="19"/>
  <c r="L9" i="19"/>
  <c r="M9" i="19"/>
  <c r="AU8" i="19"/>
  <c r="AV8" i="19"/>
  <c r="AW8" i="19"/>
  <c r="AQ8" i="19"/>
  <c r="AR8" i="19"/>
  <c r="AS8" i="19"/>
  <c r="AM8" i="19"/>
  <c r="AN8" i="19"/>
  <c r="AO8" i="19"/>
  <c r="AI8" i="19"/>
  <c r="AJ8" i="19"/>
  <c r="AK8" i="19"/>
  <c r="AE8" i="19"/>
  <c r="AF8" i="19"/>
  <c r="AG8" i="19"/>
  <c r="AA8" i="19"/>
  <c r="AB8" i="19"/>
  <c r="AC8" i="19"/>
  <c r="W8" i="19"/>
  <c r="X8" i="19"/>
  <c r="Y8" i="19"/>
  <c r="S8" i="19"/>
  <c r="T8" i="19"/>
  <c r="U8" i="19"/>
  <c r="O8" i="19"/>
  <c r="P8" i="19"/>
  <c r="Q8" i="19"/>
  <c r="K8" i="19"/>
  <c r="L8" i="19"/>
  <c r="M8" i="19"/>
  <c r="G4" i="19"/>
  <c r="K4" i="19"/>
  <c r="O4" i="19"/>
  <c r="S4" i="19"/>
  <c r="W4" i="19"/>
  <c r="AA4" i="19"/>
  <c r="AE4" i="19"/>
  <c r="AI4" i="19"/>
  <c r="AM4" i="19"/>
  <c r="AQ4" i="19"/>
  <c r="AU4" i="19"/>
  <c r="G16" i="4"/>
  <c r="N10" i="4"/>
  <c r="M10" i="4"/>
  <c r="L10" i="4"/>
  <c r="K10" i="4"/>
  <c r="J10" i="4"/>
  <c r="I10" i="4"/>
  <c r="H10" i="4"/>
  <c r="G10" i="4"/>
  <c r="F10" i="4"/>
  <c r="E10" i="4"/>
  <c r="D10" i="4"/>
  <c r="C10" i="4"/>
  <c r="N24" i="4"/>
  <c r="M24" i="4"/>
  <c r="L24" i="4"/>
  <c r="K24" i="4"/>
  <c r="J24" i="4"/>
  <c r="I24" i="4"/>
  <c r="H24" i="4"/>
  <c r="N23" i="4"/>
  <c r="M23" i="4"/>
  <c r="L23" i="4"/>
  <c r="K23" i="4"/>
  <c r="J23" i="4"/>
  <c r="I23" i="4"/>
  <c r="H23" i="4"/>
  <c r="G23" i="4"/>
  <c r="F23" i="4"/>
  <c r="E23" i="4"/>
  <c r="D23" i="4"/>
  <c r="C23" i="4"/>
  <c r="G67" i="12"/>
  <c r="G50" i="12"/>
  <c r="G37" i="12"/>
  <c r="G35" i="12"/>
  <c r="G63" i="12"/>
  <c r="G64" i="12"/>
  <c r="F63" i="12"/>
  <c r="F64" i="12"/>
  <c r="F38" i="12"/>
  <c r="F37" i="12"/>
  <c r="F36" i="12"/>
  <c r="F35" i="12"/>
  <c r="F50" i="12"/>
  <c r="E38" i="12"/>
  <c r="E37" i="12"/>
  <c r="E36" i="12"/>
  <c r="E35" i="12"/>
  <c r="E63" i="12"/>
  <c r="E64" i="12"/>
  <c r="E50" i="12"/>
  <c r="D50" i="12"/>
  <c r="D63" i="12"/>
  <c r="D64" i="12"/>
  <c r="D35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N11" i="12"/>
  <c r="M11" i="12"/>
  <c r="L11" i="12"/>
  <c r="K11" i="12"/>
  <c r="J11" i="12"/>
  <c r="I11" i="12"/>
  <c r="H11" i="12"/>
  <c r="G11" i="12"/>
  <c r="F11" i="12"/>
  <c r="E11" i="12"/>
  <c r="D11" i="12"/>
  <c r="C64" i="12"/>
  <c r="C11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N9" i="12"/>
  <c r="M9" i="12"/>
  <c r="L9" i="12"/>
  <c r="K9" i="12"/>
  <c r="J9" i="12"/>
  <c r="I9" i="12"/>
  <c r="H9" i="12"/>
  <c r="G9" i="12"/>
  <c r="F9" i="12"/>
  <c r="E9" i="12"/>
  <c r="D9" i="12"/>
  <c r="C9" i="12"/>
  <c r="N8" i="12"/>
  <c r="M8" i="12"/>
  <c r="L8" i="12"/>
  <c r="K8" i="12"/>
  <c r="J8" i="12"/>
  <c r="I8" i="12"/>
  <c r="H8" i="12"/>
  <c r="G8" i="12"/>
  <c r="F8" i="12"/>
  <c r="E8" i="12"/>
  <c r="D8" i="12"/>
  <c r="C8" i="12"/>
  <c r="N7" i="12"/>
  <c r="M7" i="12"/>
  <c r="L7" i="12"/>
  <c r="K7" i="12"/>
  <c r="J7" i="12"/>
  <c r="I7" i="12"/>
  <c r="H7" i="12"/>
  <c r="G7" i="12"/>
  <c r="F7" i="12"/>
  <c r="E7" i="12"/>
  <c r="D7" i="12"/>
  <c r="C7" i="12"/>
  <c r="C50" i="12"/>
  <c r="C35" i="12"/>
  <c r="C37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G68" i="2"/>
  <c r="N10" i="2"/>
  <c r="M10" i="2"/>
  <c r="L10" i="2"/>
  <c r="K10" i="2"/>
  <c r="J10" i="2"/>
  <c r="I10" i="2"/>
  <c r="H10" i="2"/>
  <c r="G10" i="2"/>
  <c r="F10" i="2"/>
  <c r="E10" i="2"/>
  <c r="D10" i="2"/>
  <c r="C10" i="2"/>
  <c r="N24" i="2"/>
  <c r="M24" i="2"/>
  <c r="L24" i="2"/>
  <c r="K24" i="2"/>
  <c r="J24" i="2"/>
  <c r="I24" i="2"/>
  <c r="H24" i="2"/>
  <c r="N23" i="2"/>
  <c r="M23" i="2"/>
  <c r="L23" i="2"/>
  <c r="K23" i="2"/>
  <c r="J23" i="2"/>
  <c r="I23" i="2"/>
  <c r="H23" i="2"/>
  <c r="G23" i="2"/>
  <c r="F23" i="2"/>
  <c r="E23" i="2"/>
  <c r="D23" i="2"/>
  <c r="C23" i="2"/>
  <c r="S64" i="23"/>
  <c r="S65" i="23"/>
  <c r="S25" i="23"/>
  <c r="S24" i="23"/>
  <c r="S51" i="23"/>
  <c r="S36" i="23"/>
  <c r="S38" i="23"/>
  <c r="O38" i="23"/>
  <c r="O36" i="23"/>
  <c r="O25" i="23"/>
  <c r="O24" i="23"/>
  <c r="O64" i="23"/>
  <c r="O65" i="23"/>
  <c r="O51" i="23"/>
  <c r="K51" i="23"/>
  <c r="K64" i="23"/>
  <c r="K65" i="23"/>
  <c r="K38" i="23"/>
  <c r="K36" i="23"/>
  <c r="K25" i="23"/>
  <c r="K24" i="23"/>
  <c r="G64" i="23"/>
  <c r="G65" i="23"/>
  <c r="G51" i="23"/>
  <c r="G39" i="23"/>
  <c r="G38" i="23"/>
  <c r="G37" i="23"/>
  <c r="G36" i="23"/>
  <c r="G25" i="23"/>
  <c r="G24" i="23"/>
  <c r="C65" i="23"/>
  <c r="C51" i="23"/>
  <c r="C38" i="23"/>
  <c r="C37" i="23"/>
  <c r="C36" i="23"/>
  <c r="C25" i="23"/>
  <c r="C24" i="23"/>
  <c r="AW54" i="23"/>
  <c r="AS54" i="23"/>
  <c r="AO54" i="23"/>
  <c r="AK54" i="23"/>
  <c r="AG54" i="23"/>
  <c r="AC54" i="23"/>
  <c r="Y54" i="23"/>
  <c r="U54" i="23"/>
  <c r="Q54" i="23"/>
  <c r="M54" i="23"/>
  <c r="I54" i="23"/>
  <c r="E54" i="23"/>
  <c r="AW30" i="23"/>
  <c r="AS30" i="23"/>
  <c r="AO30" i="23"/>
  <c r="AK30" i="23"/>
  <c r="AG30" i="23"/>
  <c r="AC30" i="23"/>
  <c r="Y30" i="23"/>
  <c r="U30" i="23"/>
  <c r="Q30" i="23"/>
  <c r="M30" i="23"/>
  <c r="I30" i="23"/>
  <c r="E30" i="23"/>
  <c r="AW29" i="23"/>
  <c r="AS29" i="23"/>
  <c r="AO29" i="23"/>
  <c r="AK29" i="23"/>
  <c r="AG29" i="23"/>
  <c r="AC29" i="23"/>
  <c r="Y29" i="23"/>
  <c r="U29" i="23"/>
  <c r="Q29" i="23"/>
  <c r="M29" i="23"/>
  <c r="I29" i="23"/>
  <c r="E29" i="23"/>
  <c r="AW25" i="23"/>
  <c r="AS25" i="23"/>
  <c r="AO25" i="23"/>
  <c r="AK25" i="23"/>
  <c r="AG25" i="23"/>
  <c r="AC25" i="23"/>
  <c r="Y25" i="23"/>
  <c r="U25" i="23"/>
  <c r="Q25" i="23"/>
  <c r="M25" i="23"/>
  <c r="I25" i="23"/>
  <c r="E25" i="23"/>
  <c r="AW24" i="23"/>
  <c r="AS24" i="23"/>
  <c r="AO24" i="23"/>
  <c r="AK24" i="23"/>
  <c r="AG24" i="23"/>
  <c r="AC24" i="23"/>
  <c r="Y24" i="23"/>
  <c r="U24" i="23"/>
  <c r="Q24" i="23"/>
  <c r="M24" i="23"/>
  <c r="I24" i="23"/>
  <c r="E24" i="23"/>
  <c r="AW20" i="23"/>
  <c r="AS20" i="23"/>
  <c r="AO20" i="23"/>
  <c r="AK20" i="23"/>
  <c r="AG20" i="23"/>
  <c r="AC20" i="23"/>
  <c r="Y20" i="23"/>
  <c r="U20" i="23"/>
  <c r="Q20" i="23"/>
  <c r="M20" i="23"/>
  <c r="I20" i="23"/>
  <c r="E20" i="23"/>
  <c r="AW19" i="23"/>
  <c r="AS19" i="23"/>
  <c r="AO19" i="23"/>
  <c r="AK19" i="23"/>
  <c r="AG19" i="23"/>
  <c r="AC19" i="23"/>
  <c r="Y19" i="23"/>
  <c r="U19" i="23"/>
  <c r="Q19" i="23"/>
  <c r="M19" i="23"/>
  <c r="I19" i="23"/>
  <c r="E19" i="23"/>
  <c r="AW18" i="23"/>
  <c r="AS18" i="23"/>
  <c r="AO18" i="23"/>
  <c r="AK18" i="23"/>
  <c r="AG18" i="23"/>
  <c r="AC18" i="23"/>
  <c r="Y18" i="23"/>
  <c r="U18" i="23"/>
  <c r="Q18" i="23"/>
  <c r="M18" i="23"/>
  <c r="I18" i="23"/>
  <c r="E18" i="23"/>
  <c r="AU13" i="23"/>
  <c r="AV13" i="23"/>
  <c r="AW13" i="23"/>
  <c r="AQ13" i="23"/>
  <c r="AR13" i="23"/>
  <c r="AS13" i="23"/>
  <c r="AM13" i="23"/>
  <c r="AN13" i="23"/>
  <c r="AO13" i="23"/>
  <c r="AI13" i="23"/>
  <c r="AJ13" i="23"/>
  <c r="AK13" i="23"/>
  <c r="AE13" i="23"/>
  <c r="AF13" i="23"/>
  <c r="AG13" i="23"/>
  <c r="AA13" i="23"/>
  <c r="AB13" i="23"/>
  <c r="AC13" i="23"/>
  <c r="W13" i="23"/>
  <c r="X13" i="23"/>
  <c r="Y13" i="23"/>
  <c r="S13" i="23"/>
  <c r="T13" i="23"/>
  <c r="U13" i="23"/>
  <c r="O13" i="23"/>
  <c r="P13" i="23"/>
  <c r="Q13" i="23"/>
  <c r="K13" i="23"/>
  <c r="L13" i="23"/>
  <c r="M13" i="23"/>
  <c r="G13" i="23"/>
  <c r="H13" i="23"/>
  <c r="I13" i="23"/>
  <c r="C13" i="23"/>
  <c r="D13" i="23"/>
  <c r="E13" i="23"/>
  <c r="AU12" i="23"/>
  <c r="AQ12" i="23"/>
  <c r="AM12" i="23"/>
  <c r="AI12" i="23"/>
  <c r="AE12" i="23"/>
  <c r="AA12" i="23"/>
  <c r="W12" i="23"/>
  <c r="S12" i="23"/>
  <c r="O12" i="23"/>
  <c r="K12" i="23"/>
  <c r="G12" i="23"/>
  <c r="C12" i="23"/>
  <c r="AU11" i="23"/>
  <c r="AQ11" i="23"/>
  <c r="AM11" i="23"/>
  <c r="AI11" i="23"/>
  <c r="AE11" i="23"/>
  <c r="AA11" i="23"/>
  <c r="W11" i="23"/>
  <c r="S11" i="23"/>
  <c r="O11" i="23"/>
  <c r="K11" i="23"/>
  <c r="G11" i="23"/>
  <c r="C11" i="23"/>
  <c r="AU10" i="23"/>
  <c r="AQ10" i="23"/>
  <c r="AM10" i="23"/>
  <c r="AI10" i="23"/>
  <c r="AE10" i="23"/>
  <c r="AA10" i="23"/>
  <c r="W10" i="23"/>
  <c r="S10" i="23"/>
  <c r="O10" i="23"/>
  <c r="K10" i="23"/>
  <c r="G10" i="23"/>
  <c r="C10" i="23"/>
  <c r="AU9" i="23"/>
  <c r="AV9" i="23"/>
  <c r="AW9" i="23"/>
  <c r="AQ9" i="23"/>
  <c r="AR9" i="23"/>
  <c r="AS9" i="23"/>
  <c r="AM9" i="23"/>
  <c r="AN9" i="23"/>
  <c r="AO9" i="23"/>
  <c r="AI9" i="23"/>
  <c r="AJ9" i="23"/>
  <c r="AK9" i="23"/>
  <c r="AE9" i="23"/>
  <c r="AF9" i="23"/>
  <c r="AG9" i="23"/>
  <c r="AA9" i="23"/>
  <c r="AB9" i="23"/>
  <c r="AC9" i="23"/>
  <c r="W9" i="23"/>
  <c r="X9" i="23"/>
  <c r="Y9" i="23"/>
  <c r="S9" i="23"/>
  <c r="T9" i="23"/>
  <c r="U9" i="23"/>
  <c r="O9" i="23"/>
  <c r="P9" i="23"/>
  <c r="Q9" i="23"/>
  <c r="K9" i="23"/>
  <c r="L9" i="23"/>
  <c r="M9" i="23"/>
  <c r="G9" i="23"/>
  <c r="H9" i="23"/>
  <c r="I9" i="23"/>
  <c r="C9" i="23"/>
  <c r="D9" i="23"/>
  <c r="E9" i="23"/>
  <c r="AU8" i="23"/>
  <c r="AV8" i="23"/>
  <c r="AW8" i="23"/>
  <c r="AQ8" i="23"/>
  <c r="AR8" i="23"/>
  <c r="AS8" i="23"/>
  <c r="AM8" i="23"/>
  <c r="AN8" i="23"/>
  <c r="AO8" i="23"/>
  <c r="AI8" i="23"/>
  <c r="AJ8" i="23"/>
  <c r="AK8" i="23"/>
  <c r="AE8" i="23"/>
  <c r="AF8" i="23"/>
  <c r="AG8" i="23"/>
  <c r="AA8" i="23"/>
  <c r="AB8" i="23"/>
  <c r="AC8" i="23"/>
  <c r="W8" i="23"/>
  <c r="X8" i="23"/>
  <c r="Y8" i="23"/>
  <c r="S8" i="23"/>
  <c r="T8" i="23"/>
  <c r="U8" i="23"/>
  <c r="O8" i="23"/>
  <c r="P8" i="23"/>
  <c r="Q8" i="23"/>
  <c r="K8" i="23"/>
  <c r="L8" i="23"/>
  <c r="M8" i="23"/>
  <c r="G8" i="23"/>
  <c r="H8" i="23"/>
  <c r="I8" i="23"/>
  <c r="C8" i="23"/>
  <c r="D8" i="23"/>
  <c r="E8" i="23"/>
  <c r="G4" i="23"/>
  <c r="K4" i="23"/>
  <c r="O4" i="23"/>
  <c r="S4" i="23"/>
  <c r="W4" i="23"/>
  <c r="AA4" i="23"/>
  <c r="AE4" i="23"/>
  <c r="AI4" i="23"/>
  <c r="AM4" i="23"/>
  <c r="AQ4" i="23"/>
  <c r="AU4" i="23"/>
  <c r="H82" i="24"/>
  <c r="H81" i="24"/>
  <c r="H80" i="24"/>
  <c r="H78" i="24"/>
  <c r="H77" i="24"/>
  <c r="H76" i="24"/>
  <c r="H75" i="24"/>
  <c r="H74" i="24"/>
  <c r="H70" i="24"/>
  <c r="H69" i="24"/>
  <c r="H68" i="24"/>
  <c r="H66" i="24"/>
  <c r="H65" i="24"/>
  <c r="H64" i="24"/>
  <c r="H61" i="24"/>
  <c r="H60" i="24"/>
  <c r="H59" i="24"/>
  <c r="H57" i="24"/>
  <c r="H56" i="24"/>
  <c r="H55" i="24"/>
  <c r="H54" i="24"/>
  <c r="H48" i="24"/>
  <c r="H46" i="24"/>
  <c r="H45" i="24"/>
  <c r="H38" i="24"/>
  <c r="H37" i="24"/>
  <c r="H36" i="24"/>
  <c r="H35" i="24"/>
  <c r="H34" i="24"/>
  <c r="H32" i="24"/>
  <c r="H31" i="24"/>
  <c r="H30" i="24"/>
  <c r="H26" i="24"/>
  <c r="H25" i="24"/>
  <c r="H24" i="24"/>
  <c r="H22" i="24"/>
  <c r="H21" i="24"/>
  <c r="H20" i="24"/>
  <c r="H19" i="24"/>
  <c r="H18" i="24"/>
  <c r="H14" i="24"/>
  <c r="H13" i="24"/>
  <c r="H12" i="24"/>
  <c r="H10" i="24"/>
  <c r="H9" i="24"/>
  <c r="H8" i="24"/>
  <c r="H7" i="24"/>
  <c r="H6" i="24"/>
  <c r="H79" i="24"/>
  <c r="H83" i="24"/>
  <c r="H67" i="24"/>
  <c r="H71" i="24"/>
  <c r="H58" i="24"/>
  <c r="H50" i="24"/>
  <c r="H49" i="24"/>
  <c r="H47" i="24"/>
  <c r="H44" i="24"/>
  <c r="H43" i="24"/>
  <c r="H42" i="24"/>
  <c r="H33" i="24"/>
  <c r="H39" i="24"/>
  <c r="H23" i="24"/>
  <c r="H27" i="24"/>
  <c r="H11" i="24"/>
  <c r="H15" i="24"/>
  <c r="G82" i="24"/>
  <c r="G81" i="24"/>
  <c r="G80" i="24"/>
  <c r="G78" i="24"/>
  <c r="G77" i="24"/>
  <c r="G76" i="24"/>
  <c r="G75" i="24"/>
  <c r="G74" i="24"/>
  <c r="G70" i="24"/>
  <c r="G69" i="24"/>
  <c r="G68" i="24"/>
  <c r="G66" i="24"/>
  <c r="G65" i="24"/>
  <c r="G61" i="24"/>
  <c r="G60" i="24"/>
  <c r="G59" i="24"/>
  <c r="G57" i="24"/>
  <c r="G56" i="24"/>
  <c r="G55" i="24"/>
  <c r="G54" i="24"/>
  <c r="G48" i="24"/>
  <c r="G46" i="24"/>
  <c r="G45" i="24"/>
  <c r="G38" i="24"/>
  <c r="G37" i="24"/>
  <c r="G36" i="24"/>
  <c r="G35" i="24"/>
  <c r="G34" i="24"/>
  <c r="G32" i="24"/>
  <c r="G31" i="24"/>
  <c r="G26" i="24"/>
  <c r="G25" i="24"/>
  <c r="G24" i="24"/>
  <c r="G22" i="24"/>
  <c r="G21" i="24"/>
  <c r="G20" i="24"/>
  <c r="G19" i="24"/>
  <c r="G18" i="24"/>
  <c r="G79" i="24"/>
  <c r="G83" i="24"/>
  <c r="G67" i="24"/>
  <c r="G58" i="24"/>
  <c r="G50" i="24"/>
  <c r="G49" i="24"/>
  <c r="G47" i="24"/>
  <c r="G44" i="24"/>
  <c r="G43" i="24"/>
  <c r="G42" i="24"/>
  <c r="G33" i="24"/>
  <c r="G23" i="24"/>
  <c r="I12" i="24"/>
  <c r="J12" i="24"/>
  <c r="K12" i="24"/>
  <c r="L12" i="24"/>
  <c r="M12" i="24"/>
  <c r="N12" i="24"/>
  <c r="F48" i="24"/>
  <c r="E48" i="24"/>
  <c r="D48" i="24"/>
  <c r="C48" i="24"/>
  <c r="F57" i="24"/>
  <c r="F56" i="24"/>
  <c r="E56" i="24"/>
  <c r="F78" i="24"/>
  <c r="F79" i="24"/>
  <c r="E79" i="24"/>
  <c r="F77" i="24"/>
  <c r="E77" i="24"/>
  <c r="F46" i="24"/>
  <c r="F45" i="24"/>
  <c r="E45" i="24"/>
  <c r="E34" i="24"/>
  <c r="F33" i="24"/>
  <c r="E33" i="24"/>
  <c r="F35" i="24"/>
  <c r="F34" i="24"/>
  <c r="F22" i="24"/>
  <c r="F21" i="24"/>
  <c r="E21" i="24"/>
  <c r="E23" i="24"/>
  <c r="F23" i="24"/>
  <c r="E74" i="24"/>
  <c r="F74" i="24"/>
  <c r="E75" i="24"/>
  <c r="F75" i="24"/>
  <c r="E76" i="24"/>
  <c r="F76" i="24"/>
  <c r="E80" i="24"/>
  <c r="F80" i="24"/>
  <c r="E81" i="24"/>
  <c r="F81" i="24"/>
  <c r="E82" i="24"/>
  <c r="F82" i="24"/>
  <c r="E65" i="24"/>
  <c r="F65" i="24"/>
  <c r="E66" i="24"/>
  <c r="F66" i="24"/>
  <c r="E67" i="24"/>
  <c r="F67" i="24"/>
  <c r="E68" i="24"/>
  <c r="F68" i="24"/>
  <c r="E69" i="24"/>
  <c r="F69" i="24"/>
  <c r="E70" i="24"/>
  <c r="F70" i="24"/>
  <c r="E54" i="24"/>
  <c r="F54" i="24"/>
  <c r="E55" i="24"/>
  <c r="F55" i="24"/>
  <c r="E58" i="24"/>
  <c r="F58" i="24"/>
  <c r="E59" i="24"/>
  <c r="F59" i="24"/>
  <c r="E60" i="24"/>
  <c r="F60" i="24"/>
  <c r="E61" i="24"/>
  <c r="F61" i="24"/>
  <c r="E42" i="24"/>
  <c r="F42" i="24"/>
  <c r="E43" i="24"/>
  <c r="F43" i="24"/>
  <c r="E44" i="24"/>
  <c r="F44" i="24"/>
  <c r="E47" i="24"/>
  <c r="F47" i="24"/>
  <c r="E49" i="24"/>
  <c r="F49" i="24"/>
  <c r="E50" i="24"/>
  <c r="F50" i="24"/>
  <c r="F18" i="24"/>
  <c r="F19" i="24"/>
  <c r="F20" i="24"/>
  <c r="F24" i="24"/>
  <c r="F25" i="24"/>
  <c r="F26" i="24"/>
  <c r="E31" i="24"/>
  <c r="F31" i="24"/>
  <c r="E32" i="24"/>
  <c r="F32" i="24"/>
  <c r="E36" i="24"/>
  <c r="F36" i="24"/>
  <c r="E37" i="24"/>
  <c r="F37" i="24"/>
  <c r="E38" i="24"/>
  <c r="F38" i="24"/>
  <c r="E18" i="24"/>
  <c r="E19" i="24"/>
  <c r="E20" i="24"/>
  <c r="E24" i="24"/>
  <c r="E25" i="24"/>
  <c r="E26" i="24"/>
  <c r="D70" i="24"/>
  <c r="D69" i="24"/>
  <c r="D68" i="24"/>
  <c r="D66" i="24"/>
  <c r="D65" i="24"/>
  <c r="D67" i="24"/>
  <c r="N68" i="24"/>
  <c r="N65" i="24"/>
  <c r="N64" i="24"/>
  <c r="N66" i="24"/>
  <c r="N67" i="24"/>
  <c r="N71" i="24"/>
  <c r="M64" i="24"/>
  <c r="M65" i="24"/>
  <c r="M66" i="24"/>
  <c r="M67" i="24"/>
  <c r="M68" i="24"/>
  <c r="M69" i="24"/>
  <c r="M70" i="24"/>
  <c r="M71" i="24"/>
  <c r="L64" i="24"/>
  <c r="L65" i="24"/>
  <c r="L66" i="24"/>
  <c r="L67" i="24"/>
  <c r="L68" i="24"/>
  <c r="L69" i="24"/>
  <c r="L70" i="24"/>
  <c r="L71" i="24"/>
  <c r="K64" i="24"/>
  <c r="K65" i="24"/>
  <c r="K66" i="24"/>
  <c r="K67" i="24"/>
  <c r="K68" i="24"/>
  <c r="K69" i="24"/>
  <c r="K70" i="24"/>
  <c r="K71" i="24"/>
  <c r="J64" i="24"/>
  <c r="J65" i="24"/>
  <c r="J66" i="24"/>
  <c r="J67" i="24"/>
  <c r="J68" i="24"/>
  <c r="J69" i="24"/>
  <c r="J70" i="24"/>
  <c r="J71" i="24"/>
  <c r="I64" i="24"/>
  <c r="I65" i="24"/>
  <c r="I66" i="24"/>
  <c r="I67" i="24"/>
  <c r="I68" i="24"/>
  <c r="I69" i="24"/>
  <c r="I70" i="24"/>
  <c r="I71" i="24"/>
  <c r="C65" i="24"/>
  <c r="C66" i="24"/>
  <c r="C67" i="24"/>
  <c r="C68" i="24"/>
  <c r="C69" i="24"/>
  <c r="C70" i="24"/>
  <c r="D82" i="24"/>
  <c r="D81" i="24"/>
  <c r="D80" i="24"/>
  <c r="N79" i="24"/>
  <c r="M79" i="24"/>
  <c r="L79" i="24"/>
  <c r="K79" i="24"/>
  <c r="J79" i="24"/>
  <c r="I79" i="24"/>
  <c r="D79" i="24"/>
  <c r="C79" i="24"/>
  <c r="D76" i="24"/>
  <c r="D75" i="24"/>
  <c r="D74" i="24"/>
  <c r="D83" i="24"/>
  <c r="N74" i="24"/>
  <c r="N75" i="24"/>
  <c r="N76" i="24"/>
  <c r="N81" i="24"/>
  <c r="N82" i="24"/>
  <c r="N83" i="24"/>
  <c r="M74" i="24"/>
  <c r="M75" i="24"/>
  <c r="M76" i="24"/>
  <c r="M81" i="24"/>
  <c r="M82" i="24"/>
  <c r="M83" i="24"/>
  <c r="L74" i="24"/>
  <c r="L75" i="24"/>
  <c r="L76" i="24"/>
  <c r="L81" i="24"/>
  <c r="L82" i="24"/>
  <c r="L83" i="24"/>
  <c r="K74" i="24"/>
  <c r="K75" i="24"/>
  <c r="K76" i="24"/>
  <c r="K81" i="24"/>
  <c r="K82" i="24"/>
  <c r="K83" i="24"/>
  <c r="J74" i="24"/>
  <c r="J75" i="24"/>
  <c r="J76" i="24"/>
  <c r="J81" i="24"/>
  <c r="J82" i="24"/>
  <c r="J83" i="24"/>
  <c r="I74" i="24"/>
  <c r="I75" i="24"/>
  <c r="I76" i="24"/>
  <c r="I81" i="24"/>
  <c r="I82" i="24"/>
  <c r="I83" i="24"/>
  <c r="F83" i="24"/>
  <c r="E83" i="24"/>
  <c r="C74" i="24"/>
  <c r="C75" i="24"/>
  <c r="C76" i="24"/>
  <c r="C80" i="24"/>
  <c r="C81" i="24"/>
  <c r="C82" i="24"/>
  <c r="C83" i="24"/>
  <c r="N31" i="24"/>
  <c r="N32" i="24"/>
  <c r="N33" i="24"/>
  <c r="N36" i="24"/>
  <c r="N37" i="24"/>
  <c r="N38" i="24"/>
  <c r="M31" i="24"/>
  <c r="M32" i="24"/>
  <c r="M33" i="24"/>
  <c r="M36" i="24"/>
  <c r="M37" i="24"/>
  <c r="M38" i="24"/>
  <c r="L31" i="24"/>
  <c r="L32" i="24"/>
  <c r="L33" i="24"/>
  <c r="L36" i="24"/>
  <c r="L37" i="24"/>
  <c r="L38" i="24"/>
  <c r="K31" i="24"/>
  <c r="K32" i="24"/>
  <c r="K33" i="24"/>
  <c r="K36" i="24"/>
  <c r="K37" i="24"/>
  <c r="K38" i="24"/>
  <c r="J31" i="24"/>
  <c r="J32" i="24"/>
  <c r="J33" i="24"/>
  <c r="J36" i="24"/>
  <c r="J37" i="24"/>
  <c r="J38" i="24"/>
  <c r="I31" i="24"/>
  <c r="I32" i="24"/>
  <c r="I33" i="24"/>
  <c r="I36" i="24"/>
  <c r="I37" i="24"/>
  <c r="I38" i="24"/>
  <c r="D31" i="24"/>
  <c r="D32" i="24"/>
  <c r="D33" i="24"/>
  <c r="D36" i="24"/>
  <c r="D37" i="24"/>
  <c r="D38" i="24"/>
  <c r="C31" i="24"/>
  <c r="C32" i="24"/>
  <c r="C33" i="24"/>
  <c r="C36" i="24"/>
  <c r="C37" i="24"/>
  <c r="C38" i="24"/>
  <c r="N19" i="24"/>
  <c r="N20" i="24"/>
  <c r="N23" i="24"/>
  <c r="N24" i="24"/>
  <c r="N25" i="24"/>
  <c r="N26" i="24"/>
  <c r="M19" i="24"/>
  <c r="M20" i="24"/>
  <c r="M23" i="24"/>
  <c r="M24" i="24"/>
  <c r="M25" i="24"/>
  <c r="M26" i="24"/>
  <c r="L19" i="24"/>
  <c r="L20" i="24"/>
  <c r="L23" i="24"/>
  <c r="L24" i="24"/>
  <c r="L25" i="24"/>
  <c r="L26" i="24"/>
  <c r="K19" i="24"/>
  <c r="K20" i="24"/>
  <c r="K23" i="24"/>
  <c r="K24" i="24"/>
  <c r="K25" i="24"/>
  <c r="K26" i="24"/>
  <c r="J19" i="24"/>
  <c r="J20" i="24"/>
  <c r="J23" i="24"/>
  <c r="J24" i="24"/>
  <c r="J25" i="24"/>
  <c r="J26" i="24"/>
  <c r="I19" i="24"/>
  <c r="I20" i="24"/>
  <c r="I23" i="24"/>
  <c r="I24" i="24"/>
  <c r="I25" i="24"/>
  <c r="I26" i="24"/>
  <c r="G27" i="24"/>
  <c r="F27" i="24"/>
  <c r="E27" i="24"/>
  <c r="D18" i="24"/>
  <c r="D19" i="24"/>
  <c r="D20" i="24"/>
  <c r="D23" i="24"/>
  <c r="D24" i="24"/>
  <c r="D25" i="24"/>
  <c r="D26" i="24"/>
  <c r="D27" i="24"/>
  <c r="C18" i="24"/>
  <c r="C19" i="24"/>
  <c r="C20" i="24"/>
  <c r="C23" i="24"/>
  <c r="C24" i="24"/>
  <c r="C25" i="24"/>
  <c r="C26" i="24"/>
  <c r="C27" i="24"/>
  <c r="N70" i="24"/>
  <c r="N69" i="24"/>
  <c r="D61" i="24"/>
  <c r="D60" i="24"/>
  <c r="D59" i="24"/>
  <c r="D58" i="24"/>
  <c r="D55" i="24"/>
  <c r="D54" i="24"/>
  <c r="C61" i="24"/>
  <c r="C60" i="24"/>
  <c r="C59" i="24"/>
  <c r="C58" i="24"/>
  <c r="C55" i="24"/>
  <c r="C54" i="24"/>
  <c r="N61" i="24"/>
  <c r="M61" i="24"/>
  <c r="L61" i="24"/>
  <c r="K61" i="24"/>
  <c r="J61" i="24"/>
  <c r="I61" i="24"/>
  <c r="N60" i="24"/>
  <c r="M60" i="24"/>
  <c r="L60" i="24"/>
  <c r="K60" i="24"/>
  <c r="J60" i="24"/>
  <c r="I60" i="24"/>
  <c r="N59" i="24"/>
  <c r="M59" i="24"/>
  <c r="L59" i="24"/>
  <c r="K59" i="24"/>
  <c r="J59" i="24"/>
  <c r="I59" i="24"/>
  <c r="N58" i="24"/>
  <c r="M58" i="24"/>
  <c r="L58" i="24"/>
  <c r="K58" i="24"/>
  <c r="J58" i="24"/>
  <c r="I58" i="24"/>
  <c r="N55" i="24"/>
  <c r="M55" i="24"/>
  <c r="L55" i="24"/>
  <c r="K55" i="24"/>
  <c r="J55" i="24"/>
  <c r="I55" i="24"/>
  <c r="N54" i="24"/>
  <c r="M54" i="24"/>
  <c r="L54" i="24"/>
  <c r="K54" i="24"/>
  <c r="J54" i="24"/>
  <c r="I54" i="24"/>
  <c r="N50" i="24"/>
  <c r="M50" i="24"/>
  <c r="L50" i="24"/>
  <c r="K50" i="24"/>
  <c r="J50" i="24"/>
  <c r="I50" i="24"/>
  <c r="D50" i="24"/>
  <c r="C50" i="24"/>
  <c r="N49" i="24"/>
  <c r="M49" i="24"/>
  <c r="L49" i="24"/>
  <c r="K49" i="24"/>
  <c r="J49" i="24"/>
  <c r="I49" i="24"/>
  <c r="D49" i="24"/>
  <c r="C49" i="24"/>
  <c r="N48" i="24"/>
  <c r="M48" i="24"/>
  <c r="L48" i="24"/>
  <c r="K48" i="24"/>
  <c r="J48" i="24"/>
  <c r="I48" i="24"/>
  <c r="N47" i="24"/>
  <c r="M47" i="24"/>
  <c r="L47" i="24"/>
  <c r="K47" i="24"/>
  <c r="J47" i="24"/>
  <c r="I47" i="24"/>
  <c r="D47" i="24"/>
  <c r="C47" i="24"/>
  <c r="N44" i="24"/>
  <c r="M44" i="24"/>
  <c r="L44" i="24"/>
  <c r="K44" i="24"/>
  <c r="J44" i="24"/>
  <c r="I44" i="24"/>
  <c r="D44" i="24"/>
  <c r="C44" i="24"/>
  <c r="N43" i="24"/>
  <c r="M43" i="24"/>
  <c r="L43" i="24"/>
  <c r="K43" i="24"/>
  <c r="J43" i="24"/>
  <c r="I43" i="24"/>
  <c r="D43" i="24"/>
  <c r="C43" i="24"/>
  <c r="N42" i="24"/>
  <c r="M42" i="24"/>
  <c r="L42" i="24"/>
  <c r="K42" i="24"/>
  <c r="J42" i="24"/>
  <c r="I42" i="24"/>
  <c r="D42" i="24"/>
  <c r="C42" i="24"/>
  <c r="N6" i="24"/>
  <c r="N7" i="24"/>
  <c r="N8" i="24"/>
  <c r="N11" i="24"/>
  <c r="N13" i="24"/>
  <c r="N14" i="24"/>
  <c r="N15" i="24"/>
  <c r="M6" i="24"/>
  <c r="M7" i="24"/>
  <c r="M8" i="24"/>
  <c r="M11" i="24"/>
  <c r="M13" i="24"/>
  <c r="M14" i="24"/>
  <c r="M15" i="24"/>
  <c r="L6" i="24"/>
  <c r="L7" i="24"/>
  <c r="L8" i="24"/>
  <c r="L11" i="24"/>
  <c r="L13" i="24"/>
  <c r="L14" i="24"/>
  <c r="L15" i="24"/>
  <c r="K6" i="24"/>
  <c r="K7" i="24"/>
  <c r="K8" i="24"/>
  <c r="K11" i="24"/>
  <c r="K13" i="24"/>
  <c r="K14" i="24"/>
  <c r="K15" i="24"/>
  <c r="J6" i="24"/>
  <c r="J7" i="24"/>
  <c r="J8" i="24"/>
  <c r="J11" i="24"/>
  <c r="J13" i="24"/>
  <c r="J14" i="24"/>
  <c r="J15" i="24"/>
  <c r="I6" i="24"/>
  <c r="I7" i="24"/>
  <c r="I8" i="24"/>
  <c r="I11" i="24"/>
  <c r="I13" i="24"/>
  <c r="I14" i="24"/>
  <c r="I15" i="24"/>
  <c r="W13" i="9"/>
  <c r="H53" i="24"/>
  <c r="S13" i="9"/>
  <c r="G53" i="24"/>
  <c r="K13" i="9"/>
  <c r="E53" i="24"/>
  <c r="O13" i="9"/>
  <c r="F53" i="24"/>
  <c r="S55" i="9"/>
  <c r="G64" i="24"/>
  <c r="G71" i="24"/>
  <c r="O55" i="9"/>
  <c r="F64" i="24"/>
  <c r="F71" i="24"/>
  <c r="K55" i="9"/>
  <c r="E64" i="24"/>
  <c r="E71" i="24"/>
  <c r="G55" i="9"/>
  <c r="D64" i="24"/>
  <c r="D71" i="24"/>
  <c r="C55" i="9"/>
  <c r="C64" i="24"/>
  <c r="C71" i="24"/>
  <c r="N30" i="24"/>
  <c r="N39" i="24"/>
  <c r="M30" i="24"/>
  <c r="M39" i="24"/>
  <c r="L30" i="24"/>
  <c r="L39" i="24"/>
  <c r="K30" i="24"/>
  <c r="K39" i="24"/>
  <c r="J30" i="24"/>
  <c r="J39" i="24"/>
  <c r="I30" i="24"/>
  <c r="I39" i="24"/>
  <c r="S24" i="9"/>
  <c r="G30" i="24"/>
  <c r="G39" i="24"/>
  <c r="O24" i="9"/>
  <c r="F30" i="24"/>
  <c r="F39" i="24"/>
  <c r="K24" i="9"/>
  <c r="E30" i="24"/>
  <c r="E39" i="24"/>
  <c r="G24" i="9"/>
  <c r="D30" i="24"/>
  <c r="D39" i="24"/>
  <c r="C24" i="9"/>
  <c r="C30" i="24"/>
  <c r="C39" i="24"/>
  <c r="N18" i="24"/>
  <c r="N27" i="24"/>
  <c r="M18" i="24"/>
  <c r="M27" i="24"/>
  <c r="L18" i="24"/>
  <c r="L27" i="24"/>
  <c r="K18" i="24"/>
  <c r="K27" i="24"/>
  <c r="J18" i="24"/>
  <c r="J27" i="24"/>
  <c r="I18" i="24"/>
  <c r="I27" i="24"/>
  <c r="G13" i="9"/>
  <c r="D53" i="24"/>
  <c r="C13" i="9"/>
  <c r="C53" i="24"/>
  <c r="N53" i="24"/>
  <c r="M53" i="24"/>
  <c r="L53" i="24"/>
  <c r="K53" i="24"/>
  <c r="J53" i="24"/>
  <c r="I53" i="24"/>
  <c r="F73" i="6"/>
  <c r="E73" i="6"/>
  <c r="D73" i="6"/>
  <c r="C73" i="6"/>
  <c r="N10" i="6"/>
  <c r="M10" i="6"/>
  <c r="L10" i="6"/>
  <c r="K10" i="6"/>
  <c r="J10" i="6"/>
  <c r="I10" i="6"/>
  <c r="H10" i="6"/>
  <c r="G10" i="6"/>
  <c r="F10" i="6"/>
  <c r="E10" i="6"/>
  <c r="D10" i="6"/>
  <c r="C10" i="6"/>
  <c r="N24" i="6"/>
  <c r="M24" i="6"/>
  <c r="L24" i="6"/>
  <c r="K24" i="6"/>
  <c r="J24" i="6"/>
  <c r="I24" i="6"/>
  <c r="H24" i="6"/>
  <c r="N23" i="6"/>
  <c r="M23" i="6"/>
  <c r="L23" i="6"/>
  <c r="K23" i="6"/>
  <c r="J23" i="6"/>
  <c r="I23" i="6"/>
  <c r="H23" i="6"/>
  <c r="G23" i="6"/>
  <c r="F23" i="6"/>
  <c r="E23" i="6"/>
  <c r="D23" i="6"/>
  <c r="C23" i="6"/>
  <c r="O75" i="9"/>
  <c r="S64" i="9"/>
  <c r="S65" i="9"/>
  <c r="S57" i="9"/>
  <c r="S51" i="9"/>
  <c r="S36" i="9"/>
  <c r="S25" i="9"/>
  <c r="S38" i="9"/>
  <c r="O51" i="9"/>
  <c r="K75" i="9"/>
  <c r="O64" i="9"/>
  <c r="O65" i="9"/>
  <c r="O57" i="9"/>
  <c r="O25" i="9"/>
  <c r="O39" i="9"/>
  <c r="O38" i="9"/>
  <c r="O37" i="9"/>
  <c r="O36" i="9"/>
  <c r="K51" i="9"/>
  <c r="K64" i="9"/>
  <c r="K65" i="9"/>
  <c r="K57" i="9"/>
  <c r="K38" i="9"/>
  <c r="K36" i="9"/>
  <c r="K25" i="9"/>
  <c r="G75" i="9"/>
  <c r="G4" i="9"/>
  <c r="K4" i="9"/>
  <c r="O4" i="9"/>
  <c r="S4" i="9"/>
  <c r="W4" i="9"/>
  <c r="AA4" i="9"/>
  <c r="AE4" i="9"/>
  <c r="AI4" i="9"/>
  <c r="AM4" i="9"/>
  <c r="AQ4" i="9"/>
  <c r="AU4" i="9"/>
  <c r="AV13" i="9"/>
  <c r="AU13" i="9"/>
  <c r="AW13" i="9"/>
  <c r="AV9" i="9"/>
  <c r="AU9" i="9"/>
  <c r="AW9" i="9"/>
  <c r="AV8" i="9"/>
  <c r="AU8" i="9"/>
  <c r="AW8" i="9"/>
  <c r="AR13" i="9"/>
  <c r="AQ13" i="9"/>
  <c r="AS13" i="9"/>
  <c r="AR9" i="9"/>
  <c r="AQ9" i="9"/>
  <c r="AS9" i="9"/>
  <c r="AR8" i="9"/>
  <c r="AQ8" i="9"/>
  <c r="AS8" i="9"/>
  <c r="AN13" i="9"/>
  <c r="AM13" i="9"/>
  <c r="AO13" i="9"/>
  <c r="AN9" i="9"/>
  <c r="AM9" i="9"/>
  <c r="AO9" i="9"/>
  <c r="AN8" i="9"/>
  <c r="AM8" i="9"/>
  <c r="AO8" i="9"/>
  <c r="AJ13" i="9"/>
  <c r="AI13" i="9"/>
  <c r="AK13" i="9"/>
  <c r="AJ9" i="9"/>
  <c r="AI9" i="9"/>
  <c r="AK9" i="9"/>
  <c r="AJ8" i="9"/>
  <c r="AI8" i="9"/>
  <c r="AK8" i="9"/>
  <c r="AF13" i="9"/>
  <c r="AE13" i="9"/>
  <c r="AG13" i="9"/>
  <c r="AF9" i="9"/>
  <c r="AE9" i="9"/>
  <c r="AG9" i="9"/>
  <c r="AF8" i="9"/>
  <c r="AE8" i="9"/>
  <c r="AG8" i="9"/>
  <c r="AB13" i="9"/>
  <c r="AA13" i="9"/>
  <c r="AC13" i="9"/>
  <c r="AB9" i="9"/>
  <c r="AA9" i="9"/>
  <c r="AC9" i="9"/>
  <c r="AB8" i="9"/>
  <c r="AA8" i="9"/>
  <c r="AC8" i="9"/>
  <c r="X13" i="9"/>
  <c r="Y13" i="9"/>
  <c r="X9" i="9"/>
  <c r="W9" i="9"/>
  <c r="Y9" i="9"/>
  <c r="X8" i="9"/>
  <c r="W8" i="9"/>
  <c r="Y8" i="9"/>
  <c r="T13" i="9"/>
  <c r="U13" i="9"/>
  <c r="T9" i="9"/>
  <c r="S9" i="9"/>
  <c r="U9" i="9"/>
  <c r="T8" i="9"/>
  <c r="S8" i="9"/>
  <c r="U8" i="9"/>
  <c r="P13" i="9"/>
  <c r="Q13" i="9"/>
  <c r="P9" i="9"/>
  <c r="O9" i="9"/>
  <c r="Q9" i="9"/>
  <c r="P8" i="9"/>
  <c r="O8" i="9"/>
  <c r="Q8" i="9"/>
  <c r="L13" i="9"/>
  <c r="M13" i="9"/>
  <c r="K9" i="9"/>
  <c r="L9" i="9"/>
  <c r="M9" i="9"/>
  <c r="K8" i="9"/>
  <c r="L8" i="9"/>
  <c r="M8" i="9"/>
  <c r="H13" i="9"/>
  <c r="I13" i="9"/>
  <c r="G9" i="9"/>
  <c r="H9" i="9"/>
  <c r="I9" i="9"/>
  <c r="G8" i="9"/>
  <c r="H8" i="9"/>
  <c r="I8" i="9"/>
  <c r="D13" i="9"/>
  <c r="E13" i="9"/>
  <c r="C9" i="9"/>
  <c r="D9" i="9"/>
  <c r="E9" i="9"/>
  <c r="C8" i="9"/>
  <c r="D8" i="9"/>
  <c r="E8" i="9"/>
  <c r="AW54" i="9"/>
  <c r="AW30" i="9"/>
  <c r="AW29" i="9"/>
  <c r="AW25" i="9"/>
  <c r="AW24" i="9"/>
  <c r="AW20" i="9"/>
  <c r="AW19" i="9"/>
  <c r="AW18" i="9"/>
  <c r="AS54" i="9"/>
  <c r="AS30" i="9"/>
  <c r="AS29" i="9"/>
  <c r="AS25" i="9"/>
  <c r="AS24" i="9"/>
  <c r="AS20" i="9"/>
  <c r="AS19" i="9"/>
  <c r="AS18" i="9"/>
  <c r="AO54" i="9"/>
  <c r="AO30" i="9"/>
  <c r="AO29" i="9"/>
  <c r="AO25" i="9"/>
  <c r="AO24" i="9"/>
  <c r="AO20" i="9"/>
  <c r="AO19" i="9"/>
  <c r="AO18" i="9"/>
  <c r="AK54" i="9"/>
  <c r="AK30" i="9"/>
  <c r="AK29" i="9"/>
  <c r="AK25" i="9"/>
  <c r="AK24" i="9"/>
  <c r="AK20" i="9"/>
  <c r="AK19" i="9"/>
  <c r="AK18" i="9"/>
  <c r="AG54" i="9"/>
  <c r="AG30" i="9"/>
  <c r="AG29" i="9"/>
  <c r="AG25" i="9"/>
  <c r="AG24" i="9"/>
  <c r="AG20" i="9"/>
  <c r="AG19" i="9"/>
  <c r="AG18" i="9"/>
  <c r="AC54" i="9"/>
  <c r="AC30" i="9"/>
  <c r="AC29" i="9"/>
  <c r="AC25" i="9"/>
  <c r="AC24" i="9"/>
  <c r="AC20" i="9"/>
  <c r="AC19" i="9"/>
  <c r="AC18" i="9"/>
  <c r="Y54" i="9"/>
  <c r="Y30" i="9"/>
  <c r="Y29" i="9"/>
  <c r="Y25" i="9"/>
  <c r="Y24" i="9"/>
  <c r="Y20" i="9"/>
  <c r="Y19" i="9"/>
  <c r="Y18" i="9"/>
  <c r="U54" i="9"/>
  <c r="U30" i="9"/>
  <c r="U29" i="9"/>
  <c r="U25" i="9"/>
  <c r="U24" i="9"/>
  <c r="U20" i="9"/>
  <c r="U19" i="9"/>
  <c r="U18" i="9"/>
  <c r="Q54" i="9"/>
  <c r="Q30" i="9"/>
  <c r="Q29" i="9"/>
  <c r="Q25" i="9"/>
  <c r="Q24" i="9"/>
  <c r="Q20" i="9"/>
  <c r="Q19" i="9"/>
  <c r="Q18" i="9"/>
  <c r="M54" i="9"/>
  <c r="M30" i="9"/>
  <c r="M29" i="9"/>
  <c r="M25" i="9"/>
  <c r="M24" i="9"/>
  <c r="M20" i="9"/>
  <c r="M19" i="9"/>
  <c r="M18" i="9"/>
  <c r="I54" i="9"/>
  <c r="I30" i="9"/>
  <c r="I29" i="9"/>
  <c r="G25" i="9"/>
  <c r="I25" i="9"/>
  <c r="I24" i="9"/>
  <c r="I20" i="9"/>
  <c r="I19" i="9"/>
  <c r="I18" i="9"/>
  <c r="E54" i="9"/>
  <c r="E30" i="9"/>
  <c r="E29" i="9"/>
  <c r="C25" i="9"/>
  <c r="E25" i="9"/>
  <c r="E24" i="9"/>
  <c r="E20" i="9"/>
  <c r="E19" i="9"/>
  <c r="E18" i="9"/>
  <c r="C75" i="9"/>
  <c r="G51" i="9"/>
  <c r="G64" i="9"/>
  <c r="G65" i="9"/>
  <c r="G39" i="9"/>
  <c r="G38" i="9"/>
  <c r="G37" i="9"/>
  <c r="G57" i="9"/>
  <c r="G36" i="9"/>
  <c r="AU12" i="9"/>
  <c r="AQ12" i="9"/>
  <c r="AM12" i="9"/>
  <c r="AI12" i="9"/>
  <c r="AE12" i="9"/>
  <c r="AA12" i="9"/>
  <c r="W12" i="9"/>
  <c r="S12" i="9"/>
  <c r="O12" i="9"/>
  <c r="K12" i="9"/>
  <c r="G12" i="9"/>
  <c r="C57" i="9"/>
  <c r="C65" i="9"/>
  <c r="C12" i="9"/>
  <c r="AU11" i="9"/>
  <c r="AQ11" i="9"/>
  <c r="AM11" i="9"/>
  <c r="AI11" i="9"/>
  <c r="AE11" i="9"/>
  <c r="AA11" i="9"/>
  <c r="W11" i="9"/>
  <c r="S11" i="9"/>
  <c r="O11" i="9"/>
  <c r="K11" i="9"/>
  <c r="G11" i="9"/>
  <c r="C11" i="9"/>
  <c r="AU10" i="9"/>
  <c r="AQ10" i="9"/>
  <c r="AM10" i="9"/>
  <c r="AI10" i="9"/>
  <c r="AE10" i="9"/>
  <c r="AA10" i="9"/>
  <c r="W10" i="9"/>
  <c r="S10" i="9"/>
  <c r="O10" i="9"/>
  <c r="K10" i="9"/>
  <c r="G10" i="9"/>
  <c r="C10" i="9"/>
  <c r="C38" i="9"/>
  <c r="C36" i="9"/>
  <c r="C51" i="9"/>
</calcChain>
</file>

<file path=xl/comments1.xml><?xml version="1.0" encoding="utf-8"?>
<comments xmlns="http://schemas.openxmlformats.org/spreadsheetml/2006/main">
  <authors>
    <author>Josh Schwab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Josh Schwab:</t>
        </r>
        <r>
          <rPr>
            <sz val="9"/>
            <color indexed="81"/>
            <rFont val="Calibri"/>
            <family val="2"/>
          </rPr>
          <t xml:space="preserve">
Tracking code broken for 5 days. Actual total should be 4MM+.</t>
        </r>
      </text>
    </comment>
  </commentList>
</comments>
</file>

<file path=xl/comments2.xml><?xml version="1.0" encoding="utf-8"?>
<comments xmlns="http://schemas.openxmlformats.org/spreadsheetml/2006/main">
  <authors>
    <author>Josh Schwab</author>
  </authors>
  <commentList>
    <comment ref="F33" authorId="0">
      <text>
        <r>
          <rPr>
            <b/>
            <sz val="9"/>
            <color indexed="81"/>
            <rFont val="Calibri"/>
            <family val="2"/>
          </rPr>
          <t>Josh Schwab:</t>
        </r>
        <r>
          <rPr>
            <sz val="9"/>
            <color indexed="81"/>
            <rFont val="Calibri"/>
            <family val="2"/>
          </rPr>
          <t xml:space="preserve">
This must be a technical error. Checking it with web dev.</t>
        </r>
      </text>
    </comment>
  </commentList>
</comments>
</file>

<file path=xl/sharedStrings.xml><?xml version="1.0" encoding="utf-8"?>
<sst xmlns="http://schemas.openxmlformats.org/spreadsheetml/2006/main" count="1824" uniqueCount="202">
  <si>
    <t>Visits / unique visitor</t>
    <phoneticPr fontId="10" type="noConversion"/>
  </si>
  <si>
    <t>Vice</t>
    <phoneticPr fontId="10" type="noConversion"/>
  </si>
  <si>
    <t>ANALYSIS</t>
    <phoneticPr fontId="10" type="noConversion"/>
  </si>
  <si>
    <t>Visists per unique</t>
    <phoneticPr fontId="10" type="noConversion"/>
  </si>
  <si>
    <t>Pageviews per visit</t>
    <phoneticPr fontId="10" type="noConversion"/>
  </si>
  <si>
    <t>Video views per visit</t>
    <phoneticPr fontId="10" type="noConversion"/>
  </si>
  <si>
    <t>Minutes viewed per visit</t>
    <phoneticPr fontId="10" type="noConversion"/>
  </si>
  <si>
    <t>Mins viewed per video</t>
    <phoneticPr fontId="10" type="noConversion"/>
  </si>
  <si>
    <t>% mobile visits</t>
    <phoneticPr fontId="10" type="noConversion"/>
  </si>
  <si>
    <t>General</t>
    <phoneticPr fontId="10" type="noConversion"/>
  </si>
  <si>
    <t>Time on site (enter in decimal format)</t>
    <phoneticPr fontId="10" type="noConversion"/>
  </si>
  <si>
    <t>Hours viewed on property (implied)</t>
    <phoneticPr fontId="10" type="noConversion"/>
  </si>
  <si>
    <t>Hours viewed on property (implied)</t>
    <phoneticPr fontId="10" type="noConversion"/>
  </si>
  <si>
    <t>Desktop</t>
    <phoneticPr fontId="4" type="noConversion"/>
  </si>
  <si>
    <t>Visits</t>
    <phoneticPr fontId="4" type="noConversion"/>
  </si>
  <si>
    <t>Pageviews</t>
    <phoneticPr fontId="4" type="noConversion"/>
  </si>
  <si>
    <t>% Mobile</t>
  </si>
  <si>
    <t>Actual</t>
    <phoneticPr fontId="10" type="noConversion"/>
  </si>
  <si>
    <t>Budget</t>
    <phoneticPr fontId="10" type="noConversion"/>
  </si>
  <si>
    <t>Difference</t>
    <phoneticPr fontId="10" type="noConversion"/>
  </si>
  <si>
    <t>Difference</t>
    <phoneticPr fontId="10" type="noConversion"/>
  </si>
  <si>
    <t>NOISEY USA</t>
    <phoneticPr fontId="10" type="noConversion"/>
  </si>
  <si>
    <t>MOTHERBOARD USA</t>
    <phoneticPr fontId="10" type="noConversion"/>
  </si>
  <si>
    <t>i-D USA</t>
    <phoneticPr fontId="10" type="noConversion"/>
  </si>
  <si>
    <t>FIGHTLAND USA</t>
    <phoneticPr fontId="10" type="noConversion"/>
  </si>
  <si>
    <t>THUMP USA</t>
    <phoneticPr fontId="10" type="noConversion"/>
  </si>
  <si>
    <t>Time on site (enter in decimal format)</t>
    <phoneticPr fontId="4" type="noConversion"/>
  </si>
  <si>
    <t>% Other</t>
    <phoneticPr fontId="0" type="noConversion"/>
  </si>
  <si>
    <t>OOYALA</t>
    <phoneticPr fontId="0" type="noConversion"/>
  </si>
  <si>
    <t>Video views - total</t>
    <phoneticPr fontId="0" type="noConversion"/>
  </si>
  <si>
    <t>Video views on property</t>
    <phoneticPr fontId="0" type="noConversion"/>
  </si>
  <si>
    <t>Hours viewed (enter in decimal format)</t>
    <phoneticPr fontId="0" type="noConversion"/>
  </si>
  <si>
    <t>Average completion rate</t>
    <phoneticPr fontId="0" type="noConversion"/>
  </si>
  <si>
    <t>YOUTUBE</t>
    <phoneticPr fontId="0" type="noConversion"/>
  </si>
  <si>
    <t>SOCIALS</t>
    <phoneticPr fontId="0" type="noConversion"/>
  </si>
  <si>
    <t>Number of Facebook fans</t>
    <phoneticPr fontId="0" type="noConversion"/>
  </si>
  <si>
    <t>Number of Twitter followers</t>
    <phoneticPr fontId="0" type="noConversion"/>
  </si>
  <si>
    <t>COMSCORE</t>
    <phoneticPr fontId="0" type="noConversion"/>
  </si>
  <si>
    <t>% male</t>
    <phoneticPr fontId="0" type="noConversion"/>
  </si>
  <si>
    <t>% female</t>
    <phoneticPr fontId="0" type="noConversion"/>
  </si>
  <si>
    <t>% audience 18-34 (15-34 global)</t>
    <phoneticPr fontId="0" type="noConversion"/>
  </si>
  <si>
    <t>%HHI &gt; $75,000</t>
    <phoneticPr fontId="0" type="noConversion"/>
  </si>
  <si>
    <t>APPS</t>
    <phoneticPr fontId="0" type="noConversion"/>
  </si>
  <si>
    <t>Downloads</t>
    <phoneticPr fontId="0" type="noConversion"/>
  </si>
  <si>
    <t>Active users</t>
    <phoneticPr fontId="0" type="noConversion"/>
  </si>
  <si>
    <t>Subscribers</t>
  </si>
  <si>
    <t>Number of Instagram followers</t>
  </si>
  <si>
    <t>% paid</t>
  </si>
  <si>
    <t>VICE GLOBAL</t>
  </si>
  <si>
    <t>i-D GLOBAL</t>
  </si>
  <si>
    <t>Subscribers Added</t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</si>
  <si>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</si>
  <si>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</si>
  <si>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</si>
  <si>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</si>
  <si>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</si>
  <si>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</si>
  <si>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Pageviews / visit</t>
    <phoneticPr fontId="10" type="noConversion"/>
  </si>
  <si>
    <t>MUNCHIES USA</t>
  </si>
  <si>
    <t>VICE</t>
    <phoneticPr fontId="10" type="noConversion"/>
  </si>
  <si>
    <t>Uniques</t>
    <phoneticPr fontId="10" type="noConversion"/>
  </si>
  <si>
    <t>CAGR</t>
    <phoneticPr fontId="10" type="noConversion"/>
  </si>
  <si>
    <t>Global Target</t>
    <phoneticPr fontId="10" type="noConversion"/>
  </si>
  <si>
    <t>Global Actual</t>
    <phoneticPr fontId="10" type="noConversion"/>
  </si>
  <si>
    <t>US Actual</t>
    <phoneticPr fontId="10" type="noConversion"/>
  </si>
  <si>
    <t>Jan</t>
    <phoneticPr fontId="10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</si>
  <si>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</si>
  <si>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</si>
  <si>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</si>
  <si>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</si>
  <si>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</si>
  <si>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</si>
  <si>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</si>
  <si>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</si>
  <si>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</si>
  <si>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</si>
  <si>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</si>
  <si>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Growth</t>
    <phoneticPr fontId="10" type="noConversion"/>
  </si>
  <si>
    <t>Global Pageviews</t>
    <phoneticPr fontId="10" type="noConversion"/>
  </si>
  <si>
    <t>Desktop</t>
    <phoneticPr fontId="10" type="noConversion"/>
  </si>
  <si>
    <t>Mobile</t>
    <phoneticPr fontId="10" type="noConversion"/>
  </si>
  <si>
    <t>% mobile</t>
    <phoneticPr fontId="10" type="noConversion"/>
  </si>
  <si>
    <t>Global video views</t>
    <phoneticPr fontId="10" type="noConversion"/>
  </si>
  <si>
    <t>YouTube</t>
    <phoneticPr fontId="10" type="noConversion"/>
  </si>
  <si>
    <t>Ooyala</t>
    <phoneticPr fontId="10" type="noConversion"/>
  </si>
  <si>
    <t>% visits by superfans</t>
    <phoneticPr fontId="10" type="noConversion"/>
  </si>
  <si>
    <t>% visits &lt; 60s</t>
    <phoneticPr fontId="10" type="noConversion"/>
  </si>
  <si>
    <t>% social</t>
    <phoneticPr fontId="10" type="noConversion"/>
  </si>
  <si>
    <t>% direct</t>
    <phoneticPr fontId="10" type="noConversion"/>
  </si>
  <si>
    <t>% search</t>
    <phoneticPr fontId="10" type="noConversion"/>
  </si>
  <si>
    <t>% other</t>
    <phoneticPr fontId="10" type="noConversion"/>
  </si>
  <si>
    <t>% paid</t>
    <phoneticPr fontId="10" type="noConversion"/>
  </si>
  <si>
    <t>NOISEY</t>
    <phoneticPr fontId="10" type="noConversion"/>
  </si>
  <si>
    <t>MOTHERBOARD</t>
    <phoneticPr fontId="10" type="noConversion"/>
  </si>
  <si>
    <t>NEWS</t>
    <phoneticPr fontId="10" type="noConversion"/>
  </si>
  <si>
    <t>MUNCHIES</t>
    <phoneticPr fontId="10" type="noConversion"/>
  </si>
  <si>
    <t>THUMP</t>
    <phoneticPr fontId="10" type="noConversion"/>
  </si>
  <si>
    <t>FIGHTLAND</t>
    <phoneticPr fontId="10" type="noConversion"/>
  </si>
  <si>
    <t>% returning</t>
    <phoneticPr fontId="10" type="noConversion"/>
  </si>
  <si>
    <t>TCP UNITED STATES</t>
  </si>
  <si>
    <t>TCP GLOBAL</t>
  </si>
  <si>
    <t>FIGHTLAND GLOBAL</t>
  </si>
  <si>
    <t>THUMP GLOBAL</t>
  </si>
  <si>
    <t>MOTHERBOARD GLOBAL</t>
  </si>
  <si>
    <t>VICE USA</t>
  </si>
  <si>
    <t>% Noisey</t>
  </si>
  <si>
    <t>% Motherboard</t>
  </si>
  <si>
    <t>% Other</t>
  </si>
  <si>
    <t>Unique visitors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</si>
  <si>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</si>
  <si>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</si>
  <si>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</si>
  <si>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</si>
  <si>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</si>
  <si>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</si>
  <si>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</si>
  <si>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Total uniques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</si>
  <si>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</si>
  <si>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</si>
  <si>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</si>
  <si>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</si>
  <si>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</si>
  <si>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</si>
  <si>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</si>
  <si>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Time on site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</si>
  <si>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</si>
  <si>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</si>
  <si>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</si>
  <si>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</si>
  <si>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</si>
  <si>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</si>
  <si>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</si>
  <si>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Minutes viewed / video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</si>
  <si>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</si>
  <si>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</si>
  <si>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</si>
  <si>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</si>
  <si>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</si>
  <si>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</si>
  <si>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</si>
  <si>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Video views / visit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</si>
  <si>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</si>
  <si>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</si>
  <si>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</si>
  <si>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</si>
  <si>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</si>
  <si>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</si>
  <si>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</si>
  <si>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Bounce rate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</si>
  <si>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</si>
  <si>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</si>
  <si>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</si>
  <si>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</si>
  <si>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TCP</t>
    <phoneticPr fontId="10" type="noConversion"/>
  </si>
  <si>
    <t>i-D</t>
    <phoneticPr fontId="10" type="noConversion"/>
  </si>
  <si>
    <t>NOISEY GLOBAL</t>
    <phoneticPr fontId="0" type="noConversion"/>
  </si>
  <si>
    <t>GOOGLE ANALYTICS</t>
    <phoneticPr fontId="0" type="noConversion"/>
  </si>
  <si>
    <t>Unique visitors</t>
    <phoneticPr fontId="0" type="noConversion"/>
  </si>
  <si>
    <t>Total Visits</t>
  </si>
  <si>
    <t>Total Pageviews</t>
  </si>
  <si>
    <t>Desktop</t>
    <phoneticPr fontId="0" type="noConversion"/>
  </si>
  <si>
    <t>Visits</t>
    <phoneticPr fontId="0" type="noConversion"/>
  </si>
  <si>
    <t>Pageviews</t>
    <phoneticPr fontId="0" type="noConversion"/>
  </si>
  <si>
    <t>Time on site (enter in decimal format)</t>
    <phoneticPr fontId="0" type="noConversion"/>
  </si>
  <si>
    <t>Mobile</t>
    <phoneticPr fontId="0" type="noConversion"/>
  </si>
  <si>
    <t>Engagement</t>
    <phoneticPr fontId="0" type="noConversion"/>
  </si>
  <si>
    <t>bounce rate</t>
    <phoneticPr fontId="0" type="noConversion"/>
  </si>
  <si>
    <t>% new visits</t>
    <phoneticPr fontId="0" type="noConversion"/>
  </si>
  <si>
    <t>Visits</t>
  </si>
  <si>
    <t>Desktop Pageviews</t>
  </si>
  <si>
    <t>% Mobile Visits</t>
  </si>
  <si>
    <t>VERTICAL SUMMARY -- USA</t>
  </si>
  <si>
    <t>YouTube Views</t>
  </si>
  <si>
    <t>Total YouTube Views</t>
  </si>
  <si>
    <t>Total Ooyala Views</t>
  </si>
  <si>
    <t>Ooyala Views (On Property / Monetizable)</t>
  </si>
  <si>
    <t>VERTICAL SUMMARY -- GLOBAL</t>
  </si>
  <si>
    <t>% VICE</t>
  </si>
  <si>
    <t>% Reddit</t>
  </si>
  <si>
    <t>x</t>
  </si>
  <si>
    <t>News</t>
  </si>
  <si>
    <t>NEWS GLOBAL</t>
  </si>
  <si>
    <t>NEWS USA</t>
  </si>
  <si>
    <t xml:space="preserve"> </t>
  </si>
  <si>
    <t>MUNCHIES GLOBAL</t>
  </si>
  <si>
    <t>Unique Visitors</t>
  </si>
  <si>
    <t>Unique Visitors (Total)</t>
  </si>
  <si>
    <t>Unique Visitors (Desktop)</t>
  </si>
  <si>
    <t>Munchies</t>
  </si>
  <si>
    <t>% returning visits</t>
    <phoneticPr fontId="0" type="noConversion"/>
  </si>
  <si>
    <t>% visits made by visitors returning 26+ times</t>
  </si>
  <si>
    <t>% of visits &lt; 60 seconds</t>
    <phoneticPr fontId="0" type="noConversion"/>
  </si>
  <si>
    <t>% of visits &gt; 60 seconds</t>
    <phoneticPr fontId="0" type="noConversion"/>
  </si>
  <si>
    <t>Traffic sources</t>
    <phoneticPr fontId="0" type="noConversion"/>
  </si>
  <si>
    <t>% direct</t>
    <phoneticPr fontId="0" type="noConversion"/>
  </si>
  <si>
    <t>% search</t>
    <phoneticPr fontId="0" type="noConversion"/>
  </si>
  <si>
    <t>% social</t>
    <phoneticPr fontId="0" type="noConversion"/>
  </si>
  <si>
    <t>% Vice</t>
    <phoneticPr fontId="0" type="noConversion"/>
  </si>
  <si>
    <t>% Creators Project</t>
    <phoneticPr fontId="0" type="noConversion"/>
  </si>
  <si>
    <t>% Motherboard</t>
    <phoneticPr fontId="0" type="noConversion"/>
  </si>
  <si>
    <t>% Fightland</t>
    <phoneticPr fontId="0" type="noConversion"/>
  </si>
  <si>
    <t>% Thump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</si>
</sst>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D4"/>
      <name val="Calibri"/>
      <scheme val="minor"/>
    </font>
    <font>
      <sz val="13"/>
      <color indexed="8"/>
      <name val="Arial"/>
    </font>
    <font>
      <sz val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9">
    <xf numFmtId="0" fontId="0" fillId="0" borderId="0" xfId="0"/>
    <xf numFmtId="43" fontId="2" fillId="0" borderId="0" xfId="1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9" fontId="3" fillId="0" borderId="0" xfId="0" applyNumberFormat="1" applyFont="1"/>
    <xf numFmtId="43" fontId="14" fillId="0" borderId="0" xfId="0" applyNumberFormat="1" applyFont="1" applyAlignment="1">
      <alignment horizontal="right"/>
    </xf>
    <xf numFmtId="9" fontId="2" fillId="0" borderId="0" xfId="0" applyNumberFormat="1" applyFont="1"/>
    <xf numFmtId="165" fontId="2" fillId="0" borderId="0" xfId="1" applyNumberFormat="1" applyFont="1"/>
    <xf numFmtId="9" fontId="2" fillId="0" borderId="8" xfId="1" applyNumberFormat="1" applyFont="1" applyBorder="1"/>
    <xf numFmtId="164" fontId="2" fillId="0" borderId="8" xfId="1" applyNumberFormat="1" applyFont="1" applyBorder="1"/>
    <xf numFmtId="0" fontId="2" fillId="0" borderId="8" xfId="0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9" fontId="14" fillId="0" borderId="0" xfId="0" applyNumberFormat="1" applyFont="1"/>
    <xf numFmtId="0" fontId="5" fillId="0" borderId="0" xfId="0" applyFont="1" applyAlignment="1">
      <alignment horizontal="center"/>
    </xf>
    <xf numFmtId="9" fontId="14" fillId="0" borderId="0" xfId="2" applyFont="1"/>
    <xf numFmtId="164" fontId="5" fillId="0" borderId="0" xfId="1" applyNumberFormat="1" applyFont="1"/>
    <xf numFmtId="164" fontId="2" fillId="0" borderId="0" xfId="1" applyNumberFormat="1" applyFont="1"/>
    <xf numFmtId="0" fontId="11" fillId="0" borderId="1" xfId="0" applyFont="1" applyBorder="1"/>
    <xf numFmtId="0" fontId="2" fillId="0" borderId="0" xfId="0" applyFont="1" applyAlignment="1">
      <alignment horizontal="centerContinuous"/>
    </xf>
    <xf numFmtId="17" fontId="3" fillId="0" borderId="0" xfId="0" applyNumberFormat="1" applyFont="1" applyAlignment="1">
      <alignment horizontal="centerContinuous"/>
    </xf>
    <xf numFmtId="0" fontId="2" fillId="2" borderId="6" xfId="0" applyFont="1" applyFill="1" applyBorder="1"/>
    <xf numFmtId="164" fontId="5" fillId="2" borderId="6" xfId="0" applyNumberFormat="1" applyFont="1" applyFill="1" applyBorder="1"/>
    <xf numFmtId="0" fontId="5" fillId="0" borderId="6" xfId="0" applyFont="1" applyBorder="1"/>
    <xf numFmtId="164" fontId="11" fillId="3" borderId="6" xfId="1" applyNumberFormat="1" applyFont="1" applyFill="1" applyBorder="1"/>
    <xf numFmtId="43" fontId="5" fillId="3" borderId="6" xfId="1" quotePrefix="1" applyNumberFormat="1" applyFont="1" applyFill="1" applyBorder="1" applyAlignment="1">
      <alignment horizontal="right"/>
    </xf>
    <xf numFmtId="43" fontId="5" fillId="3" borderId="6" xfId="1" applyNumberFormat="1" applyFont="1" applyFill="1" applyBorder="1"/>
    <xf numFmtId="0" fontId="5" fillId="2" borderId="6" xfId="0" applyFont="1" applyFill="1" applyBorder="1"/>
    <xf numFmtId="9" fontId="12" fillId="0" borderId="0" xfId="2" applyFont="1" applyAlignment="1">
      <alignment horizontal="right"/>
    </xf>
    <xf numFmtId="164" fontId="5" fillId="0" borderId="0" xfId="0" applyNumberFormat="1" applyFont="1" applyFill="1"/>
    <xf numFmtId="43" fontId="5" fillId="3" borderId="6" xfId="1" applyFont="1" applyFill="1" applyBorder="1"/>
    <xf numFmtId="43" fontId="5" fillId="3" borderId="8" xfId="1" applyFont="1" applyFill="1" applyBorder="1"/>
    <xf numFmtId="9" fontId="5" fillId="3" borderId="6" xfId="2" applyFont="1" applyFill="1" applyBorder="1"/>
    <xf numFmtId="9" fontId="5" fillId="3" borderId="8" xfId="2" applyFont="1" applyFill="1" applyBorder="1"/>
    <xf numFmtId="165" fontId="5" fillId="3" borderId="6" xfId="1" applyNumberFormat="1" applyFont="1" applyFill="1" applyBorder="1"/>
    <xf numFmtId="164" fontId="5" fillId="3" borderId="6" xfId="1" applyNumberFormat="1" applyFont="1" applyFill="1" applyBorder="1"/>
    <xf numFmtId="164" fontId="5" fillId="3" borderId="8" xfId="1" applyNumberFormat="1" applyFont="1" applyFill="1" applyBorder="1"/>
    <xf numFmtId="43" fontId="11" fillId="3" borderId="0" xfId="1" applyNumberFormat="1" applyFont="1" applyFill="1" applyAlignment="1">
      <alignment horizontal="center"/>
    </xf>
    <xf numFmtId="9" fontId="12" fillId="0" borderId="0" xfId="1" applyNumberFormat="1" applyFont="1" applyFill="1" applyBorder="1" applyAlignment="1">
      <alignment horizontal="center"/>
    </xf>
    <xf numFmtId="9" fontId="12" fillId="0" borderId="0" xfId="1" applyNumberFormat="1" applyFont="1" applyAlignment="1">
      <alignment horizontal="center"/>
    </xf>
    <xf numFmtId="43" fontId="5" fillId="0" borderId="0" xfId="1" applyFont="1" applyFill="1" applyBorder="1"/>
    <xf numFmtId="165" fontId="5" fillId="0" borderId="0" xfId="1" applyNumberFormat="1" applyFont="1" applyFill="1" applyBorder="1"/>
    <xf numFmtId="164" fontId="5" fillId="0" borderId="0" xfId="0" applyNumberFormat="1" applyFont="1" applyFill="1" applyBorder="1"/>
    <xf numFmtId="164" fontId="11" fillId="0" borderId="0" xfId="1" applyNumberFormat="1" applyFont="1" applyFill="1" applyBorder="1"/>
    <xf numFmtId="0" fontId="5" fillId="0" borderId="0" xfId="0" applyFont="1" applyFill="1" applyBorder="1"/>
    <xf numFmtId="43" fontId="5" fillId="0" borderId="0" xfId="1" quotePrefix="1" applyNumberFormat="1" applyFont="1" applyFill="1" applyBorder="1" applyAlignment="1">
      <alignment horizontal="right"/>
    </xf>
    <xf numFmtId="43" fontId="5" fillId="0" borderId="0" xfId="1" applyNumberFormat="1" applyFont="1" applyFill="1" applyBorder="1"/>
    <xf numFmtId="164" fontId="5" fillId="0" borderId="0" xfId="1" applyNumberFormat="1" applyFont="1" applyFill="1" applyBorder="1"/>
    <xf numFmtId="9" fontId="12" fillId="0" borderId="0" xfId="1" applyNumberFormat="1" applyFont="1" applyFill="1" applyBorder="1"/>
    <xf numFmtId="9" fontId="12" fillId="0" borderId="0" xfId="1" applyNumberFormat="1" applyFont="1" applyFill="1" applyBorder="1" applyAlignment="1">
      <alignment horizontal="right"/>
    </xf>
    <xf numFmtId="43" fontId="11" fillId="0" borderId="0" xfId="1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43" fontId="5" fillId="3" borderId="0" xfId="1" applyFont="1" applyFill="1" applyBorder="1"/>
    <xf numFmtId="164" fontId="11" fillId="3" borderId="0" xfId="1" applyNumberFormat="1" applyFont="1" applyFill="1" applyBorder="1"/>
    <xf numFmtId="9" fontId="5" fillId="3" borderId="0" xfId="2" applyFont="1" applyFill="1" applyBorder="1"/>
    <xf numFmtId="9" fontId="12" fillId="0" borderId="0" xfId="1" applyNumberFormat="1" applyFont="1" applyAlignment="1">
      <alignment horizontal="right"/>
    </xf>
    <xf numFmtId="43" fontId="5" fillId="3" borderId="6" xfId="1" quotePrefix="1" applyNumberFormat="1" applyFont="1" applyFill="1" applyBorder="1" applyAlignment="1">
      <alignment horizontal="right"/>
    </xf>
    <xf numFmtId="164" fontId="5" fillId="3" borderId="0" xfId="1" applyNumberFormat="1" applyFont="1" applyFill="1" applyBorder="1"/>
    <xf numFmtId="43" fontId="5" fillId="3" borderId="6" xfId="1" applyNumberFormat="1" applyFont="1" applyFill="1" applyBorder="1"/>
    <xf numFmtId="0" fontId="11" fillId="2" borderId="0" xfId="0" applyFont="1" applyFill="1"/>
    <xf numFmtId="164" fontId="11" fillId="2" borderId="0" xfId="0" applyNumberFormat="1" applyFont="1" applyFill="1"/>
    <xf numFmtId="164" fontId="11" fillId="3" borderId="8" xfId="1" applyNumberFormat="1" applyFont="1" applyFill="1" applyBorder="1"/>
    <xf numFmtId="164" fontId="11" fillId="2" borderId="0" xfId="0" applyNumberFormat="1" applyFont="1" applyFill="1" applyBorder="1"/>
    <xf numFmtId="9" fontId="11" fillId="3" borderId="8" xfId="2" applyFont="1" applyFill="1" applyBorder="1"/>
    <xf numFmtId="164" fontId="11" fillId="0" borderId="0" xfId="0" applyNumberFormat="1" applyFont="1"/>
    <xf numFmtId="164" fontId="11" fillId="2" borderId="6" xfId="0" applyNumberFormat="1" applyFont="1" applyFill="1" applyBorder="1"/>
    <xf numFmtId="164" fontId="11" fillId="0" borderId="0" xfId="0" applyNumberFormat="1" applyFont="1" applyBorder="1"/>
    <xf numFmtId="0" fontId="11" fillId="2" borderId="6" xfId="0" applyFont="1" applyFill="1" applyBorder="1"/>
    <xf numFmtId="9" fontId="11" fillId="3" borderId="6" xfId="2" applyFont="1" applyFill="1" applyBorder="1"/>
    <xf numFmtId="9" fontId="11" fillId="3" borderId="0" xfId="2" applyFont="1" applyFill="1" applyBorder="1"/>
    <xf numFmtId="0" fontId="11" fillId="0" borderId="0" xfId="0" applyFont="1"/>
    <xf numFmtId="43" fontId="11" fillId="3" borderId="6" xfId="1" quotePrefix="1" applyNumberFormat="1" applyFont="1" applyFill="1" applyBorder="1" applyAlignment="1">
      <alignment horizontal="right"/>
    </xf>
    <xf numFmtId="164" fontId="11" fillId="0" borderId="0" xfId="1" applyNumberFormat="1" applyFont="1"/>
    <xf numFmtId="0" fontId="2" fillId="0" borderId="0" xfId="0" applyFont="1" applyFill="1" applyBorder="1"/>
    <xf numFmtId="43" fontId="11" fillId="3" borderId="6" xfId="1" applyNumberFormat="1" applyFont="1" applyFill="1" applyBorder="1"/>
    <xf numFmtId="0" fontId="11" fillId="0" borderId="6" xfId="0" applyFont="1" applyBorder="1"/>
    <xf numFmtId="0" fontId="11" fillId="2" borderId="5" xfId="0" applyFont="1" applyFill="1" applyBorder="1"/>
    <xf numFmtId="17" fontId="13" fillId="0" borderId="0" xfId="0" applyNumberFormat="1" applyFont="1" applyBorder="1" applyAlignment="1">
      <alignment horizontal="center"/>
    </xf>
    <xf numFmtId="17" fontId="13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Continuous"/>
    </xf>
    <xf numFmtId="0" fontId="13" fillId="0" borderId="0" xfId="0" applyFont="1" applyFill="1" applyBorder="1"/>
    <xf numFmtId="164" fontId="5" fillId="0" borderId="13" xfId="1" applyNumberFormat="1" applyFont="1" applyBorder="1"/>
    <xf numFmtId="164" fontId="5" fillId="0" borderId="6" xfId="1" applyNumberFormat="1" applyFont="1" applyBorder="1"/>
    <xf numFmtId="164" fontId="5" fillId="0" borderId="11" xfId="1" applyNumberFormat="1" applyFont="1" applyBorder="1"/>
    <xf numFmtId="164" fontId="5" fillId="0" borderId="0" xfId="1" applyNumberFormat="1" applyFont="1" applyBorder="1"/>
    <xf numFmtId="164" fontId="5" fillId="0" borderId="9" xfId="1" applyNumberFormat="1" applyFont="1" applyBorder="1"/>
    <xf numFmtId="164" fontId="5" fillId="0" borderId="8" xfId="1" applyNumberFormat="1" applyFont="1" applyBorder="1"/>
    <xf numFmtId="164" fontId="11" fillId="0" borderId="11" xfId="1" applyNumberFormat="1" applyFont="1" applyBorder="1"/>
    <xf numFmtId="164" fontId="11" fillId="0" borderId="9" xfId="1" applyNumberFormat="1" applyFont="1" applyBorder="1"/>
    <xf numFmtId="164" fontId="11" fillId="0" borderId="8" xfId="1" applyNumberFormat="1" applyFont="1" applyBorder="1"/>
    <xf numFmtId="43" fontId="2" fillId="0" borderId="0" xfId="0" applyNumberFormat="1" applyFont="1"/>
    <xf numFmtId="164" fontId="8" fillId="0" borderId="0" xfId="0" applyNumberFormat="1" applyFont="1" applyBorder="1"/>
    <xf numFmtId="164" fontId="11" fillId="0" borderId="6" xfId="1" applyNumberFormat="1" applyFont="1" applyBorder="1"/>
    <xf numFmtId="164" fontId="11" fillId="0" borderId="0" xfId="1" applyNumberFormat="1" applyFont="1" applyBorder="1"/>
    <xf numFmtId="0" fontId="3" fillId="0" borderId="0" xfId="0" applyFont="1"/>
    <xf numFmtId="9" fontId="12" fillId="0" borderId="0" xfId="1" applyNumberFormat="1" applyFont="1"/>
    <xf numFmtId="17" fontId="3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3" fillId="2" borderId="5" xfId="0" applyFont="1" applyFill="1" applyBorder="1"/>
    <xf numFmtId="0" fontId="2" fillId="2" borderId="5" xfId="0" applyFont="1" applyFill="1" applyBorder="1"/>
    <xf numFmtId="164" fontId="5" fillId="0" borderId="0" xfId="1" applyNumberFormat="1" applyFont="1"/>
    <xf numFmtId="164" fontId="2" fillId="0" borderId="0" xfId="0" applyNumberFormat="1" applyFont="1"/>
    <xf numFmtId="43" fontId="2" fillId="0" borderId="0" xfId="0" applyNumberFormat="1" applyFont="1"/>
    <xf numFmtId="0" fontId="3" fillId="0" borderId="6" xfId="0" applyFont="1" applyBorder="1"/>
    <xf numFmtId="0" fontId="2" fillId="0" borderId="7" xfId="0" applyFont="1" applyBorder="1"/>
    <xf numFmtId="164" fontId="5" fillId="0" borderId="8" xfId="1" applyNumberFormat="1" applyFont="1" applyBorder="1"/>
    <xf numFmtId="164" fontId="5" fillId="0" borderId="9" xfId="1" applyNumberFormat="1" applyFont="1" applyBorder="1"/>
    <xf numFmtId="0" fontId="2" fillId="0" borderId="10" xfId="0" applyFont="1" applyBorder="1"/>
    <xf numFmtId="164" fontId="5" fillId="0" borderId="0" xfId="1" applyNumberFormat="1" applyFont="1" applyBorder="1"/>
    <xf numFmtId="164" fontId="5" fillId="0" borderId="11" xfId="1" applyNumberFormat="1" applyFont="1" applyBorder="1"/>
    <xf numFmtId="0" fontId="2" fillId="0" borderId="12" xfId="0" applyFont="1" applyBorder="1"/>
    <xf numFmtId="165" fontId="5" fillId="0" borderId="6" xfId="1" applyNumberFormat="1" applyFont="1" applyBorder="1"/>
    <xf numFmtId="165" fontId="5" fillId="0" borderId="13" xfId="1" applyNumberFormat="1" applyFont="1" applyBorder="1"/>
    <xf numFmtId="9" fontId="5" fillId="0" borderId="0" xfId="2" applyFont="1"/>
    <xf numFmtId="0" fontId="5" fillId="0" borderId="0" xfId="0" applyFont="1"/>
    <xf numFmtId="0" fontId="3" fillId="0" borderId="0" xfId="0" applyFont="1" applyBorder="1"/>
    <xf numFmtId="9" fontId="5" fillId="0" borderId="8" xfId="2" applyFont="1" applyBorder="1"/>
    <xf numFmtId="9" fontId="5" fillId="0" borderId="9" xfId="2" applyFont="1" applyBorder="1"/>
    <xf numFmtId="9" fontId="5" fillId="0" borderId="0" xfId="2" applyFont="1" applyFill="1" applyBorder="1"/>
    <xf numFmtId="9" fontId="5" fillId="0" borderId="0" xfId="2" applyFont="1" applyBorder="1"/>
    <xf numFmtId="9" fontId="5" fillId="0" borderId="11" xfId="2" applyFont="1" applyBorder="1"/>
    <xf numFmtId="9" fontId="5" fillId="0" borderId="6" xfId="2" applyFont="1" applyBorder="1"/>
    <xf numFmtId="9" fontId="5" fillId="0" borderId="13" xfId="2" applyFont="1" applyBorder="1"/>
    <xf numFmtId="0" fontId="2" fillId="0" borderId="7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164" fontId="5" fillId="0" borderId="6" xfId="1" applyNumberFormat="1" applyFont="1" applyBorder="1"/>
    <xf numFmtId="164" fontId="5" fillId="0" borderId="13" xfId="1" applyNumberFormat="1" applyFont="1" applyBorder="1"/>
    <xf numFmtId="0" fontId="2" fillId="0" borderId="0" xfId="0" applyFont="1" applyBorder="1"/>
    <xf numFmtId="164" fontId="5" fillId="0" borderId="0" xfId="0" applyNumberFormat="1" applyFont="1" applyBorder="1"/>
    <xf numFmtId="164" fontId="5" fillId="2" borderId="0" xfId="0" applyNumberFormat="1" applyFont="1" applyFill="1" applyBorder="1"/>
    <xf numFmtId="164" fontId="5" fillId="0" borderId="0" xfId="0" applyNumberFormat="1" applyFont="1"/>
    <xf numFmtId="0" fontId="3" fillId="2" borderId="0" xfId="0" applyFont="1" applyFill="1"/>
    <xf numFmtId="164" fontId="5" fillId="2" borderId="0" xfId="0" applyNumberFormat="1" applyFont="1" applyFill="1"/>
    <xf numFmtId="0" fontId="5" fillId="2" borderId="0" xfId="0" applyFont="1" applyFill="1"/>
    <xf numFmtId="0" fontId="2" fillId="2" borderId="0" xfId="0" applyFont="1" applyFill="1"/>
    <xf numFmtId="43" fontId="5" fillId="0" borderId="8" xfId="1" applyFont="1" applyBorder="1"/>
    <xf numFmtId="43" fontId="5" fillId="0" borderId="9" xfId="1" applyFont="1" applyBorder="1"/>
    <xf numFmtId="43" fontId="5" fillId="0" borderId="0" xfId="1" applyFont="1" applyBorder="1"/>
    <xf numFmtId="43" fontId="5" fillId="0" borderId="11" xfId="1" applyFont="1" applyBorder="1"/>
    <xf numFmtId="43" fontId="5" fillId="0" borderId="6" xfId="1" applyFont="1" applyBorder="1"/>
    <xf numFmtId="43" fontId="5" fillId="0" borderId="13" xfId="1" applyFont="1" applyBorder="1"/>
    <xf numFmtId="0" fontId="2" fillId="0" borderId="10" xfId="0" applyFont="1" applyFill="1" applyBorder="1"/>
    <xf numFmtId="164" fontId="5" fillId="0" borderId="7" xfId="1" applyNumberFormat="1" applyFont="1" applyBorder="1"/>
    <xf numFmtId="0" fontId="9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9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6" xfId="1" applyFont="1" applyBorder="1" applyAlignment="1">
      <alignment horizontal="center"/>
    </xf>
    <xf numFmtId="43" fontId="5" fillId="0" borderId="13" xfId="1" applyFont="1" applyBorder="1" applyAlignment="1">
      <alignment horizontal="center"/>
    </xf>
    <xf numFmtId="164" fontId="5" fillId="0" borderId="8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center"/>
    </xf>
    <xf numFmtId="164" fontId="5" fillId="0" borderId="13" xfId="1" applyNumberFormat="1" applyFont="1" applyBorder="1" applyAlignment="1">
      <alignment horizontal="center"/>
    </xf>
    <xf numFmtId="9" fontId="5" fillId="0" borderId="0" xfId="2" applyNumberFormat="1" applyFont="1" applyBorder="1"/>
    <xf numFmtId="9" fontId="8" fillId="0" borderId="0" xfId="2" applyFont="1"/>
    <xf numFmtId="167" fontId="5" fillId="0" borderId="0" xfId="1" applyNumberFormat="1" applyFont="1"/>
    <xf numFmtId="43" fontId="5" fillId="0" borderId="6" xfId="1" applyNumberFormat="1" applyFont="1" applyBorder="1"/>
    <xf numFmtId="43" fontId="5" fillId="0" borderId="6" xfId="1" quotePrefix="1" applyNumberFormat="1" applyFont="1" applyBorder="1" applyAlignment="1">
      <alignment horizontal="right"/>
    </xf>
    <xf numFmtId="43" fontId="5" fillId="2" borderId="0" xfId="1" applyFont="1" applyFill="1" applyBorder="1"/>
    <xf numFmtId="43" fontId="5" fillId="0" borderId="0" xfId="1" applyFont="1"/>
    <xf numFmtId="43" fontId="5" fillId="2" borderId="0" xfId="1" applyFont="1" applyFill="1"/>
    <xf numFmtId="165" fontId="5" fillId="0" borderId="0" xfId="1" applyNumberFormat="1" applyFont="1"/>
    <xf numFmtId="164" fontId="5" fillId="2" borderId="0" xfId="1" applyNumberFormat="1" applyFont="1" applyFill="1" applyBorder="1"/>
    <xf numFmtId="164" fontId="5" fillId="2" borderId="0" xfId="1" applyNumberFormat="1" applyFont="1" applyFill="1"/>
    <xf numFmtId="164" fontId="2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  <xf numFmtId="43" fontId="11" fillId="0" borderId="0" xfId="1" applyNumberFormat="1" applyFont="1" applyAlignment="1">
      <alignment horizontal="center"/>
    </xf>
    <xf numFmtId="9" fontId="12" fillId="0" borderId="0" xfId="1" applyNumberFormat="1" applyFont="1" applyAlignment="1">
      <alignment horizontal="right"/>
    </xf>
    <xf numFmtId="0" fontId="2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3" fillId="0" borderId="0" xfId="0" applyFont="1" applyFill="1"/>
    <xf numFmtId="0" fontId="11" fillId="0" borderId="7" xfId="0" applyFont="1" applyFill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0" fontId="11" fillId="0" borderId="10" xfId="0" applyFont="1" applyFill="1" applyBorder="1"/>
    <xf numFmtId="164" fontId="2" fillId="0" borderId="0" xfId="1" applyNumberFormat="1" applyFont="1" applyBorder="1"/>
    <xf numFmtId="164" fontId="2" fillId="0" borderId="11" xfId="1" applyNumberFormat="1" applyFont="1" applyBorder="1"/>
    <xf numFmtId="0" fontId="11" fillId="0" borderId="12" xfId="0" applyFont="1" applyFill="1" applyBorder="1"/>
    <xf numFmtId="164" fontId="2" fillId="0" borderId="6" xfId="1" applyNumberFormat="1" applyFont="1" applyBorder="1"/>
    <xf numFmtId="164" fontId="2" fillId="0" borderId="13" xfId="1" applyNumberFormat="1" applyFont="1" applyBorder="1"/>
    <xf numFmtId="164" fontId="3" fillId="0" borderId="0" xfId="0" applyNumberFormat="1" applyFont="1"/>
    <xf numFmtId="0" fontId="14" fillId="0" borderId="0" xfId="0" applyFont="1" applyAlignment="1">
      <alignment horizontal="center"/>
    </xf>
    <xf numFmtId="43" fontId="2" fillId="0" borderId="8" xfId="0" applyNumberFormat="1" applyFont="1" applyBorder="1"/>
    <xf numFmtId="43" fontId="14" fillId="0" borderId="8" xfId="0" applyNumberFormat="1" applyFont="1" applyBorder="1" applyAlignment="1">
      <alignment horizontal="right"/>
    </xf>
    <xf numFmtId="43" fontId="14" fillId="0" borderId="9" xfId="0" applyNumberFormat="1" applyFont="1" applyBorder="1" applyAlignment="1">
      <alignment horizontal="right"/>
    </xf>
    <xf numFmtId="43" fontId="2" fillId="0" borderId="0" xfId="0" applyNumberFormat="1" applyFont="1" applyBorder="1"/>
    <xf numFmtId="43" fontId="14" fillId="0" borderId="0" xfId="0" applyNumberFormat="1" applyFont="1" applyBorder="1" applyAlignment="1">
      <alignment horizontal="right"/>
    </xf>
    <xf numFmtId="43" fontId="14" fillId="0" borderId="11" xfId="0" applyNumberFormat="1" applyFont="1" applyBorder="1" applyAlignment="1">
      <alignment horizontal="right"/>
    </xf>
    <xf numFmtId="43" fontId="2" fillId="0" borderId="6" xfId="0" applyNumberFormat="1" applyFont="1" applyBorder="1"/>
    <xf numFmtId="43" fontId="14" fillId="0" borderId="6" xfId="0" applyNumberFormat="1" applyFont="1" applyBorder="1" applyAlignment="1">
      <alignment horizontal="right"/>
    </xf>
    <xf numFmtId="43" fontId="14" fillId="0" borderId="13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0" fontId="2" fillId="0" borderId="6" xfId="0" applyFont="1" applyBorder="1"/>
    <xf numFmtId="0" fontId="14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43" fontId="2" fillId="0" borderId="8" xfId="0" applyNumberFormat="1" applyFont="1" applyBorder="1" applyAlignment="1">
      <alignment horizontal="right"/>
    </xf>
    <xf numFmtId="43" fontId="2" fillId="0" borderId="9" xfId="0" applyNumberFormat="1" applyFont="1" applyBorder="1" applyAlignment="1">
      <alignment horizontal="right"/>
    </xf>
    <xf numFmtId="43" fontId="2" fillId="0" borderId="0" xfId="0" applyNumberFormat="1" applyFont="1" applyBorder="1" applyAlignment="1">
      <alignment horizontal="right"/>
    </xf>
    <xf numFmtId="43" fontId="2" fillId="0" borderId="11" xfId="0" applyNumberFormat="1" applyFont="1" applyBorder="1" applyAlignment="1">
      <alignment horizontal="right"/>
    </xf>
    <xf numFmtId="43" fontId="2" fillId="0" borderId="6" xfId="0" applyNumberFormat="1" applyFont="1" applyBorder="1" applyAlignment="1">
      <alignment horizontal="right"/>
    </xf>
    <xf numFmtId="43" fontId="2" fillId="0" borderId="13" xfId="0" applyNumberFormat="1" applyFont="1" applyBorder="1" applyAlignment="1">
      <alignment horizontal="right"/>
    </xf>
    <xf numFmtId="0" fontId="14" fillId="0" borderId="0" xfId="0" applyFont="1"/>
    <xf numFmtId="9" fontId="14" fillId="0" borderId="8" xfId="0" applyNumberFormat="1" applyFont="1" applyBorder="1"/>
    <xf numFmtId="9" fontId="14" fillId="0" borderId="9" xfId="0" applyNumberFormat="1" applyFont="1" applyBorder="1"/>
    <xf numFmtId="9" fontId="14" fillId="0" borderId="0" xfId="0" applyNumberFormat="1" applyFont="1" applyBorder="1"/>
    <xf numFmtId="9" fontId="14" fillId="0" borderId="11" xfId="0" applyNumberFormat="1" applyFont="1" applyBorder="1"/>
    <xf numFmtId="9" fontId="14" fillId="0" borderId="6" xfId="0" applyNumberFormat="1" applyFont="1" applyBorder="1"/>
    <xf numFmtId="9" fontId="14" fillId="0" borderId="13" xfId="0" applyNumberFormat="1" applyFont="1" applyBorder="1"/>
    <xf numFmtId="43" fontId="5" fillId="0" borderId="0" xfId="0" applyNumberFormat="1" applyFont="1"/>
    <xf numFmtId="9" fontId="14" fillId="0" borderId="8" xfId="0" applyNumberFormat="1" applyFont="1" applyBorder="1" applyAlignment="1">
      <alignment horizontal="right"/>
    </xf>
    <xf numFmtId="9" fontId="14" fillId="0" borderId="9" xfId="0" applyNumberFormat="1" applyFont="1" applyBorder="1" applyAlignment="1">
      <alignment horizontal="right"/>
    </xf>
    <xf numFmtId="9" fontId="14" fillId="0" borderId="0" xfId="0" applyNumberFormat="1" applyFont="1" applyBorder="1" applyAlignment="1">
      <alignment horizontal="right"/>
    </xf>
    <xf numFmtId="9" fontId="14" fillId="0" borderId="11" xfId="0" applyNumberFormat="1" applyFont="1" applyBorder="1" applyAlignment="1">
      <alignment horizontal="right"/>
    </xf>
    <xf numFmtId="9" fontId="14" fillId="0" borderId="6" xfId="0" applyNumberFormat="1" applyFont="1" applyBorder="1" applyAlignment="1">
      <alignment horizontal="right"/>
    </xf>
    <xf numFmtId="9" fontId="14" fillId="0" borderId="13" xfId="0" applyNumberFormat="1" applyFont="1" applyBorder="1" applyAlignment="1">
      <alignment horizontal="right"/>
    </xf>
    <xf numFmtId="164" fontId="14" fillId="0" borderId="8" xfId="1" applyNumberFormat="1" applyFont="1" applyBorder="1"/>
    <xf numFmtId="165" fontId="14" fillId="0" borderId="0" xfId="1" applyNumberFormat="1" applyFont="1" applyBorder="1"/>
    <xf numFmtId="164" fontId="14" fillId="0" borderId="0" xfId="1" applyNumberFormat="1" applyFont="1" applyBorder="1"/>
    <xf numFmtId="164" fontId="14" fillId="0" borderId="6" xfId="1" applyNumberFormat="1" applyFont="1" applyBorder="1"/>
    <xf numFmtId="0" fontId="15" fillId="0" borderId="0" xfId="0" applyFont="1"/>
    <xf numFmtId="0" fontId="16" fillId="0" borderId="0" xfId="0" applyFont="1"/>
    <xf numFmtId="165" fontId="14" fillId="0" borderId="8" xfId="1" applyNumberFormat="1" applyFont="1" applyBorder="1" applyAlignment="1">
      <alignment horizontal="right"/>
    </xf>
    <xf numFmtId="165" fontId="14" fillId="0" borderId="9" xfId="1" applyNumberFormat="1" applyFont="1" applyBorder="1" applyAlignment="1">
      <alignment horizontal="right"/>
    </xf>
    <xf numFmtId="165" fontId="14" fillId="0" borderId="0" xfId="1" applyNumberFormat="1" applyFont="1" applyBorder="1" applyAlignment="1">
      <alignment horizontal="right"/>
    </xf>
    <xf numFmtId="165" fontId="14" fillId="0" borderId="11" xfId="1" applyNumberFormat="1" applyFont="1" applyBorder="1" applyAlignment="1">
      <alignment horizontal="right"/>
    </xf>
    <xf numFmtId="165" fontId="14" fillId="0" borderId="6" xfId="1" applyNumberFormat="1" applyFont="1" applyBorder="1" applyAlignment="1">
      <alignment horizontal="right"/>
    </xf>
    <xf numFmtId="165" fontId="14" fillId="0" borderId="13" xfId="1" applyNumberFormat="1" applyFont="1" applyBorder="1" applyAlignment="1">
      <alignment horizontal="right"/>
    </xf>
    <xf numFmtId="164" fontId="14" fillId="0" borderId="8" xfId="1" applyNumberFormat="1" applyFont="1" applyBorder="1" applyAlignment="1">
      <alignment horizontal="right"/>
    </xf>
    <xf numFmtId="164" fontId="14" fillId="0" borderId="9" xfId="1" applyNumberFormat="1" applyFont="1" applyBorder="1" applyAlignment="1">
      <alignment horizontal="right"/>
    </xf>
    <xf numFmtId="164" fontId="14" fillId="0" borderId="0" xfId="1" applyNumberFormat="1" applyFont="1" applyBorder="1" applyAlignment="1">
      <alignment horizontal="right"/>
    </xf>
    <xf numFmtId="164" fontId="14" fillId="0" borderId="11" xfId="1" applyNumberFormat="1" applyFont="1" applyBorder="1" applyAlignment="1">
      <alignment horizontal="right"/>
    </xf>
    <xf numFmtId="165" fontId="14" fillId="4" borderId="0" xfId="1" applyNumberFormat="1" applyFont="1" applyFill="1" applyBorder="1"/>
    <xf numFmtId="164" fontId="14" fillId="4" borderId="0" xfId="1" applyNumberFormat="1" applyFont="1" applyFill="1" applyBorder="1"/>
    <xf numFmtId="164" fontId="14" fillId="4" borderId="11" xfId="1" applyNumberFormat="1" applyFont="1" applyFill="1" applyBorder="1"/>
    <xf numFmtId="164" fontId="14" fillId="4" borderId="0" xfId="1" applyNumberFormat="1" applyFont="1" applyFill="1" applyBorder="1" applyAlignment="1">
      <alignment horizontal="right"/>
    </xf>
    <xf numFmtId="164" fontId="14" fillId="4" borderId="11" xfId="1" applyNumberFormat="1" applyFont="1" applyFill="1" applyBorder="1" applyAlignment="1">
      <alignment horizontal="right"/>
    </xf>
    <xf numFmtId="164" fontId="14" fillId="4" borderId="6" xfId="1" applyNumberFormat="1" applyFont="1" applyFill="1" applyBorder="1"/>
    <xf numFmtId="164" fontId="14" fillId="4" borderId="6" xfId="1" applyNumberFormat="1" applyFont="1" applyFill="1" applyBorder="1" applyAlignment="1">
      <alignment horizontal="right"/>
    </xf>
    <xf numFmtId="164" fontId="14" fillId="4" borderId="13" xfId="1" applyNumberFormat="1" applyFont="1" applyFill="1" applyBorder="1" applyAlignment="1">
      <alignment horizontal="right"/>
    </xf>
    <xf numFmtId="165" fontId="14" fillId="4" borderId="0" xfId="1" applyNumberFormat="1" applyFont="1" applyFill="1" applyBorder="1" applyAlignment="1">
      <alignment horizontal="right"/>
    </xf>
    <xf numFmtId="165" fontId="14" fillId="4" borderId="11" xfId="1" applyNumberFormat="1" applyFont="1" applyFill="1" applyBorder="1" applyAlignment="1">
      <alignment horizontal="right"/>
    </xf>
    <xf numFmtId="0" fontId="2" fillId="0" borderId="1" xfId="5" applyFont="1" applyBorder="1"/>
    <xf numFmtId="0" fontId="2" fillId="0" borderId="0" xfId="5" applyFont="1"/>
    <xf numFmtId="0" fontId="3" fillId="0" borderId="1" xfId="5" applyFont="1" applyBorder="1"/>
    <xf numFmtId="17" fontId="3" fillId="0" borderId="2" xfId="5" applyNumberFormat="1" applyFont="1" applyBorder="1" applyAlignment="1">
      <alignment horizontal="center"/>
    </xf>
    <xf numFmtId="17" fontId="3" fillId="0" borderId="3" xfId="5" applyNumberFormat="1" applyFont="1" applyBorder="1" applyAlignment="1">
      <alignment horizontal="center"/>
    </xf>
    <xf numFmtId="17" fontId="3" fillId="0" borderId="4" xfId="5" applyNumberFormat="1" applyFont="1" applyBorder="1" applyAlignment="1">
      <alignment horizontal="center"/>
    </xf>
    <xf numFmtId="17" fontId="3" fillId="0" borderId="0" xfId="5" applyNumberFormat="1" applyFont="1" applyBorder="1" applyAlignment="1">
      <alignment horizontal="center"/>
    </xf>
    <xf numFmtId="0" fontId="3" fillId="2" borderId="5" xfId="5" applyFont="1" applyFill="1" applyBorder="1"/>
    <xf numFmtId="0" fontId="2" fillId="2" borderId="5" xfId="5" applyFont="1" applyFill="1" applyBorder="1"/>
    <xf numFmtId="43" fontId="11" fillId="0" borderId="0" xfId="6" applyNumberFormat="1" applyFont="1" applyAlignment="1">
      <alignment horizontal="center"/>
    </xf>
    <xf numFmtId="9" fontId="12" fillId="0" borderId="0" xfId="6" applyNumberFormat="1" applyFont="1" applyAlignment="1">
      <alignment horizontal="right"/>
    </xf>
    <xf numFmtId="9" fontId="12" fillId="0" borderId="0" xfId="6" applyNumberFormat="1" applyFont="1"/>
    <xf numFmtId="0" fontId="3" fillId="0" borderId="0" xfId="5" applyFont="1"/>
    <xf numFmtId="0" fontId="2" fillId="0" borderId="7" xfId="5" applyFont="1" applyBorder="1"/>
    <xf numFmtId="164" fontId="5" fillId="0" borderId="8" xfId="6" applyNumberFormat="1" applyFont="1" applyBorder="1"/>
    <xf numFmtId="164" fontId="5" fillId="0" borderId="9" xfId="6" applyNumberFormat="1" applyFont="1" applyBorder="1"/>
    <xf numFmtId="0" fontId="2" fillId="0" borderId="10" xfId="5" applyFont="1" applyBorder="1"/>
    <xf numFmtId="164" fontId="5" fillId="0" borderId="0" xfId="6" applyNumberFormat="1" applyFont="1" applyBorder="1"/>
    <xf numFmtId="164" fontId="5" fillId="0" borderId="11" xfId="6" applyNumberFormat="1" applyFont="1" applyBorder="1"/>
    <xf numFmtId="164" fontId="2" fillId="0" borderId="0" xfId="5" applyNumberFormat="1" applyFont="1"/>
    <xf numFmtId="0" fontId="2" fillId="0" borderId="12" xfId="5" applyFont="1" applyBorder="1"/>
    <xf numFmtId="43" fontId="5" fillId="0" borderId="6" xfId="6" applyNumberFormat="1" applyFont="1" applyBorder="1"/>
    <xf numFmtId="164" fontId="5" fillId="0" borderId="6" xfId="6" applyNumberFormat="1" applyFont="1" applyBorder="1"/>
    <xf numFmtId="164" fontId="5" fillId="0" borderId="13" xfId="6" applyNumberFormat="1" applyFont="1" applyBorder="1"/>
    <xf numFmtId="166" fontId="5" fillId="0" borderId="0" xfId="6" applyNumberFormat="1" applyFont="1"/>
    <xf numFmtId="164" fontId="5" fillId="0" borderId="0" xfId="6" applyNumberFormat="1" applyFont="1"/>
    <xf numFmtId="43" fontId="2" fillId="0" borderId="0" xfId="5" applyNumberFormat="1" applyFont="1"/>
    <xf numFmtId="0" fontId="3" fillId="0" borderId="6" xfId="5" applyFont="1" applyBorder="1"/>
    <xf numFmtId="43" fontId="5" fillId="0" borderId="6" xfId="6" quotePrefix="1" applyNumberFormat="1" applyFont="1" applyBorder="1" applyAlignment="1">
      <alignment horizontal="right"/>
    </xf>
    <xf numFmtId="165" fontId="5" fillId="0" borderId="6" xfId="6" applyNumberFormat="1" applyFont="1" applyBorder="1"/>
    <xf numFmtId="165" fontId="5" fillId="0" borderId="13" xfId="6" applyNumberFormat="1" applyFont="1" applyBorder="1"/>
    <xf numFmtId="9" fontId="5" fillId="0" borderId="0" xfId="7" applyFont="1"/>
    <xf numFmtId="0" fontId="5" fillId="0" borderId="0" xfId="5" applyFont="1"/>
    <xf numFmtId="0" fontId="3" fillId="0" borderId="0" xfId="5" applyFont="1" applyBorder="1"/>
    <xf numFmtId="9" fontId="5" fillId="0" borderId="8" xfId="7" applyFont="1" applyBorder="1"/>
    <xf numFmtId="9" fontId="5" fillId="0" borderId="9" xfId="7" applyFont="1" applyBorder="1"/>
    <xf numFmtId="9" fontId="5" fillId="0" borderId="0" xfId="7" applyFont="1" applyFill="1" applyBorder="1"/>
    <xf numFmtId="9" fontId="5" fillId="0" borderId="0" xfId="7" applyFont="1" applyBorder="1"/>
    <xf numFmtId="9" fontId="5" fillId="0" borderId="11" xfId="7" applyFont="1" applyBorder="1"/>
    <xf numFmtId="9" fontId="5" fillId="0" borderId="6" xfId="7" applyFont="1" applyBorder="1"/>
    <xf numFmtId="9" fontId="5" fillId="0" borderId="13" xfId="7" applyFont="1" applyBorder="1"/>
    <xf numFmtId="0" fontId="2" fillId="0" borderId="7" xfId="5" applyFont="1" applyFill="1" applyBorder="1"/>
    <xf numFmtId="0" fontId="2" fillId="0" borderId="10" xfId="5" applyFont="1" applyFill="1" applyBorder="1"/>
    <xf numFmtId="0" fontId="3" fillId="2" borderId="0" xfId="5" applyFont="1" applyFill="1" applyBorder="1"/>
    <xf numFmtId="0" fontId="5" fillId="2" borderId="0" xfId="5" applyFont="1" applyFill="1" applyBorder="1"/>
    <xf numFmtId="43" fontId="5" fillId="0" borderId="0" xfId="6" applyNumberFormat="1" applyFont="1" applyBorder="1"/>
    <xf numFmtId="164" fontId="11" fillId="0" borderId="0" xfId="6" applyNumberFormat="1" applyFont="1" applyBorder="1"/>
    <xf numFmtId="0" fontId="2" fillId="0" borderId="0" xfId="5" applyFont="1" applyBorder="1"/>
    <xf numFmtId="164" fontId="5" fillId="0" borderId="0" xfId="5" applyNumberFormat="1" applyFont="1" applyBorder="1"/>
    <xf numFmtId="164" fontId="5" fillId="2" borderId="0" xfId="5" applyNumberFormat="1" applyFont="1" applyFill="1" applyBorder="1"/>
    <xf numFmtId="164" fontId="5" fillId="0" borderId="8" xfId="6" applyNumberFormat="1" applyFont="1" applyBorder="1" applyAlignment="1">
      <alignment horizontal="center"/>
    </xf>
    <xf numFmtId="164" fontId="5" fillId="0" borderId="9" xfId="6" applyNumberFormat="1" applyFont="1" applyBorder="1" applyAlignment="1">
      <alignment horizontal="center"/>
    </xf>
    <xf numFmtId="164" fontId="5" fillId="0" borderId="0" xfId="6" applyNumberFormat="1" applyFont="1" applyBorder="1" applyAlignment="1">
      <alignment horizontal="center"/>
    </xf>
    <xf numFmtId="164" fontId="5" fillId="0" borderId="11" xfId="6" applyNumberFormat="1" applyFont="1" applyBorder="1" applyAlignment="1">
      <alignment horizontal="center"/>
    </xf>
    <xf numFmtId="164" fontId="5" fillId="0" borderId="6" xfId="6" applyNumberFormat="1" applyFont="1" applyBorder="1" applyAlignment="1">
      <alignment horizontal="center"/>
    </xf>
    <xf numFmtId="164" fontId="5" fillId="0" borderId="13" xfId="6" applyNumberFormat="1" applyFont="1" applyBorder="1" applyAlignment="1">
      <alignment horizontal="center"/>
    </xf>
    <xf numFmtId="164" fontId="5" fillId="0" borderId="0" xfId="5" applyNumberFormat="1" applyFont="1"/>
    <xf numFmtId="0" fontId="3" fillId="2" borderId="0" xfId="5" applyFont="1" applyFill="1"/>
    <xf numFmtId="164" fontId="5" fillId="2" borderId="0" xfId="5" applyNumberFormat="1" applyFont="1" applyFill="1"/>
    <xf numFmtId="0" fontId="5" fillId="2" borderId="0" xfId="5" applyFont="1" applyFill="1"/>
    <xf numFmtId="43" fontId="5" fillId="0" borderId="8" xfId="6" applyFont="1" applyBorder="1" applyAlignment="1">
      <alignment horizontal="center"/>
    </xf>
    <xf numFmtId="43" fontId="5" fillId="0" borderId="9" xfId="6" applyFont="1" applyBorder="1" applyAlignment="1">
      <alignment horizontal="center"/>
    </xf>
    <xf numFmtId="43" fontId="5" fillId="0" borderId="0" xfId="6" applyFont="1" applyBorder="1" applyAlignment="1">
      <alignment horizontal="center"/>
    </xf>
    <xf numFmtId="43" fontId="5" fillId="0" borderId="11" xfId="6" applyFont="1" applyBorder="1" applyAlignment="1">
      <alignment horizontal="center"/>
    </xf>
    <xf numFmtId="43" fontId="5" fillId="0" borderId="6" xfId="6" applyFont="1" applyBorder="1" applyAlignment="1">
      <alignment horizontal="center"/>
    </xf>
    <xf numFmtId="43" fontId="5" fillId="0" borderId="13" xfId="6" applyFont="1" applyBorder="1" applyAlignment="1">
      <alignment horizontal="center"/>
    </xf>
    <xf numFmtId="0" fontId="2" fillId="0" borderId="0" xfId="5" applyFont="1" applyAlignment="1">
      <alignment horizontal="center"/>
    </xf>
    <xf numFmtId="0" fontId="2" fillId="2" borderId="0" xfId="5" applyFont="1" applyFill="1" applyAlignment="1">
      <alignment horizontal="center"/>
    </xf>
    <xf numFmtId="9" fontId="2" fillId="0" borderId="0" xfId="2" applyFont="1"/>
    <xf numFmtId="9" fontId="8" fillId="0" borderId="8" xfId="0" applyNumberFormat="1" applyFont="1" applyBorder="1"/>
    <xf numFmtId="9" fontId="8" fillId="0" borderId="0" xfId="0" applyNumberFormat="1" applyFont="1"/>
    <xf numFmtId="9" fontId="5" fillId="0" borderId="0" xfId="2" applyFont="1" applyBorder="1" applyAlignment="1">
      <alignment horizontal="center"/>
    </xf>
    <xf numFmtId="43" fontId="5" fillId="3" borderId="0" xfId="1" applyNumberFormat="1" applyFont="1" applyFill="1" applyBorder="1"/>
    <xf numFmtId="43" fontId="2" fillId="0" borderId="0" xfId="1" applyFont="1" applyBorder="1"/>
    <xf numFmtId="43" fontId="2" fillId="0" borderId="0" xfId="1" applyNumberFormat="1" applyFont="1" applyBorder="1" applyAlignment="1">
      <alignment horizontal="right"/>
    </xf>
    <xf numFmtId="43" fontId="2" fillId="0" borderId="0" xfId="1" applyFont="1" applyBorder="1" applyAlignment="1">
      <alignment horizontal="right"/>
    </xf>
    <xf numFmtId="9" fontId="2" fillId="0" borderId="0" xfId="2" applyFont="1" applyBorder="1"/>
    <xf numFmtId="9" fontId="14" fillId="0" borderId="0" xfId="2" applyFont="1" applyBorder="1" applyAlignment="1">
      <alignment horizontal="right"/>
    </xf>
    <xf numFmtId="43" fontId="2" fillId="0" borderId="0" xfId="1" applyFont="1"/>
    <xf numFmtId="43" fontId="2" fillId="2" borderId="0" xfId="1" applyFont="1" applyFill="1"/>
    <xf numFmtId="9" fontId="14" fillId="0" borderId="7" xfId="0" applyNumberFormat="1" applyFont="1" applyBorder="1" applyAlignment="1">
      <alignment horizontal="right"/>
    </xf>
    <xf numFmtId="9" fontId="14" fillId="0" borderId="10" xfId="0" applyNumberFormat="1" applyFont="1" applyBorder="1" applyAlignment="1">
      <alignment horizontal="right"/>
    </xf>
    <xf numFmtId="9" fontId="14" fillId="0" borderId="10" xfId="2" applyFont="1" applyBorder="1" applyAlignment="1">
      <alignment horizontal="right"/>
    </xf>
    <xf numFmtId="9" fontId="14" fillId="0" borderId="11" xfId="2" applyFont="1" applyBorder="1" applyAlignment="1">
      <alignment horizontal="right"/>
    </xf>
    <xf numFmtId="9" fontId="14" fillId="0" borderId="12" xfId="0" applyNumberFormat="1" applyFont="1" applyBorder="1" applyAlignment="1">
      <alignment horizontal="right"/>
    </xf>
    <xf numFmtId="43" fontId="2" fillId="0" borderId="13" xfId="0" applyNumberFormat="1" applyFont="1" applyBorder="1"/>
    <xf numFmtId="43" fontId="2" fillId="0" borderId="7" xfId="0" applyNumberFormat="1" applyFont="1" applyBorder="1"/>
    <xf numFmtId="43" fontId="2" fillId="0" borderId="10" xfId="0" applyNumberFormat="1" applyFont="1" applyBorder="1"/>
    <xf numFmtId="43" fontId="2" fillId="0" borderId="10" xfId="1" applyFont="1" applyBorder="1"/>
    <xf numFmtId="43" fontId="2" fillId="0" borderId="11" xfId="1" applyFont="1" applyBorder="1"/>
    <xf numFmtId="43" fontId="2" fillId="0" borderId="11" xfId="0" applyNumberFormat="1" applyFont="1" applyBorder="1"/>
    <xf numFmtId="43" fontId="2" fillId="0" borderId="12" xfId="0" applyNumberFormat="1" applyFont="1" applyBorder="1"/>
    <xf numFmtId="43" fontId="2" fillId="0" borderId="10" xfId="1" applyFont="1" applyBorder="1" applyAlignment="1">
      <alignment horizontal="right"/>
    </xf>
    <xf numFmtId="43" fontId="2" fillId="0" borderId="11" xfId="1" applyFont="1" applyBorder="1" applyAlignment="1">
      <alignment horizontal="right"/>
    </xf>
    <xf numFmtId="43" fontId="14" fillId="0" borderId="10" xfId="0" applyNumberFormat="1" applyFont="1" applyBorder="1" applyAlignment="1">
      <alignment horizontal="right"/>
    </xf>
    <xf numFmtId="43" fontId="14" fillId="0" borderId="12" xfId="0" applyNumberFormat="1" applyFont="1" applyBorder="1" applyAlignment="1">
      <alignment horizontal="right"/>
    </xf>
    <xf numFmtId="43" fontId="14" fillId="0" borderId="7" xfId="0" applyNumberFormat="1" applyFont="1" applyBorder="1"/>
    <xf numFmtId="43" fontId="14" fillId="0" borderId="10" xfId="0" applyNumberFormat="1" applyFont="1" applyBorder="1"/>
    <xf numFmtId="43" fontId="14" fillId="0" borderId="10" xfId="1" applyFont="1" applyBorder="1" applyAlignment="1">
      <alignment horizontal="right"/>
    </xf>
    <xf numFmtId="43" fontId="14" fillId="0" borderId="0" xfId="1" applyFont="1" applyBorder="1" applyAlignment="1">
      <alignment horizontal="right"/>
    </xf>
    <xf numFmtId="43" fontId="14" fillId="0" borderId="11" xfId="1" applyFont="1" applyBorder="1" applyAlignment="1">
      <alignment horizontal="right"/>
    </xf>
    <xf numFmtId="9" fontId="14" fillId="0" borderId="7" xfId="0" applyNumberFormat="1" applyFont="1" applyBorder="1"/>
    <xf numFmtId="9" fontId="14" fillId="0" borderId="10" xfId="0" applyNumberFormat="1" applyFont="1" applyBorder="1"/>
    <xf numFmtId="9" fontId="2" fillId="0" borderId="10" xfId="2" applyFont="1" applyBorder="1"/>
    <xf numFmtId="9" fontId="2" fillId="0" borderId="11" xfId="2" applyFont="1" applyBorder="1"/>
    <xf numFmtId="9" fontId="14" fillId="0" borderId="12" xfId="0" applyNumberFormat="1" applyFont="1" applyBorder="1"/>
    <xf numFmtId="9" fontId="14" fillId="0" borderId="10" xfId="2" applyFont="1" applyBorder="1"/>
    <xf numFmtId="9" fontId="14" fillId="0" borderId="0" xfId="2" applyFont="1" applyBorder="1"/>
    <xf numFmtId="9" fontId="14" fillId="0" borderId="11" xfId="2" applyFont="1" applyBorder="1"/>
    <xf numFmtId="10" fontId="5" fillId="0" borderId="0" xfId="2" applyNumberFormat="1" applyFont="1" applyBorder="1"/>
    <xf numFmtId="43" fontId="5" fillId="0" borderId="0" xfId="1" applyNumberFormat="1" applyFont="1" applyBorder="1"/>
    <xf numFmtId="0" fontId="5" fillId="0" borderId="0" xfId="0" applyFont="1" applyFill="1"/>
    <xf numFmtId="0" fontId="5" fillId="0" borderId="8" xfId="0" applyFont="1" applyFill="1" applyBorder="1"/>
    <xf numFmtId="0" fontId="5" fillId="0" borderId="9" xfId="0" applyFont="1" applyFill="1" applyBorder="1"/>
    <xf numFmtId="164" fontId="5" fillId="0" borderId="8" xfId="1" applyNumberFormat="1" applyFont="1" applyFill="1" applyBorder="1"/>
    <xf numFmtId="164" fontId="5" fillId="0" borderId="0" xfId="1" applyNumberFormat="1" applyFont="1" applyFill="1"/>
    <xf numFmtId="164" fontId="8" fillId="0" borderId="8" xfId="0" applyNumberFormat="1" applyFont="1" applyBorder="1"/>
    <xf numFmtId="164" fontId="8" fillId="0" borderId="6" xfId="0" applyNumberFormat="1" applyFont="1" applyBorder="1"/>
    <xf numFmtId="43" fontId="5" fillId="0" borderId="0" xfId="1" applyNumberFormat="1" applyFont="1"/>
    <xf numFmtId="43" fontId="5" fillId="0" borderId="8" xfId="1" applyNumberFormat="1" applyFont="1" applyBorder="1"/>
    <xf numFmtId="43" fontId="5" fillId="0" borderId="9" xfId="1" applyNumberFormat="1" applyFont="1" applyBorder="1"/>
    <xf numFmtId="164" fontId="8" fillId="0" borderId="0" xfId="0" applyNumberFormat="1" applyFont="1"/>
    <xf numFmtId="43" fontId="2" fillId="0" borderId="11" xfId="1" applyNumberFormat="1" applyFont="1" applyBorder="1" applyAlignment="1">
      <alignment horizontal="right"/>
    </xf>
    <xf numFmtId="164" fontId="2" fillId="0" borderId="8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6" xfId="1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43" fontId="2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right"/>
    </xf>
    <xf numFmtId="164" fontId="14" fillId="0" borderId="6" xfId="1" applyNumberFormat="1" applyFont="1" applyBorder="1" applyAlignment="1">
      <alignment horizontal="right"/>
    </xf>
    <xf numFmtId="9" fontId="5" fillId="0" borderId="8" xfId="2" applyNumberFormat="1" applyFont="1" applyBorder="1"/>
    <xf numFmtId="9" fontId="5" fillId="0" borderId="0" xfId="2" applyNumberFormat="1" applyFont="1" applyBorder="1"/>
    <xf numFmtId="9" fontId="5" fillId="0" borderId="6" xfId="2" applyNumberFormat="1" applyFont="1" applyBorder="1"/>
    <xf numFmtId="165" fontId="14" fillId="0" borderId="11" xfId="1" applyNumberFormat="1" applyFont="1" applyBorder="1"/>
    <xf numFmtId="9" fontId="2" fillId="0" borderId="0" xfId="2" applyFont="1" applyAlignment="1">
      <alignment horizontal="right"/>
    </xf>
    <xf numFmtId="9" fontId="14" fillId="0" borderId="0" xfId="2" applyFont="1" applyAlignment="1">
      <alignment horizontal="center"/>
    </xf>
  </cellXfs>
  <cellStyles count="12">
    <cellStyle name="Comma" xfId="1" builtinId="3"/>
    <cellStyle name="Comma 2" xfId="6"/>
    <cellStyle name="Followed Hyperlink" xfId="4" builtinId="9" hidden="1"/>
    <cellStyle name="Followed Hyperlink" xfId="9" builtinId="9" hidden="1"/>
    <cellStyle name="Followed Hyperlink" xfId="11" builtinId="9" hidden="1"/>
    <cellStyle name="Hyperlink" xfId="3" builtinId="8" hidden="1"/>
    <cellStyle name="Hyperlink" xfId="8" builtinId="8" hidden="1"/>
    <cellStyle name="Hyperlink" xfId="10" builtinId="8" hidden="1"/>
    <cellStyle name="Normal" xfId="0" builtinId="0"/>
    <cellStyle name="Normal 2" xfId="5"/>
    <cellStyle name="Percent" xfId="2" builtinId="5"/>
    <cellStyle name="Percent 2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Charts!$B$12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Charts!$C$12:$G$12</c:f>
              <c:numCache>
                <c:formatCode>_(* #,##0_);_(* \(#,##0\);_(* "-"??_);_(@_)</c:formatCode>
                <c:ptCount val="5"/>
                <c:pt idx="0">
                  <c:v>15050.064</c:v>
                </c:pt>
                <c:pt idx="1">
                  <c:v>15875.267</c:v>
                </c:pt>
                <c:pt idx="2">
                  <c:v>21062.475</c:v>
                </c:pt>
                <c:pt idx="3">
                  <c:v>23788.054</c:v>
                </c:pt>
                <c:pt idx="4">
                  <c:v>21646.855</c:v>
                </c:pt>
              </c:numCache>
            </c:numRef>
          </c:val>
        </c:ser>
        <c:ser>
          <c:idx val="1"/>
          <c:order val="1"/>
          <c:tx>
            <c:strRef>
              <c:f>Charts!$B$13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Charts!$C$13:$G$13</c:f>
              <c:numCache>
                <c:formatCode>_(* #,##0_);_(* \(#,##0\);_(* "-"??_);_(@_)</c:formatCode>
                <c:ptCount val="5"/>
                <c:pt idx="0">
                  <c:v>51183.629</c:v>
                </c:pt>
                <c:pt idx="1">
                  <c:v>51966.163</c:v>
                </c:pt>
                <c:pt idx="2">
                  <c:v>57115.952</c:v>
                </c:pt>
                <c:pt idx="3">
                  <c:v>64120.786</c:v>
                </c:pt>
                <c:pt idx="4">
                  <c:v>55492.246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102056"/>
        <c:axId val="792105032"/>
      </c:barChart>
      <c:catAx>
        <c:axId val="7921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92105032"/>
        <c:crosses val="autoZero"/>
        <c:auto val="1"/>
        <c:lblAlgn val="ctr"/>
        <c:lblOffset val="100"/>
        <c:noMultiLvlLbl val="0"/>
      </c:catAx>
      <c:valAx>
        <c:axId val="792105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10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Charts!$C$113:$G$113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674.9109999999999</c:v>
                </c:pt>
                <c:pt idx="3">
                  <c:v>2018.58</c:v>
                </c:pt>
                <c:pt idx="4">
                  <c:v>2070.467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Charts!$C$114:$G$114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1698.338</c:v>
                </c:pt>
                <c:pt idx="3">
                  <c:v>3426.943</c:v>
                </c:pt>
                <c:pt idx="4">
                  <c:v>3804.053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462184"/>
        <c:axId val="792465160"/>
      </c:barChart>
      <c:catAx>
        <c:axId val="79246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2465160"/>
        <c:crosses val="autoZero"/>
        <c:auto val="1"/>
        <c:lblAlgn val="ctr"/>
        <c:lblOffset val="100"/>
        <c:noMultiLvlLbl val="0"/>
      </c:catAx>
      <c:valAx>
        <c:axId val="792465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46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Charts!$C$118:$G$118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10.74196</c:v>
                </c:pt>
                <c:pt idx="3">
                  <c:v>12.262732</c:v>
                </c:pt>
                <c:pt idx="4">
                  <c:v>14.235545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Charts!$C$119:$G$119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492680"/>
        <c:axId val="792495656"/>
      </c:barChart>
      <c:catAx>
        <c:axId val="7924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495656"/>
        <c:crosses val="autoZero"/>
        <c:auto val="1"/>
        <c:lblAlgn val="ctr"/>
        <c:lblOffset val="100"/>
        <c:noMultiLvlLbl val="0"/>
      </c:catAx>
      <c:valAx>
        <c:axId val="792495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79249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Charts!$C$142:$N$142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665.1420000000001</c:v>
                </c:pt>
                <c:pt idx="4">
                  <c:v>654.028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Charts!$C$143:$N$143</c:f>
              <c:numCache>
                <c:formatCode>_(* #,##0_);_(* \(#,##0\);_(* "-"??_);_(@_)</c:formatCode>
                <c:ptCount val="12"/>
                <c:pt idx="4">
                  <c:v>654.028</c:v>
                </c:pt>
                <c:pt idx="5">
                  <c:v>897.6441102774363</c:v>
                </c:pt>
                <c:pt idx="6">
                  <c:v>1232.003750169366</c:v>
                </c:pt>
                <c:pt idx="7">
                  <c:v>1690.907591386371</c:v>
                </c:pt>
                <c:pt idx="8">
                  <c:v>2320.746574200771</c:v>
                </c:pt>
                <c:pt idx="9">
                  <c:v>3185.191603077941</c:v>
                </c:pt>
                <c:pt idx="10">
                  <c:v>4371.630087103395</c:v>
                </c:pt>
                <c:pt idx="11">
                  <c:v>6000.0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Charts!$C$144:$N$144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445.641</c:v>
                </c:pt>
                <c:pt idx="4">
                  <c:v>388.643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31784"/>
        <c:axId val="792534760"/>
      </c:lineChart>
      <c:catAx>
        <c:axId val="7925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2534760"/>
        <c:crosses val="autoZero"/>
        <c:auto val="1"/>
        <c:lblAlgn val="ctr"/>
        <c:lblOffset val="100"/>
        <c:noMultiLvlLbl val="0"/>
      </c:catAx>
      <c:valAx>
        <c:axId val="79253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9253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Charts!$C$147:$G$147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378.879</c:v>
                </c:pt>
                <c:pt idx="4">
                  <c:v>349.753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Charts!$C$148:$G$148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378.879</c:v>
                </c:pt>
                <c:pt idx="4">
                  <c:v>349.753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567528"/>
        <c:axId val="792570504"/>
      </c:barChart>
      <c:catAx>
        <c:axId val="7925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570504"/>
        <c:crosses val="autoZero"/>
        <c:auto val="1"/>
        <c:lblAlgn val="ctr"/>
        <c:lblOffset val="100"/>
        <c:noMultiLvlLbl val="0"/>
      </c:catAx>
      <c:valAx>
        <c:axId val="792570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56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Charts!$C$152:$G$152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0.429411</c:v>
                </c:pt>
                <c:pt idx="4">
                  <c:v>2.135065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Charts!$C$153:$G$153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597832"/>
        <c:axId val="792600808"/>
      </c:barChart>
      <c:catAx>
        <c:axId val="79259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92600808"/>
        <c:crosses val="autoZero"/>
        <c:auto val="1"/>
        <c:lblAlgn val="ctr"/>
        <c:lblOffset val="100"/>
        <c:noMultiLvlLbl val="0"/>
      </c:catAx>
      <c:valAx>
        <c:axId val="79260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79259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Charts!$C$177:$N$177</c:f>
              <c:numCache>
                <c:formatCode>_(* #,##0_);_(* \(#,##0\);_(* "-"??_);_(@_)</c:formatCode>
                <c:ptCount val="12"/>
                <c:pt idx="0">
                  <c:v>370.508</c:v>
                </c:pt>
                <c:pt idx="1">
                  <c:v>373.289</c:v>
                </c:pt>
                <c:pt idx="2">
                  <c:v>487.687</c:v>
                </c:pt>
                <c:pt idx="3">
                  <c:v>666.842</c:v>
                </c:pt>
                <c:pt idx="4">
                  <c:v>923.993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Charts!$C$178:$N$178</c:f>
              <c:numCache>
                <c:formatCode>_(* #,##0_);_(* \(#,##0\);_(* "-"??_);_(@_)</c:formatCode>
                <c:ptCount val="12"/>
                <c:pt idx="4">
                  <c:v>923.993</c:v>
                </c:pt>
                <c:pt idx="5">
                  <c:v>1093.284861288987</c:v>
                </c:pt>
                <c:pt idx="6">
                  <c:v>1293.593986019028</c:v>
                </c:pt>
                <c:pt idx="7">
                  <c:v>1530.603285489263</c:v>
                </c:pt>
                <c:pt idx="8">
                  <c:v>1811.036880868791</c:v>
                </c:pt>
                <c:pt idx="9">
                  <c:v>2142.850871261877</c:v>
                </c:pt>
                <c:pt idx="10">
                  <c:v>2535.459053857038</c:v>
                </c:pt>
                <c:pt idx="11">
                  <c:v>3000.0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Charts!$C$179:$N$179</c:f>
              <c:numCache>
                <c:formatCode>_(* #,##0_);_(* \(#,##0\);_(* "-"??_);_(@_)</c:formatCode>
                <c:ptCount val="12"/>
                <c:pt idx="0">
                  <c:v>169.225</c:v>
                </c:pt>
                <c:pt idx="1">
                  <c:v>151.484</c:v>
                </c:pt>
                <c:pt idx="2">
                  <c:v>177.55</c:v>
                </c:pt>
                <c:pt idx="3">
                  <c:v>227.151</c:v>
                </c:pt>
                <c:pt idx="4">
                  <c:v>321.013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37336"/>
        <c:axId val="792640312"/>
      </c:lineChart>
      <c:catAx>
        <c:axId val="7926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2640312"/>
        <c:crosses val="autoZero"/>
        <c:auto val="1"/>
        <c:lblAlgn val="ctr"/>
        <c:lblOffset val="100"/>
        <c:noMultiLvlLbl val="0"/>
      </c:catAx>
      <c:valAx>
        <c:axId val="792640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926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Charts!$C$182:$G$182</c:f>
              <c:numCache>
                <c:formatCode>_(* #,##0_);_(* \(#,##0\);_(* "-"??_);_(@_)</c:formatCode>
                <c:ptCount val="5"/>
                <c:pt idx="0">
                  <c:v>192.361</c:v>
                </c:pt>
                <c:pt idx="1">
                  <c:v>329.444</c:v>
                </c:pt>
                <c:pt idx="2">
                  <c:v>263.599</c:v>
                </c:pt>
                <c:pt idx="3">
                  <c:v>420.845</c:v>
                </c:pt>
                <c:pt idx="4">
                  <c:v>632.2670000000001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Charts!$C$183:$G$183</c:f>
              <c:numCache>
                <c:formatCode>_(* #,##0_);_(* \(#,##0\);_(* "-"??_);_(@_)</c:formatCode>
                <c:ptCount val="5"/>
                <c:pt idx="0">
                  <c:v>508.22</c:v>
                </c:pt>
                <c:pt idx="1">
                  <c:v>360.535</c:v>
                </c:pt>
                <c:pt idx="2">
                  <c:v>612.907</c:v>
                </c:pt>
                <c:pt idx="3">
                  <c:v>787.514</c:v>
                </c:pt>
                <c:pt idx="4">
                  <c:v>1043.488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674056"/>
        <c:axId val="792677032"/>
      </c:barChart>
      <c:catAx>
        <c:axId val="79267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92677032"/>
        <c:crosses val="autoZero"/>
        <c:auto val="1"/>
        <c:lblAlgn val="ctr"/>
        <c:lblOffset val="100"/>
        <c:noMultiLvlLbl val="0"/>
      </c:catAx>
      <c:valAx>
        <c:axId val="792677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67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Charts!$C$187:$G$187</c:f>
              <c:numCache>
                <c:formatCode>_(* #,##0.0_);_(* \(#,##0.0\);_(* "-"??_);_(@_)</c:formatCode>
                <c:ptCount val="5"/>
                <c:pt idx="0">
                  <c:v>4.066682</c:v>
                </c:pt>
                <c:pt idx="1">
                  <c:v>3.806646</c:v>
                </c:pt>
                <c:pt idx="2">
                  <c:v>5.065187</c:v>
                </c:pt>
                <c:pt idx="3">
                  <c:v>5.022816</c:v>
                </c:pt>
                <c:pt idx="4">
                  <c:v>3.564175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Charts!$C$188:$G$188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704600"/>
        <c:axId val="791756440"/>
      </c:barChart>
      <c:catAx>
        <c:axId val="7927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791756440"/>
        <c:crosses val="autoZero"/>
        <c:auto val="1"/>
        <c:lblAlgn val="ctr"/>
        <c:lblOffset val="100"/>
        <c:noMultiLvlLbl val="0"/>
      </c:catAx>
      <c:valAx>
        <c:axId val="791756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79270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Charts!$C$212:$N$212</c:f>
              <c:numCache>
                <c:formatCode>_(* #,##0_);_(* \(#,##0\);_(* "-"??_);_(@_)</c:formatCode>
                <c:ptCount val="12"/>
                <c:pt idx="0">
                  <c:v>157.306</c:v>
                </c:pt>
                <c:pt idx="1">
                  <c:v>187.566</c:v>
                </c:pt>
                <c:pt idx="2">
                  <c:v>302.8</c:v>
                </c:pt>
                <c:pt idx="3">
                  <c:v>294.627</c:v>
                </c:pt>
                <c:pt idx="4">
                  <c:v>306.496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Charts!$C$213:$N$213</c:f>
              <c:numCache>
                <c:formatCode>_(* #,##0_);_(* \(#,##0\);_(* "-"??_);_(@_)</c:formatCode>
                <c:ptCount val="12"/>
                <c:pt idx="4">
                  <c:v>306.496</c:v>
                </c:pt>
                <c:pt idx="5">
                  <c:v>384.5462577363583</c:v>
                </c:pt>
                <c:pt idx="6">
                  <c:v>482.4722813316902</c:v>
                </c:pt>
                <c:pt idx="7">
                  <c:v>605.3355027394318</c:v>
                </c:pt>
                <c:pt idx="8">
                  <c:v>759.4862649215833</c:v>
                </c:pt>
                <c:pt idx="9">
                  <c:v>952.8920474582352</c:v>
                </c:pt>
                <c:pt idx="10">
                  <c:v>1195.549275934435</c:v>
                </c:pt>
                <c:pt idx="11">
                  <c:v>1500.0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Charts!$C$214:$N$214</c:f>
              <c:numCache>
                <c:formatCode>_(* #,##0_);_(* \(#,##0\);_(* "-"??_);_(@_)</c:formatCode>
                <c:ptCount val="12"/>
                <c:pt idx="0">
                  <c:v>81.318</c:v>
                </c:pt>
                <c:pt idx="1">
                  <c:v>104.137</c:v>
                </c:pt>
                <c:pt idx="2">
                  <c:v>169.954</c:v>
                </c:pt>
                <c:pt idx="3">
                  <c:v>150.133</c:v>
                </c:pt>
                <c:pt idx="4">
                  <c:v>166.096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20264"/>
        <c:axId val="791717272"/>
      </c:lineChart>
      <c:catAx>
        <c:axId val="7917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1717272"/>
        <c:crosses val="autoZero"/>
        <c:auto val="1"/>
        <c:lblAlgn val="ctr"/>
        <c:lblOffset val="100"/>
        <c:noMultiLvlLbl val="0"/>
      </c:catAx>
      <c:valAx>
        <c:axId val="79171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9172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Charts!$C$217:$G$217</c:f>
              <c:numCache>
                <c:formatCode>_(* #,##0_);_(* \(#,##0\);_(* "-"??_);_(@_)</c:formatCode>
                <c:ptCount val="5"/>
                <c:pt idx="0">
                  <c:v>73.137</c:v>
                </c:pt>
                <c:pt idx="1">
                  <c:v>106.921</c:v>
                </c:pt>
                <c:pt idx="2">
                  <c:v>227.283</c:v>
                </c:pt>
                <c:pt idx="3">
                  <c:v>199.818</c:v>
                </c:pt>
                <c:pt idx="4">
                  <c:v>215.957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Charts!$C$218:$G$218</c:f>
              <c:numCache>
                <c:formatCode>_(* #,##0_);_(* \(#,##0\);_(* "-"??_);_(@_)</c:formatCode>
                <c:ptCount val="5"/>
                <c:pt idx="0">
                  <c:v>357.799</c:v>
                </c:pt>
                <c:pt idx="1">
                  <c:v>383.686</c:v>
                </c:pt>
                <c:pt idx="2">
                  <c:v>486.832</c:v>
                </c:pt>
                <c:pt idx="3">
                  <c:v>603.139</c:v>
                </c:pt>
                <c:pt idx="4">
                  <c:v>564.811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684456"/>
        <c:axId val="791681464"/>
      </c:barChart>
      <c:catAx>
        <c:axId val="79168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91681464"/>
        <c:crosses val="autoZero"/>
        <c:auto val="1"/>
        <c:lblAlgn val="ctr"/>
        <c:lblOffset val="100"/>
        <c:noMultiLvlLbl val="0"/>
      </c:catAx>
      <c:valAx>
        <c:axId val="791681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168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Charts!$B$17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Charts!$C$17:$G$17</c:f>
              <c:numCache>
                <c:formatCode>_(* #,##0.0_);_(* \(#,##0.0\);_(* "-"??_);_(@_)</c:formatCode>
                <c:ptCount val="5"/>
                <c:pt idx="0">
                  <c:v>31.582264</c:v>
                </c:pt>
                <c:pt idx="1">
                  <c:v>28.668868</c:v>
                </c:pt>
                <c:pt idx="2">
                  <c:v>25.757248</c:v>
                </c:pt>
                <c:pt idx="3">
                  <c:v>25.490565</c:v>
                </c:pt>
                <c:pt idx="4">
                  <c:v>24.536359</c:v>
                </c:pt>
              </c:numCache>
            </c:numRef>
          </c:val>
        </c:ser>
        <c:ser>
          <c:idx val="1"/>
          <c:order val="1"/>
          <c:tx>
            <c:strRef>
              <c:f>Charts!$B$18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Charts!$C$18:$G$18</c:f>
              <c:numCache>
                <c:formatCode>_(* #,##0.0_);_(* \(#,##0.0\);_(* "-"??_);_(@_)</c:formatCode>
                <c:ptCount val="5"/>
                <c:pt idx="0">
                  <c:v>6.9994</c:v>
                </c:pt>
                <c:pt idx="1">
                  <c:v>4.631394</c:v>
                </c:pt>
                <c:pt idx="2">
                  <c:v>6.883971</c:v>
                </c:pt>
                <c:pt idx="3">
                  <c:v>5.326831</c:v>
                </c:pt>
                <c:pt idx="4">
                  <c:v>4.015414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171304"/>
        <c:axId val="792174280"/>
      </c:barChart>
      <c:catAx>
        <c:axId val="7921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92174280"/>
        <c:crosses val="autoZero"/>
        <c:auto val="1"/>
        <c:lblAlgn val="ctr"/>
        <c:lblOffset val="100"/>
        <c:noMultiLvlLbl val="0"/>
      </c:catAx>
      <c:valAx>
        <c:axId val="79217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(Ms)</a:t>
                </a:r>
              </a:p>
            </c:rich>
          </c:tx>
          <c:layout/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79217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Charts!$C$222:$G$222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Charts!$C$223:$G$223</c:f>
              <c:numCache>
                <c:formatCode>_(* #,##0.00_);_(* \(#,##0.00\);_(* "-"??_);_(@_)</c:formatCode>
                <c:ptCount val="5"/>
                <c:pt idx="0">
                  <c:v>0.055388</c:v>
                </c:pt>
                <c:pt idx="1">
                  <c:v>0.064761</c:v>
                </c:pt>
                <c:pt idx="2">
                  <c:v>0.075177</c:v>
                </c:pt>
                <c:pt idx="3">
                  <c:v>0.119008</c:v>
                </c:pt>
                <c:pt idx="4">
                  <c:v>0.095965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61048"/>
        <c:axId val="841064024"/>
      </c:barChart>
      <c:catAx>
        <c:axId val="84106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41064024"/>
        <c:crosses val="autoZero"/>
        <c:auto val="1"/>
        <c:lblAlgn val="ctr"/>
        <c:lblOffset val="100"/>
        <c:noMultiLvlLbl val="0"/>
      </c:catAx>
      <c:valAx>
        <c:axId val="841064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84106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Charts!$C$247:$N$247</c:f>
              <c:numCache>
                <c:formatCode>_(* #,##0_);_(* \(#,##0\);_(* "-"??_);_(@_)</c:formatCode>
                <c:ptCount val="12"/>
                <c:pt idx="0">
                  <c:v>307.305</c:v>
                </c:pt>
                <c:pt idx="1">
                  <c:v>430.62</c:v>
                </c:pt>
                <c:pt idx="2">
                  <c:v>510.942</c:v>
                </c:pt>
                <c:pt idx="3">
                  <c:v>628.071</c:v>
                </c:pt>
                <c:pt idx="4">
                  <c:v>865.03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Charts!$C$248:$N$248</c:f>
              <c:numCache>
                <c:formatCode>_(* #,##0_);_(* \(#,##0\);_(* "-"??_);_(@_)</c:formatCode>
                <c:ptCount val="12"/>
                <c:pt idx="4">
                  <c:v>865.03</c:v>
                </c:pt>
                <c:pt idx="5">
                  <c:v>883.1342268598499</c:v>
                </c:pt>
                <c:pt idx="6">
                  <c:v>901.6173573764434</c:v>
                </c:pt>
                <c:pt idx="7">
                  <c:v>920.4873216305404</c:v>
                </c:pt>
                <c:pt idx="8">
                  <c:v>939.7522156716893</c:v>
                </c:pt>
                <c:pt idx="9">
                  <c:v>959.4203049917903</c:v>
                </c:pt>
                <c:pt idx="10">
                  <c:v>979.5000280713572</c:v>
                </c:pt>
                <c:pt idx="11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Charts!$C$249:$N$249</c:f>
              <c:numCache>
                <c:formatCode>_(* #,##0_);_(* \(#,##0\);_(* "-"??_);_(@_)</c:formatCode>
                <c:ptCount val="12"/>
                <c:pt idx="0">
                  <c:v>178.508</c:v>
                </c:pt>
                <c:pt idx="1">
                  <c:v>239.752</c:v>
                </c:pt>
                <c:pt idx="2">
                  <c:v>275.183</c:v>
                </c:pt>
                <c:pt idx="3">
                  <c:v>337.967</c:v>
                </c:pt>
                <c:pt idx="4">
                  <c:v>393.553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99944"/>
        <c:axId val="841102920"/>
      </c:lineChart>
      <c:catAx>
        <c:axId val="8410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1102920"/>
        <c:crosses val="autoZero"/>
        <c:auto val="1"/>
        <c:lblAlgn val="ctr"/>
        <c:lblOffset val="100"/>
        <c:noMultiLvlLbl val="0"/>
      </c:catAx>
      <c:valAx>
        <c:axId val="841102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109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Charts!$C$252:$G$252</c:f>
              <c:numCache>
                <c:formatCode>_(* #,##0_);_(* \(#,##0\);_(* "-"??_);_(@_)</c:formatCode>
                <c:ptCount val="5"/>
                <c:pt idx="0">
                  <c:v>93.362</c:v>
                </c:pt>
                <c:pt idx="1">
                  <c:v>158.664</c:v>
                </c:pt>
                <c:pt idx="2">
                  <c:v>204.501</c:v>
                </c:pt>
                <c:pt idx="3">
                  <c:v>251.587</c:v>
                </c:pt>
                <c:pt idx="4">
                  <c:v>382.506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Charts!$C$253:$G$253</c:f>
              <c:numCache>
                <c:formatCode>_(* #,##0_);_(* \(#,##0\);_(* "-"??_);_(@_)</c:formatCode>
                <c:ptCount val="5"/>
                <c:pt idx="0">
                  <c:v>553.655</c:v>
                </c:pt>
                <c:pt idx="1">
                  <c:v>677.006</c:v>
                </c:pt>
                <c:pt idx="2">
                  <c:v>783.322</c:v>
                </c:pt>
                <c:pt idx="3">
                  <c:v>983.146</c:v>
                </c:pt>
                <c:pt idx="4">
                  <c:v>1205.922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135832"/>
        <c:axId val="841138808"/>
      </c:barChart>
      <c:catAx>
        <c:axId val="84113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1138808"/>
        <c:crosses val="autoZero"/>
        <c:auto val="1"/>
        <c:lblAlgn val="ctr"/>
        <c:lblOffset val="100"/>
        <c:noMultiLvlLbl val="0"/>
      </c:catAx>
      <c:valAx>
        <c:axId val="841138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4113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Charts!$C$257:$G$257</c:f>
              <c:numCache>
                <c:formatCode>_(* #,##0.0_);_(* \(#,##0.0\);_(* "-"??_);_(@_)</c:formatCode>
                <c:ptCount val="5"/>
                <c:pt idx="0">
                  <c:v>3.360567</c:v>
                </c:pt>
                <c:pt idx="1">
                  <c:v>2.419837</c:v>
                </c:pt>
                <c:pt idx="2">
                  <c:v>2.645408</c:v>
                </c:pt>
                <c:pt idx="3">
                  <c:v>2.13524</c:v>
                </c:pt>
                <c:pt idx="4">
                  <c:v>14.223816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Charts!$C$258:$G$258</c:f>
              <c:numCache>
                <c:formatCode>_(* #,##0.00_);_(* \(#,##0.00\);_(*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165640"/>
        <c:axId val="841168616"/>
      </c:barChart>
      <c:catAx>
        <c:axId val="8411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41168616"/>
        <c:crosses val="autoZero"/>
        <c:auto val="1"/>
        <c:lblAlgn val="ctr"/>
        <c:lblOffset val="100"/>
        <c:noMultiLvlLbl val="0"/>
      </c:catAx>
      <c:valAx>
        <c:axId val="84116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84116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Charts!$C$281:$N$281</c:f>
              <c:numCache>
                <c:formatCode>_(* #,##0_);_(* \(#,##0\);_(* "-"??_);_(@_)</c:formatCode>
                <c:ptCount val="12"/>
                <c:pt idx="0">
                  <c:v>154.15</c:v>
                </c:pt>
                <c:pt idx="1">
                  <c:v>203.249</c:v>
                </c:pt>
                <c:pt idx="2">
                  <c:v>282.268</c:v>
                </c:pt>
                <c:pt idx="3">
                  <c:v>320.289</c:v>
                </c:pt>
                <c:pt idx="4">
                  <c:v>250.6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Charts!$C$282:$N$282</c:f>
              <c:numCache>
                <c:formatCode>_(* #,##0_);_(* \(#,##0\);_(* "-"??_);_(@_)</c:formatCode>
                <c:ptCount val="12"/>
                <c:pt idx="4">
                  <c:v>250.6</c:v>
                </c:pt>
                <c:pt idx="5">
                  <c:v>323.5912788928086</c:v>
                </c:pt>
                <c:pt idx="6">
                  <c:v>417.8424412429508</c:v>
                </c:pt>
                <c:pt idx="7">
                  <c:v>539.5457699022334</c:v>
                </c:pt>
                <c:pt idx="8">
                  <c:v>696.6971496562998</c:v>
                </c:pt>
                <c:pt idx="9">
                  <c:v>899.6213952843439</c:v>
                </c:pt>
                <c:pt idx="10">
                  <c:v>1161.650589861906</c:v>
                </c:pt>
                <c:pt idx="11">
                  <c:v>1500.0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Charts!$C$283:$N$283</c:f>
              <c:numCache>
                <c:formatCode>_(* #,##0_);_(* \(#,##0\);_(* "-"??_);_(@_)</c:formatCode>
                <c:ptCount val="12"/>
                <c:pt idx="0">
                  <c:v>32.792</c:v>
                </c:pt>
                <c:pt idx="1">
                  <c:v>44.618</c:v>
                </c:pt>
                <c:pt idx="2">
                  <c:v>43.802</c:v>
                </c:pt>
                <c:pt idx="3">
                  <c:v>57.048</c:v>
                </c:pt>
                <c:pt idx="4">
                  <c:v>36.247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205096"/>
        <c:axId val="841208072"/>
      </c:lineChart>
      <c:catAx>
        <c:axId val="8412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208072"/>
        <c:crosses val="autoZero"/>
        <c:auto val="1"/>
        <c:lblAlgn val="ctr"/>
        <c:lblOffset val="100"/>
        <c:noMultiLvlLbl val="0"/>
      </c:catAx>
      <c:valAx>
        <c:axId val="84120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12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Charts!$C$286:$G$286</c:f>
              <c:numCache>
                <c:formatCode>_(* #,##0_);_(* \(#,##0\);_(* "-"??_);_(@_)</c:formatCode>
                <c:ptCount val="5"/>
                <c:pt idx="0">
                  <c:v>95.813</c:v>
                </c:pt>
                <c:pt idx="1">
                  <c:v>120.709</c:v>
                </c:pt>
                <c:pt idx="2">
                  <c:v>172.08</c:v>
                </c:pt>
                <c:pt idx="3">
                  <c:v>213.438</c:v>
                </c:pt>
                <c:pt idx="4">
                  <c:v>122.229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Charts!$C$287:$G$287</c:f>
              <c:numCache>
                <c:formatCode>_(* #,##0_);_(* \(#,##0\);_(* "-"??_);_(@_)</c:formatCode>
                <c:ptCount val="5"/>
                <c:pt idx="0">
                  <c:v>373.845</c:v>
                </c:pt>
                <c:pt idx="1">
                  <c:v>380.689</c:v>
                </c:pt>
                <c:pt idx="2">
                  <c:v>485.343</c:v>
                </c:pt>
                <c:pt idx="3">
                  <c:v>526.912</c:v>
                </c:pt>
                <c:pt idx="4">
                  <c:v>552.923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241336"/>
        <c:axId val="841244312"/>
      </c:barChart>
      <c:catAx>
        <c:axId val="84124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244312"/>
        <c:crosses val="autoZero"/>
        <c:auto val="1"/>
        <c:lblAlgn val="ctr"/>
        <c:lblOffset val="100"/>
        <c:noMultiLvlLbl val="0"/>
      </c:catAx>
      <c:valAx>
        <c:axId val="841244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4124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Charts!$C$291:$G$291</c:f>
              <c:numCache>
                <c:formatCode>_(* #,##0.0_);_(* \(#,##0.0\);_(* "-"??_);_(@_)</c:formatCode>
                <c:ptCount val="5"/>
                <c:pt idx="0">
                  <c:v>4.58683</c:v>
                </c:pt>
                <c:pt idx="1">
                  <c:v>3.2967</c:v>
                </c:pt>
                <c:pt idx="2">
                  <c:v>3.42433</c:v>
                </c:pt>
                <c:pt idx="3">
                  <c:v>21.12947</c:v>
                </c:pt>
                <c:pt idx="4">
                  <c:v>6.76472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Charts!$C$292:$G$292</c:f>
              <c:numCache>
                <c:formatCode>_(* #,##0.00_);_(* \(#,##0.00\);_(*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271496"/>
        <c:axId val="841274472"/>
      </c:barChart>
      <c:catAx>
        <c:axId val="8412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274472"/>
        <c:crosses val="autoZero"/>
        <c:auto val="1"/>
        <c:lblAlgn val="ctr"/>
        <c:lblOffset val="100"/>
        <c:noMultiLvlLbl val="0"/>
      </c:catAx>
      <c:valAx>
        <c:axId val="841274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84127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Charts!$C$40:$N$40</c:f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Charts!$C$41:$N$41</c:f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Charts!$C$42:$N$42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3384"/>
        <c:axId val="792216360"/>
      </c:lineChart>
      <c:catAx>
        <c:axId val="79221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16360"/>
        <c:crosses val="autoZero"/>
        <c:auto val="1"/>
        <c:lblAlgn val="ctr"/>
        <c:lblOffset val="100"/>
        <c:noMultiLvlLbl val="0"/>
      </c:catAx>
      <c:valAx>
        <c:axId val="792216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9221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Charts!$C$45:$G$45</c:f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Charts!$C$46:$G$46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250872"/>
        <c:axId val="792253848"/>
      </c:barChart>
      <c:catAx>
        <c:axId val="7922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53848"/>
        <c:crosses val="autoZero"/>
        <c:auto val="1"/>
        <c:lblAlgn val="ctr"/>
        <c:lblOffset val="100"/>
        <c:noMultiLvlLbl val="0"/>
      </c:catAx>
      <c:valAx>
        <c:axId val="792253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2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Charts!$C$50:$G$50</c:f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Charts!$C$51:$G$51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80536"/>
        <c:axId val="792283512"/>
      </c:barChart>
      <c:catAx>
        <c:axId val="7922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83512"/>
        <c:crosses val="autoZero"/>
        <c:auto val="1"/>
        <c:lblAlgn val="ctr"/>
        <c:lblOffset val="100"/>
        <c:noMultiLvlLbl val="0"/>
      </c:catAx>
      <c:valAx>
        <c:axId val="79228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79228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Charts!$C$74:$N$74</c:f>
              <c:numCache>
                <c:formatCode>_(* #,##0_);_(* \(#,##0\);_(* "-"??_);_(@_)</c:formatCode>
                <c:ptCount val="12"/>
                <c:pt idx="0">
                  <c:v>2989.347</c:v>
                </c:pt>
                <c:pt idx="1">
                  <c:v>2333.9</c:v>
                </c:pt>
                <c:pt idx="2">
                  <c:v>2445.058</c:v>
                </c:pt>
                <c:pt idx="3">
                  <c:v>2369.952</c:v>
                </c:pt>
                <c:pt idx="4">
                  <c:v>2740.469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Charts!$C$75:$N$75</c:f>
              <c:numCache>
                <c:formatCode>_(* #,##0_);_(* \(#,##0\);_(* "-"??_);_(@_)</c:formatCode>
                <c:ptCount val="12"/>
                <c:pt idx="4">
                  <c:v>2740.469</c:v>
                </c:pt>
                <c:pt idx="5">
                  <c:v>3193.67953693626</c:v>
                </c:pt>
                <c:pt idx="6">
                  <c:v>3721.840672032929</c:v>
                </c:pt>
                <c:pt idx="7">
                  <c:v>4337.347510228602</c:v>
                </c:pt>
                <c:pt idx="8">
                  <c:v>5054.645021709248</c:v>
                </c:pt>
                <c:pt idx="9">
                  <c:v>5890.56704246958</c:v>
                </c:pt>
                <c:pt idx="10">
                  <c:v>6864.731337769646</c:v>
                </c:pt>
                <c:pt idx="11">
                  <c:v>8000.0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Charts!$C$76:$N$76</c:f>
              <c:numCache>
                <c:formatCode>_(* #,##0_);_(* \(#,##0\);_(* "-"??_);_(@_)</c:formatCode>
                <c:ptCount val="12"/>
                <c:pt idx="0">
                  <c:v>1649.346</c:v>
                </c:pt>
                <c:pt idx="1">
                  <c:v>1311.356</c:v>
                </c:pt>
                <c:pt idx="2">
                  <c:v>1324.866</c:v>
                </c:pt>
                <c:pt idx="3">
                  <c:v>1267.183</c:v>
                </c:pt>
                <c:pt idx="4">
                  <c:v>1327.462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320648"/>
        <c:axId val="792323624"/>
      </c:lineChart>
      <c:catAx>
        <c:axId val="79232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323624"/>
        <c:crosses val="autoZero"/>
        <c:auto val="1"/>
        <c:lblAlgn val="ctr"/>
        <c:lblOffset val="100"/>
        <c:noMultiLvlLbl val="0"/>
      </c:catAx>
      <c:valAx>
        <c:axId val="792323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9232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Charts!$C$79:$G$79</c:f>
              <c:numCache>
                <c:formatCode>_(* #,##0_);_(* \(#,##0\);_(* "-"??_);_(@_)</c:formatCode>
                <c:ptCount val="5"/>
                <c:pt idx="0">
                  <c:v>1442.86</c:v>
                </c:pt>
                <c:pt idx="1">
                  <c:v>1112.865</c:v>
                </c:pt>
                <c:pt idx="2">
                  <c:v>1189.975</c:v>
                </c:pt>
                <c:pt idx="3">
                  <c:v>1233.095</c:v>
                </c:pt>
                <c:pt idx="4">
                  <c:v>1431.01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Charts!$C$80:$G$80</c:f>
              <c:numCache>
                <c:formatCode>_(* #,##0_);_(* \(#,##0\);_(* "-"??_);_(@_)</c:formatCode>
                <c:ptCount val="5"/>
                <c:pt idx="0">
                  <c:v>3887.004</c:v>
                </c:pt>
                <c:pt idx="1">
                  <c:v>2987.362</c:v>
                </c:pt>
                <c:pt idx="2">
                  <c:v>3237.83</c:v>
                </c:pt>
                <c:pt idx="3">
                  <c:v>3098.577</c:v>
                </c:pt>
                <c:pt idx="4">
                  <c:v>3451.586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356472"/>
        <c:axId val="792359448"/>
      </c:barChart>
      <c:catAx>
        <c:axId val="79235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2359448"/>
        <c:crosses val="autoZero"/>
        <c:auto val="1"/>
        <c:lblAlgn val="ctr"/>
        <c:lblOffset val="100"/>
        <c:noMultiLvlLbl val="0"/>
      </c:catAx>
      <c:valAx>
        <c:axId val="792359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35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Charts!$C$84:$G$84</c:f>
              <c:numCache>
                <c:formatCode>_(* #,##0.0_);_(* \(#,##0.0\);_(* "-"??_);_(@_)</c:formatCode>
                <c:ptCount val="5"/>
                <c:pt idx="0">
                  <c:v>14.84496</c:v>
                </c:pt>
                <c:pt idx="1">
                  <c:v>11.59568</c:v>
                </c:pt>
                <c:pt idx="2">
                  <c:v>15.88223</c:v>
                </c:pt>
                <c:pt idx="3">
                  <c:v>12.33086</c:v>
                </c:pt>
                <c:pt idx="4">
                  <c:v>16.8662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Charts!$C$85:$G$85</c:f>
              <c:numCache>
                <c:formatCode>_(* #,##0.0_);_(* \(#,##0.0\);_(* "-"??_);_(@_)</c:formatCode>
                <c:ptCount val="5"/>
                <c:pt idx="0">
                  <c:v>0.019104</c:v>
                </c:pt>
                <c:pt idx="1">
                  <c:v>0.011031</c:v>
                </c:pt>
                <c:pt idx="2">
                  <c:v>0.006487</c:v>
                </c:pt>
                <c:pt idx="3">
                  <c:v>0.009012</c:v>
                </c:pt>
                <c:pt idx="4">
                  <c:v>0.014648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386696"/>
        <c:axId val="792389672"/>
      </c:barChart>
      <c:catAx>
        <c:axId val="7923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2389672"/>
        <c:crosses val="autoZero"/>
        <c:auto val="1"/>
        <c:lblAlgn val="ctr"/>
        <c:lblOffset val="100"/>
        <c:noMultiLvlLbl val="0"/>
      </c:catAx>
      <c:valAx>
        <c:axId val="792389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layout/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79238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Charts!$C$108:$N$108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918.514</c:v>
                </c:pt>
                <c:pt idx="3">
                  <c:v>2460.723</c:v>
                </c:pt>
                <c:pt idx="4">
                  <c:v>2539.282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Charts!$C$109:$N$109</c:f>
              <c:numCache>
                <c:formatCode>_(* #,##0_);_(* \(#,##0\);_(* "-"??_);_(@_)</c:formatCode>
                <c:ptCount val="12"/>
                <c:pt idx="4">
                  <c:v>2539.282</c:v>
                </c:pt>
                <c:pt idx="5">
                  <c:v>3272.714520768651</c:v>
                </c:pt>
                <c:pt idx="6">
                  <c:v>4217.987736080507</c:v>
                </c:pt>
                <c:pt idx="7">
                  <c:v>5436.28856987714</c:v>
                </c:pt>
                <c:pt idx="8">
                  <c:v>7006.476847284216</c:v>
                </c:pt>
                <c:pt idx="9">
                  <c:v>9030.189840095117</c:v>
                </c:pt>
                <c:pt idx="10">
                  <c:v>11638.42118164774</c:v>
                </c:pt>
                <c:pt idx="11">
                  <c:v>15000.0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Charts!$C$110:$N$110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482.289</c:v>
                </c:pt>
                <c:pt idx="3">
                  <c:v>1364.611</c:v>
                </c:pt>
                <c:pt idx="4">
                  <c:v>1387.345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425640"/>
        <c:axId val="792428616"/>
      </c:lineChart>
      <c:catAx>
        <c:axId val="792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428616"/>
        <c:crosses val="autoZero"/>
        <c:auto val="1"/>
        <c:lblAlgn val="ctr"/>
        <c:lblOffset val="100"/>
        <c:noMultiLvlLbl val="0"/>
      </c:catAx>
      <c:valAx>
        <c:axId val="79242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9242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19</xdr:row>
      <xdr:rowOff>38100</xdr:rowOff>
    </xdr:from>
    <xdr:to>
      <xdr:col>16</xdr:col>
      <xdr:colOff>673100</xdr:colOff>
      <xdr:row>34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1016000</xdr:colOff>
      <xdr:row>19</xdr:row>
      <xdr:rowOff>0</xdr:rowOff>
    </xdr:from>
    <xdr:to>
      <xdr:col>11</xdr:col>
      <xdr:colOff>76200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863600</xdr:colOff>
      <xdr:row>52</xdr:row>
      <xdr:rowOff>63500</xdr:rowOff>
    </xdr:from>
    <xdr:to>
      <xdr:col>5</xdr:col>
      <xdr:colOff>495300</xdr:colOff>
      <xdr:row>67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</xdr:row>
      <xdr:rowOff>76200</xdr:rowOff>
    </xdr:from>
    <xdr:to>
      <xdr:col>11</xdr:col>
      <xdr:colOff>88900</xdr:colOff>
      <xdr:row>66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317500</xdr:colOff>
      <xdr:row>51</xdr:row>
      <xdr:rowOff>25400</xdr:rowOff>
    </xdr:from>
    <xdr:to>
      <xdr:col>16</xdr:col>
      <xdr:colOff>508000</xdr:colOff>
      <xdr:row>66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952500</xdr:colOff>
      <xdr:row>86</xdr:row>
      <xdr:rowOff>63500</xdr:rowOff>
    </xdr:from>
    <xdr:to>
      <xdr:col>5</xdr:col>
      <xdr:colOff>584200</xdr:colOff>
      <xdr:row>101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85</xdr:row>
      <xdr:rowOff>76200</xdr:rowOff>
    </xdr:from>
    <xdr:to>
      <xdr:col>11</xdr:col>
      <xdr:colOff>88900</xdr:colOff>
      <xdr:row>100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317500</xdr:colOff>
      <xdr:row>85</xdr:row>
      <xdr:rowOff>25400</xdr:rowOff>
    </xdr:from>
    <xdr:to>
      <xdr:col>16</xdr:col>
      <xdr:colOff>508000</xdr:colOff>
      <xdr:row>100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952500</xdr:colOff>
      <xdr:row>120</xdr:row>
      <xdr:rowOff>63500</xdr:rowOff>
    </xdr:from>
    <xdr:to>
      <xdr:col>5</xdr:col>
      <xdr:colOff>584200</xdr:colOff>
      <xdr:row>135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927100</xdr:colOff>
      <xdr:row>120</xdr:row>
      <xdr:rowOff>38100</xdr:rowOff>
    </xdr:from>
    <xdr:to>
      <xdr:col>10</xdr:col>
      <xdr:colOff>850900</xdr:colOff>
      <xdr:row>135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317500</xdr:colOff>
      <xdr:row>119</xdr:row>
      <xdr:rowOff>25400</xdr:rowOff>
    </xdr:from>
    <xdr:to>
      <xdr:col>16</xdr:col>
      <xdr:colOff>508000</xdr:colOff>
      <xdr:row>134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952500</xdr:colOff>
      <xdr:row>154</xdr:row>
      <xdr:rowOff>63500</xdr:rowOff>
    </xdr:from>
    <xdr:to>
      <xdr:col>5</xdr:col>
      <xdr:colOff>584200</xdr:colOff>
      <xdr:row>169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927100</xdr:colOff>
      <xdr:row>154</xdr:row>
      <xdr:rowOff>38100</xdr:rowOff>
    </xdr:from>
    <xdr:to>
      <xdr:col>10</xdr:col>
      <xdr:colOff>850900</xdr:colOff>
      <xdr:row>169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317500</xdr:colOff>
      <xdr:row>153</xdr:row>
      <xdr:rowOff>25400</xdr:rowOff>
    </xdr:from>
    <xdr:to>
      <xdr:col>16</xdr:col>
      <xdr:colOff>508000</xdr:colOff>
      <xdr:row>168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952500</xdr:colOff>
      <xdr:row>189</xdr:row>
      <xdr:rowOff>63500</xdr:rowOff>
    </xdr:from>
    <xdr:to>
      <xdr:col>5</xdr:col>
      <xdr:colOff>584200</xdr:colOff>
      <xdr:row>204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927100</xdr:colOff>
      <xdr:row>189</xdr:row>
      <xdr:rowOff>38100</xdr:rowOff>
    </xdr:from>
    <xdr:to>
      <xdr:col>10</xdr:col>
      <xdr:colOff>850900</xdr:colOff>
      <xdr:row>204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317500</xdr:colOff>
      <xdr:row>188</xdr:row>
      <xdr:rowOff>25400</xdr:rowOff>
    </xdr:from>
    <xdr:to>
      <xdr:col>16</xdr:col>
      <xdr:colOff>508000</xdr:colOff>
      <xdr:row>203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952500</xdr:colOff>
      <xdr:row>224</xdr:row>
      <xdr:rowOff>63500</xdr:rowOff>
    </xdr:from>
    <xdr:to>
      <xdr:col>5</xdr:col>
      <xdr:colOff>584200</xdr:colOff>
      <xdr:row>239</xdr:row>
      <xdr:rowOff>139700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927100</xdr:colOff>
      <xdr:row>224</xdr:row>
      <xdr:rowOff>38100</xdr:rowOff>
    </xdr:from>
    <xdr:to>
      <xdr:col>10</xdr:col>
      <xdr:colOff>850900</xdr:colOff>
      <xdr:row>239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317500</xdr:colOff>
      <xdr:row>223</xdr:row>
      <xdr:rowOff>25400</xdr:rowOff>
    </xdr:from>
    <xdr:to>
      <xdr:col>16</xdr:col>
      <xdr:colOff>508000</xdr:colOff>
      <xdr:row>238</xdr:row>
      <xdr:rowOff>101600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952500</xdr:colOff>
      <xdr:row>259</xdr:row>
      <xdr:rowOff>63500</xdr:rowOff>
    </xdr:from>
    <xdr:to>
      <xdr:col>5</xdr:col>
      <xdr:colOff>584200</xdr:colOff>
      <xdr:row>274</xdr:row>
      <xdr:rowOff>139700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927100</xdr:colOff>
      <xdr:row>259</xdr:row>
      <xdr:rowOff>38100</xdr:rowOff>
    </xdr:from>
    <xdr:to>
      <xdr:col>10</xdr:col>
      <xdr:colOff>850900</xdr:colOff>
      <xdr:row>274</xdr:row>
      <xdr:rowOff>114300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317500</xdr:colOff>
      <xdr:row>258</xdr:row>
      <xdr:rowOff>25400</xdr:rowOff>
    </xdr:from>
    <xdr:to>
      <xdr:col>16</xdr:col>
      <xdr:colOff>508000</xdr:colOff>
      <xdr:row>273</xdr:row>
      <xdr:rowOff>101600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952500</xdr:colOff>
      <xdr:row>293</xdr:row>
      <xdr:rowOff>63500</xdr:rowOff>
    </xdr:from>
    <xdr:to>
      <xdr:col>5</xdr:col>
      <xdr:colOff>584200</xdr:colOff>
      <xdr:row>308</xdr:row>
      <xdr:rowOff>139700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927100</xdr:colOff>
      <xdr:row>293</xdr:row>
      <xdr:rowOff>38100</xdr:rowOff>
    </xdr:from>
    <xdr:to>
      <xdr:col>10</xdr:col>
      <xdr:colOff>850900</xdr:colOff>
      <xdr:row>308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317500</xdr:colOff>
      <xdr:row>292</xdr:row>
      <xdr:rowOff>25400</xdr:rowOff>
    </xdr:from>
    <xdr:to>
      <xdr:col>16</xdr:col>
      <xdr:colOff>508000</xdr:colOff>
      <xdr:row>307</xdr:row>
      <xdr:rowOff>101600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schwab/Desktop/Report%20Cards/Fightland%20Performance_02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schwab/Library/Containers/com.apple.mail/Data/Library/Mail%20Downloads/2014%20Budget%20-%20Final%202/2014%20Budget/Final%20Budget/US%202014%20Budget%20v.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Fightland_Global"/>
      <sheetName val="Fightland_USA"/>
      <sheetName val="Content"/>
      <sheetName val="A1_Revenue Assumptions"/>
    </sheetNames>
    <sheetDataSet>
      <sheetData sheetId="0" refreshError="1"/>
      <sheetData sheetId="1" refreshError="1">
        <row r="7">
          <cell r="C7">
            <v>1.3739463211829173</v>
          </cell>
          <cell r="D7">
            <v>1.3924005416759968</v>
          </cell>
          <cell r="I7" t="str">
            <v>NM</v>
          </cell>
          <cell r="J7" t="str">
            <v>NM</v>
          </cell>
          <cell r="K7" t="str">
            <v>NM</v>
          </cell>
          <cell r="L7" t="str">
            <v>NM</v>
          </cell>
          <cell r="M7" t="str">
            <v>NM</v>
          </cell>
          <cell r="N7" t="str">
            <v>NM</v>
          </cell>
        </row>
        <row r="8">
          <cell r="C8">
            <v>1.9938740572803406</v>
          </cell>
          <cell r="D8">
            <v>1.8785183426696328</v>
          </cell>
          <cell r="I8" t="str">
            <v>NM</v>
          </cell>
          <cell r="J8" t="str">
            <v>NM</v>
          </cell>
          <cell r="K8" t="str">
            <v>NM</v>
          </cell>
          <cell r="L8" t="str">
            <v>NM</v>
          </cell>
          <cell r="M8" t="str">
            <v>NM</v>
          </cell>
          <cell r="N8" t="str">
            <v>NM</v>
          </cell>
        </row>
        <row r="12">
          <cell r="I12" t="str">
            <v>NM</v>
          </cell>
          <cell r="J12" t="str">
            <v>NM</v>
          </cell>
          <cell r="K12" t="str">
            <v>NM</v>
          </cell>
          <cell r="L12" t="str">
            <v>NM</v>
          </cell>
          <cell r="M12" t="str">
            <v>NM</v>
          </cell>
          <cell r="N12" t="str">
            <v>NM</v>
          </cell>
        </row>
        <row r="53">
          <cell r="C53">
            <v>55388</v>
          </cell>
          <cell r="D53">
            <v>64761</v>
          </cell>
        </row>
        <row r="54">
          <cell r="C54">
            <v>51195</v>
          </cell>
          <cell r="D54">
            <v>57039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dget roll-up_cap"/>
      <sheetName val="Vice Media Inc&gt;&gt;"/>
      <sheetName val="Vice Media Inc_P&amp;L,BS,CSF"/>
      <sheetName val="Vice Media Inc_Detailed P&amp;L"/>
      <sheetName val="Vice Media Inc_Control"/>
      <sheetName val="Vice Media Inc_Capitalization"/>
      <sheetName val="Vice Media Inc_Salaries"/>
      <sheetName val="Rate Assumptions"/>
      <sheetName val="Vice Sports LLC&gt;&gt;"/>
      <sheetName val="Vice Sports_P&amp;L,BS,CSF"/>
      <sheetName val="Vice Sports_Control"/>
      <sheetName val="Vice Sports_Capitalization"/>
      <sheetName val="Vice Sports_Salaries"/>
      <sheetName val="Vice Recreation LLC&gt;&gt;"/>
      <sheetName val="Thump_P&amp;L,BS,CSF"/>
      <sheetName val="Thump_Control"/>
      <sheetName val="Thump_Capitalization"/>
      <sheetName val="Thump_Salaries"/>
      <sheetName val="Fight LLC&gt;&gt;"/>
      <sheetName val="Fight_P&amp;L,BS,CSF"/>
      <sheetName val="Fight_Control"/>
      <sheetName val="Fight_Salaries"/>
      <sheetName val="Other Companies&gt;&gt;"/>
      <sheetName val="Vice Holding_P&amp;L,BS,CSF"/>
      <sheetName val="Vice Holding_Control"/>
      <sheetName val="Vice Holding Salaries"/>
    </sheetNames>
    <sheetDataSet>
      <sheetData sheetId="0"/>
      <sheetData sheetId="1"/>
      <sheetData sheetId="2"/>
      <sheetData sheetId="3"/>
      <sheetData sheetId="4">
        <row r="478">
          <cell r="G478">
            <v>7.4999999999999997E-2</v>
          </cell>
          <cell r="K478">
            <v>7.4999999999999997E-2</v>
          </cell>
          <cell r="O478">
            <v>7.4999999999999997E-2</v>
          </cell>
        </row>
        <row r="479">
          <cell r="G479">
            <v>1</v>
          </cell>
          <cell r="K479">
            <v>1</v>
          </cell>
          <cell r="O479">
            <v>1</v>
          </cell>
        </row>
        <row r="496">
          <cell r="G496">
            <v>36887.79507934874</v>
          </cell>
          <cell r="K496">
            <v>46965.77835379781</v>
          </cell>
          <cell r="O496">
            <v>60214.301768416655</v>
          </cell>
          <cell r="S496">
            <v>600208.09082027827</v>
          </cell>
        </row>
        <row r="497">
          <cell r="G497">
            <v>6575.5618600028993</v>
          </cell>
          <cell r="K497">
            <v>8397.56519990575</v>
          </cell>
          <cell r="O497">
            <v>10794.967095785501</v>
          </cell>
          <cell r="S497">
            <v>107392.25877746409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2"/>
  <sheetViews>
    <sheetView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J70" sqref="J70"/>
    </sheetView>
  </sheetViews>
  <sheetFormatPr baseColWidth="10" defaultRowHeight="14" outlineLevelRow="1" x14ac:dyDescent="0"/>
  <cols>
    <col min="1" max="1" width="1.1640625" style="98" customWidth="1"/>
    <col min="2" max="2" width="24.33203125" style="98" customWidth="1"/>
    <col min="3" max="7" width="13.5" style="98" bestFit="1" customWidth="1"/>
    <col min="8" max="13" width="11.33203125" style="98" bestFit="1" customWidth="1"/>
    <col min="14" max="14" width="13.1640625" style="98" bestFit="1" customWidth="1"/>
    <col min="15" max="16384" width="10.83203125" style="98"/>
  </cols>
  <sheetData>
    <row r="1" spans="2:20"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2:20">
      <c r="C2" s="101" t="s">
        <v>65</v>
      </c>
      <c r="D2" s="101" t="s">
        <v>66</v>
      </c>
      <c r="E2" s="101" t="s">
        <v>67</v>
      </c>
      <c r="F2" s="101" t="s">
        <v>68</v>
      </c>
      <c r="G2" s="101" t="s">
        <v>69</v>
      </c>
      <c r="H2" s="101" t="s">
        <v>70</v>
      </c>
      <c r="I2" s="101" t="s">
        <v>71</v>
      </c>
      <c r="J2" s="101" t="s">
        <v>72</v>
      </c>
      <c r="K2" s="101" t="s">
        <v>73</v>
      </c>
      <c r="L2" s="101" t="s">
        <v>74</v>
      </c>
      <c r="M2" s="101" t="s">
        <v>75</v>
      </c>
      <c r="N2" s="101" t="s">
        <v>76</v>
      </c>
    </row>
    <row r="3" spans="2:20" ht="15" thickBot="1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2:20" ht="15" thickBot="1">
      <c r="B4" s="3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outlineLevel="1"/>
    <row r="6" spans="2:20" outlineLevel="1">
      <c r="B6" s="108" t="s">
        <v>60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</row>
    <row r="7" spans="2:20" outlineLevel="1">
      <c r="B7" s="98" t="s">
        <v>63</v>
      </c>
      <c r="C7" s="17">
        <f>VICE_Global!C17/1000</f>
        <v>13765.630999999999</v>
      </c>
      <c r="D7" s="17">
        <f>VICE_Global!D17/1000</f>
        <v>13992.013000000001</v>
      </c>
      <c r="E7" s="17">
        <f>VICE_Global!E17/1000</f>
        <v>16760.566999999999</v>
      </c>
      <c r="F7" s="17">
        <f>VICE_Global!F17/1000</f>
        <v>16702.557000000001</v>
      </c>
      <c r="G7" s="17">
        <f>VICE_Global!G17/1000</f>
        <v>17253.560000000001</v>
      </c>
      <c r="H7" s="17"/>
      <c r="I7" s="17"/>
      <c r="J7" s="17"/>
      <c r="K7" s="17"/>
      <c r="L7" s="17"/>
      <c r="M7" s="17"/>
      <c r="N7" s="17"/>
      <c r="P7" s="98" t="s">
        <v>77</v>
      </c>
      <c r="Q7" s="13">
        <f>N8/G8-1</f>
        <v>0.73877159264522785</v>
      </c>
    </row>
    <row r="8" spans="2:20" outlineLevel="1">
      <c r="B8" s="98" t="s">
        <v>62</v>
      </c>
      <c r="C8" s="17"/>
      <c r="D8" s="17"/>
      <c r="E8" s="17"/>
      <c r="F8" s="17"/>
      <c r="G8" s="17">
        <f t="shared" ref="G8" si="0">G7</f>
        <v>17253.560000000001</v>
      </c>
      <c r="H8" s="17">
        <f>G8*(1+$Q$8)</f>
        <v>18672.354362792379</v>
      </c>
      <c r="I8" s="17">
        <f t="shared" ref="I8:M8" si="1">H8*(1+$Q$8)</f>
        <v>20207.818992120556</v>
      </c>
      <c r="J8" s="17">
        <f t="shared" si="1"/>
        <v>21869.547914751558</v>
      </c>
      <c r="K8" s="17">
        <f t="shared" si="1"/>
        <v>23667.924093248475</v>
      </c>
      <c r="L8" s="17">
        <f t="shared" si="1"/>
        <v>25614.184301721325</v>
      </c>
      <c r="M8" s="17">
        <f t="shared" si="1"/>
        <v>27720.489336439216</v>
      </c>
      <c r="N8" s="16">
        <v>30000</v>
      </c>
      <c r="P8" s="98" t="s">
        <v>61</v>
      </c>
      <c r="Q8" s="15">
        <f>(N8/G8)^(1/7)-1</f>
        <v>8.2231977794285704E-2</v>
      </c>
    </row>
    <row r="9" spans="2:20" outlineLevel="1">
      <c r="B9" s="204" t="s">
        <v>64</v>
      </c>
      <c r="C9" s="12">
        <f ca="1">OFFSET(VICE_USA!$C$18,0,(Charts!C$1-1)*4)/1000</f>
        <v>4997.4229999999998</v>
      </c>
      <c r="D9" s="12">
        <f ca="1">OFFSET(VICE_USA!$C$18,0,(Charts!D1-1)*4)/1000</f>
        <v>5865.67</v>
      </c>
      <c r="E9" s="12">
        <f ca="1">OFFSET(VICE_USA!$C$18,0,(Charts!E1-1)*4)/1000</f>
        <v>6831.4809999999998</v>
      </c>
      <c r="F9" s="12">
        <f ca="1">OFFSET(VICE_USA!$C$18,0,(Charts!F1-1)*4)/1000</f>
        <v>7054.8040000000001</v>
      </c>
      <c r="G9" s="12">
        <f ca="1">OFFSET(VICE_USA!$C$18,0,(Charts!G1-1)*4)/1000</f>
        <v>7361.9769999999999</v>
      </c>
      <c r="H9" s="12"/>
      <c r="I9" s="12"/>
      <c r="J9" s="12"/>
      <c r="K9" s="12"/>
      <c r="L9" s="12"/>
      <c r="M9" s="12"/>
      <c r="N9" s="12"/>
    </row>
    <row r="10" spans="2:20" outlineLevel="1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20" outlineLevel="1">
      <c r="B11" s="108" t="s">
        <v>78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20" s="133" customFormat="1" outlineLevel="1">
      <c r="B12" s="133" t="s">
        <v>80</v>
      </c>
      <c r="C12" s="11">
        <f>VICE_Global!C29/1000</f>
        <v>15050.064</v>
      </c>
      <c r="D12" s="11">
        <f>VICE_Global!D29/1000</f>
        <v>15875.267</v>
      </c>
      <c r="E12" s="11">
        <f>VICE_Global!E29/1000</f>
        <v>21062.474999999999</v>
      </c>
      <c r="F12" s="11">
        <f>VICE_Global!F29/1000</f>
        <v>23788.054</v>
      </c>
      <c r="G12" s="11">
        <f>VICE_Global!G29/1000</f>
        <v>21646.855</v>
      </c>
      <c r="H12" s="11"/>
      <c r="I12" s="11"/>
      <c r="J12" s="11"/>
      <c r="K12" s="11"/>
      <c r="L12" s="11"/>
      <c r="M12" s="11"/>
      <c r="N12" s="11"/>
    </row>
    <row r="13" spans="2:20" s="133" customFormat="1" outlineLevel="1">
      <c r="B13" s="133" t="s">
        <v>79</v>
      </c>
      <c r="C13" s="11">
        <f>VICE_Global!C24/1000</f>
        <v>51183.629000000001</v>
      </c>
      <c r="D13" s="11">
        <f>VICE_Global!D24/1000</f>
        <v>51966.163</v>
      </c>
      <c r="E13" s="11">
        <f>VICE_Global!E24/1000</f>
        <v>57115.951999999997</v>
      </c>
      <c r="F13" s="11">
        <f>VICE_Global!F24/1000</f>
        <v>64120.786</v>
      </c>
      <c r="G13" s="11">
        <f>VICE_Global!G24/1000</f>
        <v>55492.245999999999</v>
      </c>
      <c r="H13" s="11"/>
      <c r="I13" s="11"/>
      <c r="J13" s="11"/>
      <c r="K13" s="11"/>
      <c r="L13" s="11"/>
      <c r="M13" s="11"/>
      <c r="N13" s="11"/>
    </row>
    <row r="14" spans="2:20" outlineLevel="1">
      <c r="B14" s="10" t="s">
        <v>81</v>
      </c>
      <c r="C14" s="8">
        <f>C12/(C12+C13)</f>
        <v>0.22722670771204015</v>
      </c>
      <c r="D14" s="8">
        <f>D12/(D12+D13)</f>
        <v>0.23400548897627896</v>
      </c>
      <c r="E14" s="8">
        <f>E12/(E12+E13)</f>
        <v>0.26941543605117557</v>
      </c>
      <c r="F14" s="8">
        <f>F12/(F12+F13)</f>
        <v>0.27059911153417565</v>
      </c>
      <c r="G14" s="8">
        <f>G12/(G12+G13)</f>
        <v>0.28062104327609422</v>
      </c>
      <c r="H14" s="9"/>
      <c r="I14" s="9"/>
      <c r="J14" s="9"/>
      <c r="K14" s="9"/>
      <c r="L14" s="9"/>
      <c r="M14" s="9"/>
      <c r="N14" s="9"/>
    </row>
    <row r="15" spans="2:20" outlineLevel="1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20" outlineLevel="1">
      <c r="B16" s="108" t="s">
        <v>82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 outlineLevel="1">
      <c r="B17" s="98" t="s">
        <v>83</v>
      </c>
      <c r="C17" s="7">
        <f>VICE_Global!C61/1000000</f>
        <v>31.582263999999999</v>
      </c>
      <c r="D17" s="7">
        <f>VICE_Global!D61/1000000</f>
        <v>28.668868</v>
      </c>
      <c r="E17" s="7">
        <f>VICE_Global!E61/1000000</f>
        <v>25.757248000000001</v>
      </c>
      <c r="F17" s="7">
        <f>VICE_Global!F61/1000000</f>
        <v>25.490565</v>
      </c>
      <c r="G17" s="7">
        <f>VICE_Global!G61/1000000</f>
        <v>24.536359000000001</v>
      </c>
      <c r="H17" s="17"/>
      <c r="I17" s="17"/>
      <c r="J17" s="17"/>
      <c r="K17" s="17"/>
      <c r="L17" s="17"/>
      <c r="M17" s="17"/>
      <c r="N17" s="17"/>
    </row>
    <row r="18" spans="2:14" outlineLevel="1">
      <c r="B18" s="98" t="s">
        <v>84</v>
      </c>
      <c r="C18" s="7">
        <f>VICE_Global!C53/1000000</f>
        <v>6.9993999999999996</v>
      </c>
      <c r="D18" s="7">
        <f>VICE_Global!D53/1000000</f>
        <v>4.6313940000000002</v>
      </c>
      <c r="E18" s="7">
        <f>VICE_Global!E53/1000000</f>
        <v>6.8839709999999998</v>
      </c>
      <c r="F18" s="7">
        <f>VICE_Global!F53/1000000</f>
        <v>5.3268310000000003</v>
      </c>
      <c r="G18" s="7">
        <f>VICE_Global!G53/1000000</f>
        <v>4.0154139999999998</v>
      </c>
      <c r="H18" s="17"/>
      <c r="I18" s="17"/>
      <c r="J18" s="17"/>
      <c r="K18" s="17"/>
      <c r="L18" s="17"/>
      <c r="M18" s="17"/>
      <c r="N18" s="17"/>
    </row>
    <row r="19" spans="2:14" outlineLevel="1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4" outlineLevel="1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4" outlineLevel="1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outlineLevel="1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 outlineLevel="1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4" outlineLevel="1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2:14" outlineLevel="1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4" outlineLevel="1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2:14" outlineLevel="1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4" outlineLevel="1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2:14" outlineLevel="1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14" outlineLevel="1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2:14" outlineLevel="1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4" outlineLevel="1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2:20" outlineLevel="1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2:20" outlineLevel="1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2:20" outlineLevel="1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2:20" ht="15" thickBot="1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2:20" ht="15" thickBot="1">
      <c r="B37" s="3" t="s">
        <v>92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hidden="1" outlineLevel="1"/>
    <row r="39" spans="2:20" hidden="1" outlineLevel="1">
      <c r="B39" s="108" t="s">
        <v>60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</row>
    <row r="40" spans="2:20" hidden="1" outlineLevel="1">
      <c r="B40" s="98" t="s">
        <v>63</v>
      </c>
      <c r="C40" s="17">
        <f>Noisey_Global!C17/1000</f>
        <v>2731.57</v>
      </c>
      <c r="D40" s="17">
        <f>Noisey_Global!D17/1000</f>
        <v>2773.8040000000001</v>
      </c>
      <c r="E40" s="17">
        <f>Noisey_Global!E17/1000</f>
        <v>3295.5030000000002</v>
      </c>
      <c r="F40" s="17">
        <f>Noisey_Global!F17/1000</f>
        <v>3749.8820000000001</v>
      </c>
      <c r="G40" s="17">
        <f>Noisey_Global!G17/1000</f>
        <v>4067.9760000000001</v>
      </c>
      <c r="H40" s="17"/>
      <c r="I40" s="17"/>
      <c r="J40" s="17"/>
      <c r="K40" s="17"/>
      <c r="L40" s="17"/>
      <c r="M40" s="17"/>
      <c r="N40" s="17"/>
      <c r="P40" s="98" t="s">
        <v>77</v>
      </c>
      <c r="Q40" s="13">
        <f>N41/G41-1</f>
        <v>0.96657994049129092</v>
      </c>
    </row>
    <row r="41" spans="2:20" hidden="1" outlineLevel="1">
      <c r="B41" s="98" t="s">
        <v>62</v>
      </c>
      <c r="C41" s="17"/>
      <c r="D41" s="17"/>
      <c r="E41" s="17"/>
      <c r="F41" s="17"/>
      <c r="G41" s="17">
        <f>G40</f>
        <v>4067.9760000000001</v>
      </c>
      <c r="H41" s="17">
        <f>G41*(1+$Q41)</f>
        <v>4480.6104015639057</v>
      </c>
      <c r="I41" s="17">
        <f t="shared" ref="I41:M41" si="2">H41*(1+$Q41)</f>
        <v>4935.1002981833381</v>
      </c>
      <c r="J41" s="17">
        <f t="shared" si="2"/>
        <v>5435.6912943442621</v>
      </c>
      <c r="K41" s="17">
        <f t="shared" si="2"/>
        <v>5987.0596466471952</v>
      </c>
      <c r="L41" s="17">
        <f t="shared" si="2"/>
        <v>6594.3559469256807</v>
      </c>
      <c r="M41" s="17">
        <f t="shared" si="2"/>
        <v>7263.2532363539021</v>
      </c>
      <c r="N41" s="16">
        <v>8000</v>
      </c>
      <c r="P41" s="98" t="s">
        <v>61</v>
      </c>
      <c r="Q41" s="15">
        <f>(N41/G41)^(1/7)-1</f>
        <v>0.10143481710902558</v>
      </c>
    </row>
    <row r="42" spans="2:20" hidden="1" outlineLevel="1">
      <c r="B42" s="204" t="s">
        <v>64</v>
      </c>
      <c r="C42" s="12">
        <f ca="1">OFFSET(Noisey_USA!$C$18,0,(Charts!C$1-1)*4)/1000</f>
        <v>1086.194</v>
      </c>
      <c r="D42" s="12">
        <f ca="1">OFFSET(Noisey_USA!$C$18,0,(Charts!D$1-1)*4)/1000</f>
        <v>1232.461</v>
      </c>
      <c r="E42" s="12">
        <f ca="1">OFFSET(Noisey_USA!$C$18,0,(Charts!E$1-1)*4)/1000</f>
        <v>1418.557</v>
      </c>
      <c r="F42" s="12">
        <f ca="1">OFFSET(Noisey_USA!$C$18,0,(Charts!F$1-1)*4)/1000</f>
        <v>1759.855</v>
      </c>
      <c r="G42" s="12">
        <f ca="1">OFFSET(Noisey_USA!$C$18,0,(Charts!G$1-1)*4)/1000</f>
        <v>1542.048</v>
      </c>
      <c r="H42" s="12"/>
      <c r="I42" s="12"/>
      <c r="J42" s="12"/>
      <c r="K42" s="12"/>
      <c r="L42" s="12"/>
      <c r="M42" s="12"/>
      <c r="N42" s="12"/>
    </row>
    <row r="43" spans="2:20" hidden="1" outlineLevel="1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2:20" hidden="1" outlineLevel="1">
      <c r="B44" s="108" t="s">
        <v>78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2:20" hidden="1" outlineLevel="1">
      <c r="B45" s="133" t="s">
        <v>80</v>
      </c>
      <c r="C45" s="11">
        <f>Noisey_Global!C29/1000</f>
        <v>1599.671</v>
      </c>
      <c r="D45" s="11">
        <f>Noisey_Global!D29/1000</f>
        <v>1771.193</v>
      </c>
      <c r="E45" s="11">
        <f>Noisey_Global!E29/1000</f>
        <v>2169.8029999999999</v>
      </c>
      <c r="F45" s="11">
        <f>Noisey_Global!F29/1000</f>
        <v>2965.6329999999998</v>
      </c>
      <c r="G45" s="11">
        <f>Noisey_Global!G29/1000</f>
        <v>2982.3249999999998</v>
      </c>
      <c r="H45" s="11"/>
      <c r="I45" s="11"/>
      <c r="J45" s="11"/>
      <c r="K45" s="11"/>
      <c r="L45" s="11"/>
      <c r="M45" s="11"/>
      <c r="N45" s="11"/>
    </row>
    <row r="46" spans="2:20" hidden="1" outlineLevel="1">
      <c r="B46" s="133" t="s">
        <v>79</v>
      </c>
      <c r="C46" s="11">
        <f>Noisey_Global!C24/1000</f>
        <v>3690.5529999999999</v>
      </c>
      <c r="D46" s="11">
        <f>Noisey_Global!D24/1000</f>
        <v>3629.3510000000001</v>
      </c>
      <c r="E46" s="11">
        <f>Noisey_Global!E24/1000</f>
        <v>4151.3130000000001</v>
      </c>
      <c r="F46" s="11">
        <f>Noisey_Global!F24/1000</f>
        <v>4450.3440000000001</v>
      </c>
      <c r="G46" s="11">
        <f>Noisey_Global!G24/1000</f>
        <v>5182.5309999999999</v>
      </c>
      <c r="H46" s="11"/>
      <c r="I46" s="11"/>
      <c r="J46" s="11"/>
      <c r="K46" s="11"/>
      <c r="L46" s="11"/>
      <c r="M46" s="11"/>
      <c r="N46" s="11"/>
    </row>
    <row r="47" spans="2:20" hidden="1" outlineLevel="1">
      <c r="B47" s="10" t="s">
        <v>81</v>
      </c>
      <c r="C47" s="8">
        <f>C45/(C45+C46)</f>
        <v>0.30238247000505081</v>
      </c>
      <c r="D47" s="8">
        <f>D45/(D45+D46)</f>
        <v>0.3279656641997547</v>
      </c>
      <c r="E47" s="8">
        <f>E45/(E45+E46)</f>
        <v>0.34326264539362983</v>
      </c>
      <c r="F47" s="8">
        <f>F45/(F45+F46)</f>
        <v>0.39989781521706441</v>
      </c>
      <c r="G47" s="8">
        <f>G45/(G45+G46)</f>
        <v>0.36526363722764982</v>
      </c>
      <c r="H47" s="9"/>
      <c r="I47" s="9"/>
      <c r="J47" s="9"/>
      <c r="K47" s="9"/>
      <c r="L47" s="9"/>
      <c r="M47" s="9"/>
      <c r="N47" s="9"/>
    </row>
    <row r="48" spans="2:20" hidden="1" outlineLevel="1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2:14" hidden="1" outlineLevel="1">
      <c r="B49" s="108" t="s">
        <v>82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2:14" hidden="1" outlineLevel="1">
      <c r="B50" s="98" t="s">
        <v>83</v>
      </c>
      <c r="C50" s="7">
        <f>Noisey_Global!C61/1000000</f>
        <v>11.508243</v>
      </c>
      <c r="D50" s="7">
        <f>Noisey_Global!D61/1000000</f>
        <v>11.810926</v>
      </c>
      <c r="E50" s="7">
        <f>Noisey_Global!E61/1000000</f>
        <v>13.198648</v>
      </c>
      <c r="F50" s="7">
        <f>Noisey_Global!F61/1000000</f>
        <v>10.828919000000001</v>
      </c>
      <c r="G50" s="7">
        <f>Noisey_Global!G61/1000000</f>
        <v>12.164076</v>
      </c>
      <c r="H50" s="17"/>
      <c r="I50" s="17"/>
      <c r="J50" s="17"/>
      <c r="K50" s="17"/>
      <c r="L50" s="17"/>
      <c r="M50" s="17"/>
      <c r="N50" s="17"/>
    </row>
    <row r="51" spans="2:14" hidden="1" outlineLevel="1">
      <c r="B51" s="98" t="s">
        <v>84</v>
      </c>
      <c r="C51" s="7">
        <f>Noisey_Global!C53/1000000</f>
        <v>0.12523500000000001</v>
      </c>
      <c r="D51" s="7">
        <f>Noisey_Global!D53/1000000</f>
        <v>0.22114600000000001</v>
      </c>
      <c r="E51" s="7">
        <f>Noisey_Global!E53/1000000</f>
        <v>0.28223399999999998</v>
      </c>
      <c r="F51" s="7">
        <f>Noisey_Global!F53/1000000</f>
        <v>0.165907</v>
      </c>
      <c r="G51" s="7">
        <f>Noisey_Global!G53/1000000</f>
        <v>0.18630099999999999</v>
      </c>
      <c r="H51" s="17"/>
      <c r="I51" s="17"/>
      <c r="J51" s="17"/>
      <c r="K51" s="17"/>
      <c r="L51" s="17"/>
      <c r="M51" s="17"/>
      <c r="N51" s="17"/>
    </row>
    <row r="52" spans="2:14" hidden="1" outlineLevel="1"/>
    <row r="53" spans="2:14" hidden="1" outlineLevel="1"/>
    <row r="54" spans="2:14" hidden="1" outlineLevel="1"/>
    <row r="55" spans="2:14" hidden="1" outlineLevel="1"/>
    <row r="56" spans="2:14" hidden="1" outlineLevel="1"/>
    <row r="57" spans="2:14" hidden="1" outlineLevel="1"/>
    <row r="58" spans="2:14" hidden="1" outlineLevel="1"/>
    <row r="59" spans="2:14" hidden="1" outlineLevel="1"/>
    <row r="60" spans="2:14" hidden="1" outlineLevel="1"/>
    <row r="61" spans="2:14" hidden="1" outlineLevel="1"/>
    <row r="62" spans="2:14" hidden="1" outlineLevel="1"/>
    <row r="63" spans="2:14" hidden="1" outlineLevel="1"/>
    <row r="64" spans="2:14" hidden="1" outlineLevel="1"/>
    <row r="65" spans="2:20" hidden="1" outlineLevel="1"/>
    <row r="66" spans="2:20" hidden="1" outlineLevel="1"/>
    <row r="67" spans="2:20" hidden="1" outlineLevel="1"/>
    <row r="68" spans="2:20" hidden="1" outlineLevel="1"/>
    <row r="69" spans="2:20" hidden="1" outlineLevel="1"/>
    <row r="70" spans="2:20" collapsed="1"/>
    <row r="71" spans="2:20" ht="15" thickBot="1">
      <c r="B71" s="3" t="s">
        <v>93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2:20" outlineLevel="1"/>
    <row r="73" spans="2:20" outlineLevel="1">
      <c r="B73" s="108" t="s">
        <v>60</v>
      </c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</row>
    <row r="74" spans="2:20" outlineLevel="1">
      <c r="B74" s="98" t="s">
        <v>63</v>
      </c>
      <c r="C74" s="17">
        <f>Motherboard_Global!C17/1000</f>
        <v>2989.3470000000002</v>
      </c>
      <c r="D74" s="17">
        <f>Motherboard_Global!D17/1000</f>
        <v>2333.9</v>
      </c>
      <c r="E74" s="17">
        <f>Motherboard_Global!E17/1000</f>
        <v>2445.058</v>
      </c>
      <c r="F74" s="17">
        <f>Motherboard_Global!F17/1000</f>
        <v>2369.9520000000002</v>
      </c>
      <c r="G74" s="17">
        <f>Motherboard_Global!G17/1000</f>
        <v>2740.4690000000001</v>
      </c>
      <c r="H74" s="17"/>
      <c r="I74" s="17"/>
      <c r="J74" s="17"/>
      <c r="K74" s="17"/>
      <c r="L74" s="17"/>
      <c r="M74" s="17"/>
      <c r="N74" s="17"/>
      <c r="P74" s="98" t="s">
        <v>77</v>
      </c>
      <c r="Q74" s="13">
        <f>N75/G75-1</f>
        <v>1.9192083544823895</v>
      </c>
    </row>
    <row r="75" spans="2:20" outlineLevel="1">
      <c r="B75" s="98" t="s">
        <v>62</v>
      </c>
      <c r="C75" s="17"/>
      <c r="D75" s="17"/>
      <c r="E75" s="17"/>
      <c r="F75" s="17"/>
      <c r="G75" s="17">
        <f>G74</f>
        <v>2740.4690000000001</v>
      </c>
      <c r="H75" s="17">
        <f>G75*(1+$Q75)</f>
        <v>3193.6795369362608</v>
      </c>
      <c r="I75" s="17">
        <f t="shared" ref="I75:M75" si="3">H75*(1+$Q75)</f>
        <v>3721.840672032929</v>
      </c>
      <c r="J75" s="17">
        <f t="shared" si="3"/>
        <v>4337.347510228602</v>
      </c>
      <c r="K75" s="17">
        <f t="shared" si="3"/>
        <v>5054.6450217092488</v>
      </c>
      <c r="L75" s="17">
        <f t="shared" si="3"/>
        <v>5890.56704246958</v>
      </c>
      <c r="M75" s="17">
        <f t="shared" si="3"/>
        <v>6864.7313377696464</v>
      </c>
      <c r="N75" s="16">
        <v>8000</v>
      </c>
      <c r="P75" s="98" t="s">
        <v>61</v>
      </c>
      <c r="Q75" s="15">
        <f>(N75/G75)^(1/7)-1</f>
        <v>0.16537699822047269</v>
      </c>
    </row>
    <row r="76" spans="2:20" outlineLevel="1">
      <c r="B76" s="204" t="s">
        <v>64</v>
      </c>
      <c r="C76" s="12">
        <f ca="1">OFFSET(Motherboard_USA!$C$18,0,(Charts!C$1-1)*4)/1000</f>
        <v>1649.346</v>
      </c>
      <c r="D76" s="12">
        <f ca="1">OFFSET(Motherboard_USA!$C$18,0,(Charts!D$1-1)*4)/1000</f>
        <v>1311.356</v>
      </c>
      <c r="E76" s="12">
        <f ca="1">OFFSET(Motherboard_USA!$C$18,0,(Charts!E$1-1)*4)/1000</f>
        <v>1324.866</v>
      </c>
      <c r="F76" s="12">
        <f ca="1">OFFSET(Motherboard_USA!$C$18,0,(Charts!F$1-1)*4)/1000</f>
        <v>1267.183</v>
      </c>
      <c r="G76" s="12">
        <f ca="1">OFFSET(Motherboard_USA!$C$18,0,(Charts!G$1-1)*4)/1000</f>
        <v>1327.462</v>
      </c>
      <c r="H76" s="12"/>
      <c r="I76" s="12"/>
      <c r="J76" s="12"/>
      <c r="K76" s="12"/>
      <c r="L76" s="12"/>
      <c r="M76" s="12"/>
      <c r="N76" s="12"/>
    </row>
    <row r="77" spans="2:20" outlineLevel="1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2:20" outlineLevel="1">
      <c r="B78" s="108" t="s">
        <v>78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2:20" outlineLevel="1">
      <c r="B79" s="133" t="s">
        <v>80</v>
      </c>
      <c r="C79" s="11">
        <f>Motherboard_Global!C29/1000</f>
        <v>1442.86</v>
      </c>
      <c r="D79" s="11">
        <f>Motherboard_Global!D29/1000</f>
        <v>1112.865</v>
      </c>
      <c r="E79" s="11">
        <f>Motherboard_Global!E29/1000</f>
        <v>1189.9749999999999</v>
      </c>
      <c r="F79" s="11">
        <f>Motherboard_Global!F29/1000</f>
        <v>1233.095</v>
      </c>
      <c r="G79" s="11">
        <f>Motherboard_Global!G29/1000</f>
        <v>1431.01</v>
      </c>
      <c r="H79" s="11"/>
      <c r="I79" s="11"/>
      <c r="J79" s="11"/>
      <c r="K79" s="11"/>
      <c r="L79" s="11"/>
      <c r="M79" s="11"/>
      <c r="N79" s="11"/>
    </row>
    <row r="80" spans="2:20" outlineLevel="1">
      <c r="B80" s="133" t="s">
        <v>79</v>
      </c>
      <c r="C80" s="11">
        <f>Motherboard_Global!C24/1000</f>
        <v>3887.0039999999999</v>
      </c>
      <c r="D80" s="11">
        <f>Motherboard_Global!D24/1000</f>
        <v>2987.3620000000001</v>
      </c>
      <c r="E80" s="11">
        <f>Motherboard_Global!E24/1000</f>
        <v>3237.83</v>
      </c>
      <c r="F80" s="11">
        <f>Motherboard_Global!F24/1000</f>
        <v>3098.5770000000002</v>
      </c>
      <c r="G80" s="11">
        <f>Motherboard_Global!G24/1000</f>
        <v>3451.5859999999998</v>
      </c>
      <c r="H80" s="11"/>
      <c r="I80" s="11"/>
      <c r="J80" s="11"/>
      <c r="K80" s="11"/>
      <c r="L80" s="11"/>
      <c r="M80" s="11"/>
      <c r="N80" s="11"/>
    </row>
    <row r="81" spans="2:14" outlineLevel="1">
      <c r="B81" s="10" t="s">
        <v>81</v>
      </c>
      <c r="C81" s="8">
        <f>C79/(C79+C80)</f>
        <v>0.27071234838262292</v>
      </c>
      <c r="D81" s="8">
        <f>D79/(D79+D80)</f>
        <v>0.2714154606562027</v>
      </c>
      <c r="E81" s="8">
        <f>E79/(E79+E80)</f>
        <v>0.2687505434408245</v>
      </c>
      <c r="F81" s="8">
        <f>F79/(F79+F80)</f>
        <v>0.28466952253079181</v>
      </c>
      <c r="G81" s="8">
        <f>G79/(G79+G80)</f>
        <v>0.29308384310313612</v>
      </c>
      <c r="H81" s="9"/>
      <c r="I81" s="9"/>
      <c r="J81" s="9"/>
      <c r="K81" s="9"/>
      <c r="L81" s="9"/>
      <c r="M81" s="9"/>
      <c r="N81" s="9"/>
    </row>
    <row r="82" spans="2:14" outlineLevel="1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2:14" outlineLevel="1">
      <c r="B83" s="108" t="s">
        <v>82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2:14" outlineLevel="1">
      <c r="B84" s="98" t="s">
        <v>83</v>
      </c>
      <c r="C84" s="7">
        <f>Motherboard_Global!C62/100000</f>
        <v>14.84496</v>
      </c>
      <c r="D84" s="7">
        <f>Motherboard_Global!D62/100000</f>
        <v>11.59568</v>
      </c>
      <c r="E84" s="7">
        <f>Motherboard_Global!E62/100000</f>
        <v>15.88223</v>
      </c>
      <c r="F84" s="7">
        <f>Motherboard_Global!F62/100000</f>
        <v>12.330859999999999</v>
      </c>
      <c r="G84" s="7">
        <f>Motherboard_Global!G62/100000</f>
        <v>16.866199999999999</v>
      </c>
      <c r="H84" s="17"/>
      <c r="I84" s="17"/>
      <c r="J84" s="17"/>
      <c r="K84" s="17"/>
      <c r="L84" s="17"/>
      <c r="M84" s="17"/>
      <c r="N84" s="17"/>
    </row>
    <row r="85" spans="2:14" outlineLevel="1">
      <c r="B85" s="98" t="s">
        <v>84</v>
      </c>
      <c r="C85" s="7">
        <f>Motherboard_Global!C54/1000000</f>
        <v>1.9103999999999999E-2</v>
      </c>
      <c r="D85" s="7">
        <f>Motherboard_Global!D54/1000000</f>
        <v>1.1030999999999999E-2</v>
      </c>
      <c r="E85" s="7">
        <f>Motherboard_Global!E54/1000000</f>
        <v>6.4869999999999997E-3</v>
      </c>
      <c r="F85" s="7">
        <f>Motherboard_Global!F54/1000000</f>
        <v>9.0119999999999992E-3</v>
      </c>
      <c r="G85" s="7">
        <f>Motherboard_Global!G54/1000000</f>
        <v>1.4648E-2</v>
      </c>
      <c r="H85" s="17"/>
      <c r="I85" s="17"/>
      <c r="J85" s="17"/>
      <c r="K85" s="17"/>
      <c r="L85" s="17"/>
      <c r="M85" s="17"/>
      <c r="N85" s="17"/>
    </row>
    <row r="86" spans="2:14" outlineLevel="1"/>
    <row r="87" spans="2:14" outlineLevel="1"/>
    <row r="88" spans="2:14" outlineLevel="1"/>
    <row r="89" spans="2:14" outlineLevel="1"/>
    <row r="90" spans="2:14" outlineLevel="1"/>
    <row r="91" spans="2:14" outlineLevel="1"/>
    <row r="92" spans="2:14" outlineLevel="1"/>
    <row r="93" spans="2:14" outlineLevel="1"/>
    <row r="94" spans="2:14" outlineLevel="1"/>
    <row r="95" spans="2:14" outlineLevel="1"/>
    <row r="96" spans="2:14" outlineLevel="1"/>
    <row r="97" spans="2:20" outlineLevel="1"/>
    <row r="98" spans="2:20" outlineLevel="1"/>
    <row r="99" spans="2:20" outlineLevel="1"/>
    <row r="100" spans="2:20" outlineLevel="1"/>
    <row r="101" spans="2:20" outlineLevel="1"/>
    <row r="102" spans="2:20" outlineLevel="1"/>
    <row r="103" spans="2:20" outlineLevel="1"/>
    <row r="105" spans="2:20" ht="15" thickBot="1">
      <c r="B105" s="3" t="s">
        <v>94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7" spans="2:20">
      <c r="B107" s="108" t="s">
        <v>60</v>
      </c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</row>
    <row r="108" spans="2:20">
      <c r="B108" s="98" t="s">
        <v>63</v>
      </c>
      <c r="C108" s="17">
        <f>News_Global!C17/1000</f>
        <v>0</v>
      </c>
      <c r="D108" s="17">
        <f>News_Global!D17/1000</f>
        <v>0</v>
      </c>
      <c r="E108" s="17">
        <f>News_Global!E17/1000</f>
        <v>918.51400000000001</v>
      </c>
      <c r="F108" s="17">
        <f>News_Global!F17/1000</f>
        <v>2460.723</v>
      </c>
      <c r="G108" s="17">
        <f>News_Global!G17/1000</f>
        <v>2539.2820000000002</v>
      </c>
      <c r="H108" s="17"/>
      <c r="I108" s="17"/>
      <c r="J108" s="17"/>
      <c r="K108" s="17"/>
      <c r="L108" s="17"/>
      <c r="M108" s="17"/>
      <c r="N108" s="17"/>
      <c r="P108" s="98" t="s">
        <v>77</v>
      </c>
      <c r="Q108" s="13">
        <f>N109/G109-1</f>
        <v>4.9071816363838279</v>
      </c>
    </row>
    <row r="109" spans="2:20">
      <c r="B109" s="98" t="s">
        <v>62</v>
      </c>
      <c r="C109" s="17"/>
      <c r="D109" s="17"/>
      <c r="E109" s="17"/>
      <c r="F109" s="17"/>
      <c r="G109" s="17">
        <f>G108</f>
        <v>2539.2820000000002</v>
      </c>
      <c r="H109" s="17">
        <f>G109*(1+$Q109)</f>
        <v>3272.7145207686513</v>
      </c>
      <c r="I109" s="17">
        <f t="shared" ref="I109:M109" si="4">H109*(1+$Q109)</f>
        <v>4217.9877360805067</v>
      </c>
      <c r="J109" s="17">
        <f t="shared" si="4"/>
        <v>5436.2885698771397</v>
      </c>
      <c r="K109" s="17">
        <f t="shared" si="4"/>
        <v>7006.4768472842161</v>
      </c>
      <c r="L109" s="17">
        <f t="shared" si="4"/>
        <v>9030.1898400951177</v>
      </c>
      <c r="M109" s="17">
        <f t="shared" si="4"/>
        <v>11638.42118164774</v>
      </c>
      <c r="N109" s="16">
        <v>15000</v>
      </c>
      <c r="P109" s="98" t="s">
        <v>61</v>
      </c>
      <c r="Q109" s="15">
        <f>(N109/G109)^(1/7)-1</f>
        <v>0.28883460788075177</v>
      </c>
    </row>
    <row r="110" spans="2:20">
      <c r="B110" s="204" t="s">
        <v>64</v>
      </c>
      <c r="C110" s="12">
        <f ca="1">OFFSET(News_USA!$C$18,0,(Charts!C$1-1)*4)/1000</f>
        <v>0</v>
      </c>
      <c r="D110" s="12">
        <f ca="1">OFFSET(News_USA!$C$18,0,(Charts!D$1-1)*4)/1000</f>
        <v>0</v>
      </c>
      <c r="E110" s="12">
        <f ca="1">OFFSET(News_USA!$C$18,0,(Charts!E$1-1)*4)/1000</f>
        <v>482.28899999999999</v>
      </c>
      <c r="F110" s="12">
        <f ca="1">OFFSET(News_USA!$C$18,0,(Charts!F$1-1)*4)/1000</f>
        <v>1364.6110000000001</v>
      </c>
      <c r="G110" s="12">
        <f ca="1">OFFSET(News_USA!$C$18,0,(Charts!G$1-1)*4)/1000</f>
        <v>1387.345</v>
      </c>
      <c r="H110" s="12"/>
      <c r="I110" s="12"/>
      <c r="J110" s="12"/>
      <c r="K110" s="12"/>
      <c r="L110" s="12"/>
      <c r="M110" s="12"/>
      <c r="N110" s="12"/>
    </row>
    <row r="111" spans="2:20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2:20">
      <c r="B112" s="108" t="s">
        <v>78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2:14">
      <c r="B113" s="133" t="s">
        <v>80</v>
      </c>
      <c r="C113" s="11">
        <f>News_Global!C29/1000</f>
        <v>0</v>
      </c>
      <c r="D113" s="11">
        <f>News_Global!D29/1000</f>
        <v>0</v>
      </c>
      <c r="E113" s="11">
        <f>News_Global!E29/1000</f>
        <v>674.91099999999994</v>
      </c>
      <c r="F113" s="11">
        <f>News_Global!F29/1000</f>
        <v>2018.58</v>
      </c>
      <c r="G113" s="11">
        <f>News_Global!G29/1000</f>
        <v>2070.4670000000001</v>
      </c>
      <c r="H113" s="11"/>
      <c r="I113" s="11"/>
      <c r="J113" s="11"/>
      <c r="K113" s="11"/>
      <c r="L113" s="11"/>
      <c r="M113" s="11"/>
      <c r="N113" s="11"/>
    </row>
    <row r="114" spans="2:14">
      <c r="B114" s="133" t="s">
        <v>79</v>
      </c>
      <c r="C114" s="11">
        <f>News_Global!C24/1000</f>
        <v>0</v>
      </c>
      <c r="D114" s="11">
        <f>News_Global!D24/1000</f>
        <v>0</v>
      </c>
      <c r="E114" s="11">
        <f>News_Global!E24/1000</f>
        <v>1698.338</v>
      </c>
      <c r="F114" s="11">
        <f>News_Global!F24/1000</f>
        <v>3426.9430000000002</v>
      </c>
      <c r="G114" s="11">
        <f>News_Global!G24/1000</f>
        <v>3804.0529999999999</v>
      </c>
      <c r="H114" s="11"/>
      <c r="I114" s="11"/>
      <c r="J114" s="11"/>
      <c r="K114" s="11"/>
      <c r="L114" s="11"/>
      <c r="M114" s="11"/>
      <c r="N114" s="11"/>
    </row>
    <row r="115" spans="2:14">
      <c r="B115" s="10" t="s">
        <v>81</v>
      </c>
      <c r="C115" s="8" t="e">
        <f>C113/(C113+C114)</f>
        <v>#DIV/0!</v>
      </c>
      <c r="D115" s="8" t="e">
        <f>D113/(D113+D114)</f>
        <v>#DIV/0!</v>
      </c>
      <c r="E115" s="8">
        <f>E113/(E113+E114)</f>
        <v>0.28438271753195726</v>
      </c>
      <c r="F115" s="8">
        <f>F113/(F113+F114)</f>
        <v>0.37068615815230233</v>
      </c>
      <c r="G115" s="8">
        <f>G113/(G113+G114)</f>
        <v>0.35244871070317235</v>
      </c>
      <c r="H115" s="9"/>
      <c r="I115" s="9"/>
      <c r="J115" s="9"/>
      <c r="K115" s="9"/>
      <c r="L115" s="9"/>
      <c r="M115" s="9"/>
      <c r="N115" s="9"/>
    </row>
    <row r="116" spans="2:14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2:14">
      <c r="B117" s="108" t="s">
        <v>82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2:14">
      <c r="B118" s="98" t="s">
        <v>83</v>
      </c>
      <c r="C118" s="7">
        <f>News_Global!C61/1000000</f>
        <v>0</v>
      </c>
      <c r="D118" s="7">
        <f>News_Global!D61/1000000</f>
        <v>0</v>
      </c>
      <c r="E118" s="7">
        <f>News_Global!E61/1000000</f>
        <v>10.741960000000001</v>
      </c>
      <c r="F118" s="7">
        <f>News_Global!F61/1000000</f>
        <v>12.262732</v>
      </c>
      <c r="G118" s="7">
        <f>News_Global!G61/1000000</f>
        <v>14.235545</v>
      </c>
      <c r="H118" s="17"/>
      <c r="I118" s="17"/>
      <c r="J118" s="17"/>
      <c r="K118" s="17"/>
      <c r="L118" s="17"/>
      <c r="M118" s="17"/>
      <c r="N118" s="17"/>
    </row>
    <row r="119" spans="2:14">
      <c r="B119" s="98" t="s">
        <v>84</v>
      </c>
      <c r="C119" s="7">
        <f>News_Global!C53/1000000</f>
        <v>0</v>
      </c>
      <c r="D119" s="7">
        <f>News_Global!D53/1000000</f>
        <v>0</v>
      </c>
      <c r="E119" s="7">
        <f>News_Global!E53/1000000</f>
        <v>0</v>
      </c>
      <c r="F119" s="7">
        <f>News_Global!F53/1000000</f>
        <v>0</v>
      </c>
      <c r="G119" s="7">
        <f>News_Global!G53/1000000</f>
        <v>0</v>
      </c>
      <c r="H119" s="17"/>
      <c r="I119" s="17"/>
      <c r="J119" s="17"/>
      <c r="K119" s="17"/>
      <c r="L119" s="17"/>
      <c r="M119" s="17"/>
      <c r="N119" s="17"/>
    </row>
    <row r="139" spans="2:20" ht="15" thickBot="1">
      <c r="B139" s="3" t="s">
        <v>95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1" spans="2:20">
      <c r="B141" s="108" t="s">
        <v>60</v>
      </c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</row>
    <row r="142" spans="2:20">
      <c r="B142" s="98" t="s">
        <v>63</v>
      </c>
      <c r="C142" s="17">
        <f>Munchies_Global!C17/1000</f>
        <v>0</v>
      </c>
      <c r="D142" s="17">
        <f>Munchies_Global!D17/1000</f>
        <v>0</v>
      </c>
      <c r="E142" s="17">
        <f>Munchies_Global!E17/1000</f>
        <v>0</v>
      </c>
      <c r="F142" s="17">
        <f>Munchies_Global!F17/1000</f>
        <v>665.14200000000005</v>
      </c>
      <c r="G142" s="17">
        <f>Munchies_Global!G17/1000</f>
        <v>654.02800000000002</v>
      </c>
      <c r="H142" s="17"/>
      <c r="I142" s="17"/>
      <c r="J142" s="17"/>
      <c r="K142" s="17"/>
      <c r="L142" s="17"/>
      <c r="M142" s="17"/>
      <c r="N142" s="17"/>
      <c r="P142" s="98" t="s">
        <v>77</v>
      </c>
      <c r="Q142" s="13">
        <f>N143/G143-1</f>
        <v>8.1739191594243668</v>
      </c>
    </row>
    <row r="143" spans="2:20">
      <c r="B143" s="98" t="s">
        <v>62</v>
      </c>
      <c r="C143" s="17"/>
      <c r="D143" s="17"/>
      <c r="E143" s="17"/>
      <c r="F143" s="17"/>
      <c r="G143" s="17">
        <f>G142</f>
        <v>654.02800000000002</v>
      </c>
      <c r="H143" s="17">
        <f>G143*(1+$Q143)</f>
        <v>897.64411027743631</v>
      </c>
      <c r="I143" s="17">
        <f t="shared" ref="I143:M143" si="5">H143*(1+$Q143)</f>
        <v>1232.0037501693662</v>
      </c>
      <c r="J143" s="17">
        <f t="shared" si="5"/>
        <v>1690.9075913863712</v>
      </c>
      <c r="K143" s="17">
        <f t="shared" si="5"/>
        <v>2320.7465742007712</v>
      </c>
      <c r="L143" s="17">
        <f t="shared" si="5"/>
        <v>3185.1916030779407</v>
      </c>
      <c r="M143" s="17">
        <f t="shared" si="5"/>
        <v>4371.6300871033945</v>
      </c>
      <c r="N143" s="16">
        <v>6000</v>
      </c>
      <c r="P143" s="98" t="s">
        <v>61</v>
      </c>
      <c r="Q143" s="15">
        <f>(N143/G143)^(1/7)-1</f>
        <v>0.37248575026976871</v>
      </c>
    </row>
    <row r="144" spans="2:20">
      <c r="B144" s="204" t="s">
        <v>64</v>
      </c>
      <c r="C144" s="12">
        <f ca="1">OFFSET(Munchies_USA!$C$18,0,(Charts!C$1-1)*4)/1000</f>
        <v>0</v>
      </c>
      <c r="D144" s="12">
        <f ca="1">OFFSET(Munchies_USA!$C$18,0,(Charts!D$1-1)*4)/1000</f>
        <v>0</v>
      </c>
      <c r="E144" s="12">
        <f ca="1">OFFSET(Munchies_USA!$C$18,0,(Charts!E$1-1)*4)/1000</f>
        <v>0</v>
      </c>
      <c r="F144" s="12">
        <f ca="1">OFFSET(Munchies_USA!$C$18,0,(Charts!F$1-1)*4)/1000</f>
        <v>445.64100000000002</v>
      </c>
      <c r="G144" s="12">
        <f ca="1">OFFSET(Munchies_USA!$C$18,0,(Charts!G$1-1)*4)/1000</f>
        <v>388.64299999999997</v>
      </c>
      <c r="H144" s="12"/>
      <c r="I144" s="12"/>
      <c r="J144" s="12"/>
      <c r="K144" s="12"/>
      <c r="L144" s="12"/>
      <c r="M144" s="12"/>
      <c r="N144" s="12"/>
    </row>
    <row r="145" spans="2:14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2:14">
      <c r="B146" s="108" t="s">
        <v>78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2:14">
      <c r="B147" s="133" t="s">
        <v>80</v>
      </c>
      <c r="C147" s="11">
        <f>Munchies_Global!C28/1000</f>
        <v>0</v>
      </c>
      <c r="D147" s="11">
        <f>Munchies_Global!D28/1000</f>
        <v>0</v>
      </c>
      <c r="E147" s="11">
        <f>Munchies_Global!E28/1000</f>
        <v>0</v>
      </c>
      <c r="F147" s="11">
        <f>Munchies_Global!F28/1000</f>
        <v>378.87900000000002</v>
      </c>
      <c r="G147" s="11">
        <f>Munchies_Global!G28/1000</f>
        <v>349.75299999999999</v>
      </c>
      <c r="H147" s="11"/>
      <c r="I147" s="11"/>
      <c r="J147" s="11"/>
      <c r="K147" s="11"/>
      <c r="L147" s="11"/>
      <c r="M147" s="11"/>
      <c r="N147" s="11"/>
    </row>
    <row r="148" spans="2:14">
      <c r="B148" s="133" t="s">
        <v>79</v>
      </c>
      <c r="C148" s="11">
        <f>Munchies_Global!C28/1000</f>
        <v>0</v>
      </c>
      <c r="D148" s="11">
        <f>Munchies_Global!D28/1000</f>
        <v>0</v>
      </c>
      <c r="E148" s="11">
        <f>Munchies_Global!E28/1000</f>
        <v>0</v>
      </c>
      <c r="F148" s="11">
        <f>Munchies_Global!F28/1000</f>
        <v>378.87900000000002</v>
      </c>
      <c r="G148" s="11">
        <f>Munchies_Global!G28/1000</f>
        <v>349.75299999999999</v>
      </c>
      <c r="H148" s="11"/>
      <c r="I148" s="11"/>
      <c r="J148" s="11"/>
      <c r="K148" s="11"/>
      <c r="L148" s="11"/>
      <c r="M148" s="11"/>
      <c r="N148" s="11"/>
    </row>
    <row r="149" spans="2:14">
      <c r="B149" s="10" t="s">
        <v>81</v>
      </c>
      <c r="C149" s="8" t="e">
        <f>C147/(C147+C148)</f>
        <v>#DIV/0!</v>
      </c>
      <c r="D149" s="8" t="e">
        <f>D147/(D147+D148)</f>
        <v>#DIV/0!</v>
      </c>
      <c r="E149" s="8" t="e">
        <f>E147/(E147+E148)</f>
        <v>#DIV/0!</v>
      </c>
      <c r="F149" s="8">
        <f>F147/(F147+F148)</f>
        <v>0.5</v>
      </c>
      <c r="G149" s="8">
        <f>G147/(G147+G148)</f>
        <v>0.5</v>
      </c>
      <c r="H149" s="9"/>
      <c r="I149" s="9"/>
      <c r="J149" s="9"/>
      <c r="K149" s="9"/>
      <c r="L149" s="9"/>
      <c r="M149" s="9"/>
      <c r="N149" s="9"/>
    </row>
    <row r="150" spans="2:14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2:14">
      <c r="B151" s="108" t="s">
        <v>82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2:14">
      <c r="B152" s="98" t="s">
        <v>83</v>
      </c>
      <c r="C152" s="7">
        <f>Munchies_Global!C61/1000000</f>
        <v>0</v>
      </c>
      <c r="D152" s="7">
        <f>Munchies_Global!D61/1000000</f>
        <v>0</v>
      </c>
      <c r="E152" s="7">
        <f>Munchies_Global!E61/1000000</f>
        <v>0</v>
      </c>
      <c r="F152" s="7">
        <f>Munchies_Global!F61/1000000</f>
        <v>0.42941099999999999</v>
      </c>
      <c r="G152" s="7">
        <f>Munchies_Global!G61/1000000</f>
        <v>2.135065</v>
      </c>
      <c r="H152" s="17"/>
      <c r="I152" s="17"/>
      <c r="J152" s="17"/>
      <c r="K152" s="17"/>
      <c r="L152" s="17"/>
      <c r="M152" s="17"/>
      <c r="N152" s="17"/>
    </row>
    <row r="153" spans="2:14">
      <c r="B153" s="98" t="s">
        <v>84</v>
      </c>
      <c r="C153" s="7">
        <f>News_Global!C87/1000000</f>
        <v>0</v>
      </c>
      <c r="D153" s="7">
        <f>News_Global!D87/1000000</f>
        <v>0</v>
      </c>
      <c r="E153" s="7">
        <f>News_Global!E87/1000000</f>
        <v>0</v>
      </c>
      <c r="F153" s="7">
        <f>News_Global!F87/1000000</f>
        <v>0</v>
      </c>
      <c r="G153" s="7">
        <f>News_Global!G87/1000000</f>
        <v>0</v>
      </c>
      <c r="H153" s="17"/>
      <c r="I153" s="17"/>
      <c r="J153" s="17"/>
      <c r="K153" s="17"/>
      <c r="L153" s="17"/>
      <c r="M153" s="17"/>
      <c r="N153" s="17"/>
    </row>
    <row r="174" spans="2:20" ht="15" thickBot="1">
      <c r="B174" s="3" t="s">
        <v>96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6" spans="2:20">
      <c r="B176" s="108" t="s">
        <v>60</v>
      </c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</row>
    <row r="177" spans="2:17">
      <c r="B177" s="98" t="s">
        <v>63</v>
      </c>
      <c r="C177" s="17">
        <f>Thump_Global!C17/1000</f>
        <v>370.50799999999998</v>
      </c>
      <c r="D177" s="17">
        <f>Thump_Global!D17/1000</f>
        <v>373.28899999999999</v>
      </c>
      <c r="E177" s="17">
        <f>Thump_Global!E17/1000</f>
        <v>487.68700000000001</v>
      </c>
      <c r="F177" s="17">
        <f>Thump_Global!F17/1000</f>
        <v>666.84199999999998</v>
      </c>
      <c r="G177" s="17">
        <f>Thump_Global!G17/1000</f>
        <v>923.99300000000005</v>
      </c>
      <c r="H177" s="17"/>
      <c r="I177" s="17"/>
      <c r="J177" s="17"/>
      <c r="K177" s="17"/>
      <c r="L177" s="17"/>
      <c r="M177" s="17"/>
      <c r="N177" s="17"/>
      <c r="P177" s="98" t="s">
        <v>77</v>
      </c>
      <c r="Q177" s="13">
        <f>N178/G178-1</f>
        <v>2.2467778435550918</v>
      </c>
    </row>
    <row r="178" spans="2:17">
      <c r="B178" s="98" t="s">
        <v>62</v>
      </c>
      <c r="C178" s="17"/>
      <c r="D178" s="17"/>
      <c r="E178" s="17"/>
      <c r="F178" s="17"/>
      <c r="G178" s="17">
        <f>G177</f>
        <v>923.99300000000005</v>
      </c>
      <c r="H178" s="17">
        <f>G178*(1+$Q178)</f>
        <v>1093.284861288987</v>
      </c>
      <c r="I178" s="17">
        <f t="shared" ref="I178:M178" si="6">H178*(1+$Q178)</f>
        <v>1293.5939860190279</v>
      </c>
      <c r="J178" s="17">
        <f t="shared" si="6"/>
        <v>1530.603285489263</v>
      </c>
      <c r="K178" s="17">
        <f t="shared" si="6"/>
        <v>1811.0368808687908</v>
      </c>
      <c r="L178" s="17">
        <f t="shared" si="6"/>
        <v>2142.8508712618773</v>
      </c>
      <c r="M178" s="17">
        <f t="shared" si="6"/>
        <v>2535.4590538570383</v>
      </c>
      <c r="N178" s="16">
        <v>3000</v>
      </c>
      <c r="P178" s="98" t="s">
        <v>61</v>
      </c>
      <c r="Q178" s="15">
        <f>(N178/G178)^(1/7)-1</f>
        <v>0.183217688109095</v>
      </c>
    </row>
    <row r="179" spans="2:17">
      <c r="B179" s="204" t="s">
        <v>64</v>
      </c>
      <c r="C179" s="12">
        <f ca="1">OFFSET(Thump_USA!$C$18,0,(Charts!C$1-1)*4)/1000</f>
        <v>169.22499999999999</v>
      </c>
      <c r="D179" s="12">
        <f ca="1">OFFSET(Thump_USA!$C$18,0,(Charts!D$1-1)*4)/1000</f>
        <v>151.48400000000001</v>
      </c>
      <c r="E179" s="12">
        <f ca="1">OFFSET(Thump_USA!$C$18,0,(Charts!E$1-1)*4)/1000</f>
        <v>177.55</v>
      </c>
      <c r="F179" s="12">
        <f ca="1">OFFSET(Thump_USA!$C$18,0,(Charts!F$1-1)*4)/1000</f>
        <v>227.15100000000001</v>
      </c>
      <c r="G179" s="12">
        <f ca="1">OFFSET(Thump_USA!$C$18,0,(Charts!G$1-1)*4)/1000</f>
        <v>321.01299999999998</v>
      </c>
      <c r="H179" s="12"/>
      <c r="I179" s="12"/>
      <c r="J179" s="12"/>
      <c r="K179" s="12"/>
      <c r="L179" s="12"/>
      <c r="M179" s="12"/>
      <c r="N179" s="12"/>
    </row>
    <row r="180" spans="2:17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spans="2:17">
      <c r="B181" s="108" t="s">
        <v>78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7">
      <c r="B182" s="133" t="s">
        <v>80</v>
      </c>
      <c r="C182" s="11">
        <f>Thump_Global!C29/1000</f>
        <v>192.36099999999999</v>
      </c>
      <c r="D182" s="11">
        <f>Thump_Global!D29/1000</f>
        <v>329.44400000000002</v>
      </c>
      <c r="E182" s="11">
        <f>Thump_Global!E29/1000</f>
        <v>263.59899999999999</v>
      </c>
      <c r="F182" s="11">
        <f>Thump_Global!F29/1000</f>
        <v>420.84500000000003</v>
      </c>
      <c r="G182" s="11">
        <f>Thump_Global!G29/1000</f>
        <v>632.26700000000005</v>
      </c>
      <c r="H182" s="11"/>
      <c r="I182" s="11"/>
      <c r="J182" s="11"/>
      <c r="K182" s="11"/>
      <c r="L182" s="11"/>
      <c r="M182" s="11"/>
      <c r="N182" s="11"/>
    </row>
    <row r="183" spans="2:17">
      <c r="B183" s="133" t="s">
        <v>79</v>
      </c>
      <c r="C183" s="11">
        <f>Thump_Global!C24/1000</f>
        <v>508.22</v>
      </c>
      <c r="D183" s="11">
        <f>Thump_Global!D24/1000</f>
        <v>360.53500000000003</v>
      </c>
      <c r="E183" s="11">
        <f>Thump_Global!E24/1000</f>
        <v>612.90700000000004</v>
      </c>
      <c r="F183" s="11">
        <f>Thump_Global!F24/1000</f>
        <v>787.51400000000001</v>
      </c>
      <c r="G183" s="11">
        <f>Thump_Global!G24/1000</f>
        <v>1043.4880000000001</v>
      </c>
      <c r="H183" s="11"/>
      <c r="I183" s="11"/>
      <c r="J183" s="11"/>
      <c r="K183" s="11"/>
      <c r="L183" s="11"/>
      <c r="M183" s="11"/>
      <c r="N183" s="11"/>
    </row>
    <row r="184" spans="2:17">
      <c r="B184" s="10" t="s">
        <v>81</v>
      </c>
      <c r="C184" s="8">
        <f>C182/(C182+C183)</f>
        <v>0.27457353253942085</v>
      </c>
      <c r="D184" s="8">
        <f>D182/(D182+D183)</f>
        <v>0.47746960414737261</v>
      </c>
      <c r="E184" s="8">
        <f>E182/(E182+E183)</f>
        <v>0.30073838627459476</v>
      </c>
      <c r="F184" s="8">
        <f>F182/(F182+F183)</f>
        <v>0.34827811933374109</v>
      </c>
      <c r="G184" s="8">
        <f>G182/(G182+G183)</f>
        <v>0.37730276800606294</v>
      </c>
      <c r="H184" s="9"/>
      <c r="I184" s="9"/>
      <c r="J184" s="9"/>
      <c r="K184" s="9"/>
      <c r="L184" s="9"/>
      <c r="M184" s="9"/>
      <c r="N184" s="9"/>
    </row>
    <row r="185" spans="2:17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spans="2:17">
      <c r="B186" s="108" t="s">
        <v>82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7">
      <c r="B187" s="98" t="s">
        <v>83</v>
      </c>
      <c r="C187" s="7">
        <f>Thump_Global!C61/1000000</f>
        <v>4.0666820000000001</v>
      </c>
      <c r="D187" s="7">
        <f>Thump_Global!D61/1000000</f>
        <v>3.8066460000000002</v>
      </c>
      <c r="E187" s="7">
        <f>Thump_Global!E61/1000000</f>
        <v>5.0651869999999999</v>
      </c>
      <c r="F187" s="7">
        <f>Thump_Global!F61/1000000</f>
        <v>5.0228159999999997</v>
      </c>
      <c r="G187" s="7">
        <f>Thump_Global!G61/1000000</f>
        <v>3.5641750000000001</v>
      </c>
      <c r="H187" s="17"/>
      <c r="I187" s="17"/>
      <c r="J187" s="17"/>
      <c r="K187" s="17"/>
      <c r="L187" s="17"/>
      <c r="M187" s="17"/>
      <c r="N187" s="17"/>
    </row>
    <row r="188" spans="2:17">
      <c r="B188" s="98" t="s">
        <v>84</v>
      </c>
      <c r="C188" s="7">
        <f>Thump_Global!C53/1000000</f>
        <v>0</v>
      </c>
      <c r="D188" s="7">
        <f>Thump_Global!D53/1000000</f>
        <v>0</v>
      </c>
      <c r="E188" s="7">
        <f>Thump_Global!E53/1000000</f>
        <v>0</v>
      </c>
      <c r="F188" s="7">
        <f>Thump_Global!F53/1000000</f>
        <v>0</v>
      </c>
      <c r="G188" s="7">
        <f>Thump_Global!G53/1000000</f>
        <v>0</v>
      </c>
      <c r="H188" s="17"/>
      <c r="I188" s="17"/>
      <c r="J188" s="17"/>
      <c r="K188" s="17"/>
      <c r="L188" s="17"/>
      <c r="M188" s="17"/>
      <c r="N188" s="17"/>
    </row>
    <row r="209" spans="2:20" ht="15" thickBot="1">
      <c r="B209" s="3" t="s">
        <v>97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1" spans="2:20">
      <c r="B211" s="108" t="s">
        <v>60</v>
      </c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</row>
    <row r="212" spans="2:20">
      <c r="B212" s="98" t="s">
        <v>63</v>
      </c>
      <c r="C212" s="17">
        <f>Fightland_Global!C17/1000</f>
        <v>157.30600000000001</v>
      </c>
      <c r="D212" s="17">
        <f>Fightland_Global!D17/1000</f>
        <v>187.566</v>
      </c>
      <c r="E212" s="17">
        <f>Fightland_Global!E17/1000</f>
        <v>302.8</v>
      </c>
      <c r="F212" s="17">
        <f>Fightland_Global!F17/1000</f>
        <v>294.62700000000001</v>
      </c>
      <c r="G212" s="17">
        <f>Fightland_Global!G17/1000</f>
        <v>306.49599999999998</v>
      </c>
      <c r="H212" s="17"/>
      <c r="I212" s="17"/>
      <c r="J212" s="17"/>
      <c r="K212" s="17"/>
      <c r="L212" s="17"/>
      <c r="M212" s="17"/>
      <c r="N212" s="17"/>
      <c r="P212" s="98" t="s">
        <v>77</v>
      </c>
      <c r="Q212" s="13">
        <f>N213/G213-1</f>
        <v>3.8940279807893088</v>
      </c>
    </row>
    <row r="213" spans="2:20">
      <c r="B213" s="98" t="s">
        <v>62</v>
      </c>
      <c r="C213" s="17"/>
      <c r="D213" s="17"/>
      <c r="E213" s="17"/>
      <c r="F213" s="17"/>
      <c r="G213" s="17">
        <f>G212</f>
        <v>306.49599999999998</v>
      </c>
      <c r="H213" s="17">
        <f>G213*(1+$Q213)</f>
        <v>384.54625773635831</v>
      </c>
      <c r="I213" s="17">
        <f t="shared" ref="I213:M213" si="7">H213*(1+$Q213)</f>
        <v>482.47228133169017</v>
      </c>
      <c r="J213" s="17">
        <f t="shared" si="7"/>
        <v>605.33550273943183</v>
      </c>
      <c r="K213" s="17">
        <f t="shared" si="7"/>
        <v>759.48626492158326</v>
      </c>
      <c r="L213" s="17">
        <f t="shared" si="7"/>
        <v>952.8920474582352</v>
      </c>
      <c r="M213" s="17">
        <f t="shared" si="7"/>
        <v>1195.5492759344354</v>
      </c>
      <c r="N213" s="16">
        <v>1500</v>
      </c>
      <c r="P213" s="98" t="s">
        <v>61</v>
      </c>
      <c r="Q213" s="15">
        <f>(N213/G213)^(1/7)-1</f>
        <v>0.25465343017970321</v>
      </c>
    </row>
    <row r="214" spans="2:20">
      <c r="B214" s="204" t="s">
        <v>64</v>
      </c>
      <c r="C214" s="12">
        <f ca="1">OFFSET(Fightland_USA!$C$18,0,(Charts!C$1-1)*4)/1000</f>
        <v>81.317999999999998</v>
      </c>
      <c r="D214" s="12">
        <f ca="1">OFFSET(Fightland_USA!$C$18,0,(Charts!D$1-1)*4)/1000</f>
        <v>104.137</v>
      </c>
      <c r="E214" s="12">
        <f ca="1">OFFSET(Fightland_USA!$C$18,0,(Charts!E$1-1)*4)/1000</f>
        <v>169.95400000000001</v>
      </c>
      <c r="F214" s="12">
        <f ca="1">OFFSET(Fightland_USA!$C$18,0,(Charts!F$1-1)*4)/1000</f>
        <v>150.13300000000001</v>
      </c>
      <c r="G214" s="12">
        <f ca="1">OFFSET(Fightland_USA!$C$18,0,(Charts!G$1-1)*4)/1000</f>
        <v>166.096</v>
      </c>
      <c r="H214" s="12"/>
      <c r="I214" s="12"/>
      <c r="J214" s="12"/>
      <c r="K214" s="12"/>
      <c r="L214" s="12"/>
      <c r="M214" s="12"/>
      <c r="N214" s="12"/>
    </row>
    <row r="215" spans="2:20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spans="2:20">
      <c r="B216" s="108" t="s">
        <v>78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2:20">
      <c r="B217" s="133" t="s">
        <v>80</v>
      </c>
      <c r="C217" s="11">
        <f>Fightland_Global!C29/1000</f>
        <v>73.137</v>
      </c>
      <c r="D217" s="11">
        <f>Fightland_Global!D29/1000</f>
        <v>106.92100000000001</v>
      </c>
      <c r="E217" s="11">
        <f>Fightland_Global!E29/1000</f>
        <v>227.28299999999999</v>
      </c>
      <c r="F217" s="11">
        <f>Fightland_Global!F29/1000</f>
        <v>199.81800000000001</v>
      </c>
      <c r="G217" s="11">
        <f>Fightland_Global!G29/1000</f>
        <v>215.95699999999999</v>
      </c>
      <c r="H217" s="11"/>
      <c r="I217" s="11"/>
      <c r="J217" s="11"/>
      <c r="K217" s="11"/>
      <c r="L217" s="11"/>
      <c r="M217" s="11"/>
      <c r="N217" s="11"/>
    </row>
    <row r="218" spans="2:20">
      <c r="B218" s="133" t="s">
        <v>79</v>
      </c>
      <c r="C218" s="11">
        <f>Fightland_Global!C24/1000</f>
        <v>357.79899999999998</v>
      </c>
      <c r="D218" s="11">
        <f>Fightland_Global!D24/1000</f>
        <v>383.68599999999998</v>
      </c>
      <c r="E218" s="11">
        <f>Fightland_Global!E24/1000</f>
        <v>486.83199999999999</v>
      </c>
      <c r="F218" s="11">
        <f>Fightland_Global!F24/1000</f>
        <v>603.13900000000001</v>
      </c>
      <c r="G218" s="11">
        <f>Fightland_Global!G24/1000</f>
        <v>564.81100000000004</v>
      </c>
      <c r="H218" s="11"/>
      <c r="I218" s="11"/>
      <c r="J218" s="11"/>
      <c r="K218" s="11"/>
      <c r="L218" s="11"/>
      <c r="M218" s="11"/>
      <c r="N218" s="11"/>
    </row>
    <row r="219" spans="2:20">
      <c r="B219" s="10" t="s">
        <v>81</v>
      </c>
      <c r="C219" s="8">
        <f>C217/(C217+C218)</f>
        <v>0.16971661685261849</v>
      </c>
      <c r="D219" s="8">
        <f>D217/(D217+D218)</f>
        <v>0.21793614848544765</v>
      </c>
      <c r="E219" s="8">
        <f>E217/(E217+E218)</f>
        <v>0.31827226707183015</v>
      </c>
      <c r="F219" s="8">
        <f>F217/(F217+F218)</f>
        <v>0.24885267828787844</v>
      </c>
      <c r="G219" s="8">
        <f>G217/(G217+G218)</f>
        <v>0.27659560842657482</v>
      </c>
      <c r="H219" s="9"/>
      <c r="I219" s="9"/>
      <c r="J219" s="9"/>
      <c r="K219" s="9"/>
      <c r="L219" s="9"/>
      <c r="M219" s="9"/>
      <c r="N219" s="9"/>
    </row>
    <row r="220" spans="2:20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spans="2:20">
      <c r="B221" s="108" t="s">
        <v>82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2:20">
      <c r="B222" s="98" t="s">
        <v>83</v>
      </c>
      <c r="C222" s="7">
        <f>Fightland_Global!C61</f>
        <v>0</v>
      </c>
      <c r="D222" s="7">
        <f>Fightland_Global!D61</f>
        <v>0</v>
      </c>
      <c r="E222" s="7">
        <f>Fightland_Global!E61</f>
        <v>0</v>
      </c>
      <c r="F222" s="7">
        <f>Fightland_Global!F61</f>
        <v>0</v>
      </c>
      <c r="G222" s="7">
        <f>Fightland_Global!G61</f>
        <v>0</v>
      </c>
      <c r="H222" s="17"/>
      <c r="I222" s="17"/>
      <c r="J222" s="17"/>
      <c r="K222" s="17"/>
      <c r="L222" s="17"/>
      <c r="M222" s="17"/>
      <c r="N222" s="17"/>
    </row>
    <row r="223" spans="2:20">
      <c r="B223" s="98" t="s">
        <v>84</v>
      </c>
      <c r="C223" s="1">
        <f>Fightland_Global!C53/1000000</f>
        <v>5.5388E-2</v>
      </c>
      <c r="D223" s="1">
        <f>Fightland_Global!D53/1000000</f>
        <v>6.4760999999999999E-2</v>
      </c>
      <c r="E223" s="1">
        <f>Fightland_Global!E53/1000000</f>
        <v>7.5176999999999994E-2</v>
      </c>
      <c r="F223" s="1">
        <f>Fightland_Global!F53/1000000</f>
        <v>0.119008</v>
      </c>
      <c r="G223" s="1">
        <f>Fightland_Global!G53/1000000</f>
        <v>9.5964999999999995E-2</v>
      </c>
      <c r="H223" s="17"/>
      <c r="I223" s="17"/>
      <c r="J223" s="17"/>
      <c r="K223" s="17"/>
      <c r="L223" s="17"/>
      <c r="M223" s="17"/>
      <c r="N223" s="17"/>
    </row>
    <row r="244" spans="2:20" ht="15" thickBot="1">
      <c r="B244" s="3" t="s">
        <v>153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6" spans="2:20">
      <c r="B246" s="108" t="s">
        <v>60</v>
      </c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</row>
    <row r="247" spans="2:20">
      <c r="B247" s="98" t="s">
        <v>63</v>
      </c>
      <c r="C247" s="17">
        <f>TCP_Global!C17/1000</f>
        <v>307.30500000000001</v>
      </c>
      <c r="D247" s="17">
        <f>TCP_Global!D17/1000</f>
        <v>430.62</v>
      </c>
      <c r="E247" s="17">
        <f>TCP_Global!E17/1000</f>
        <v>510.94200000000001</v>
      </c>
      <c r="F247" s="17">
        <f>TCP_Global!F17/1000</f>
        <v>628.07100000000003</v>
      </c>
      <c r="G247" s="17">
        <f>TCP_Global!G17/1000</f>
        <v>865.03</v>
      </c>
      <c r="H247" s="17"/>
      <c r="I247" s="17"/>
      <c r="J247" s="17"/>
      <c r="K247" s="17"/>
      <c r="L247" s="17"/>
      <c r="M247" s="17"/>
      <c r="N247" s="17"/>
      <c r="P247" s="98" t="s">
        <v>77</v>
      </c>
      <c r="Q247" s="13">
        <f>N248/G248-1</f>
        <v>0.15602927066113326</v>
      </c>
    </row>
    <row r="248" spans="2:20">
      <c r="B248" s="98" t="s">
        <v>62</v>
      </c>
      <c r="C248" s="17"/>
      <c r="D248" s="17"/>
      <c r="E248" s="17"/>
      <c r="F248" s="17"/>
      <c r="G248" s="17">
        <f>G247</f>
        <v>865.03</v>
      </c>
      <c r="H248" s="17">
        <f>G248*(1+$Q248)</f>
        <v>883.13422685984995</v>
      </c>
      <c r="I248" s="17">
        <f t="shared" ref="I248" si="8">H248*(1+$Q248)</f>
        <v>901.61735737644347</v>
      </c>
      <c r="J248" s="17">
        <f t="shared" ref="J248" si="9">I248*(1+$Q248)</f>
        <v>920.48732163054046</v>
      </c>
      <c r="K248" s="17">
        <f t="shared" ref="K248" si="10">J248*(1+$Q248)</f>
        <v>939.75221567168933</v>
      </c>
      <c r="L248" s="17">
        <f t="shared" ref="L248" si="11">K248*(1+$Q248)</f>
        <v>959.42030499179032</v>
      </c>
      <c r="M248" s="17">
        <f t="shared" ref="M248" si="12">L248*(1+$Q248)</f>
        <v>979.50002807135729</v>
      </c>
      <c r="N248" s="105">
        <v>1000</v>
      </c>
      <c r="P248" s="98" t="s">
        <v>61</v>
      </c>
      <c r="Q248" s="15">
        <f>(N248/G248)^(1/7)-1</f>
        <v>2.0929016172676063E-2</v>
      </c>
    </row>
    <row r="249" spans="2:20">
      <c r="B249" s="204" t="s">
        <v>64</v>
      </c>
      <c r="C249" s="190">
        <f>TCP_USA!C18/1000</f>
        <v>178.50800000000001</v>
      </c>
      <c r="D249" s="190">
        <f>TCP_USA!D18/1000</f>
        <v>239.75200000000001</v>
      </c>
      <c r="E249" s="190">
        <f>TCP_USA!E18/1000</f>
        <v>275.18299999999999</v>
      </c>
      <c r="F249" s="190">
        <f>TCP_USA!F18/1000</f>
        <v>337.96699999999998</v>
      </c>
      <c r="G249" s="190">
        <f>TCP_USA!G18/1000</f>
        <v>393.553</v>
      </c>
      <c r="H249" s="190"/>
      <c r="I249" s="190"/>
      <c r="J249" s="190"/>
      <c r="K249" s="190"/>
      <c r="L249" s="190"/>
      <c r="M249" s="190"/>
      <c r="N249" s="190"/>
    </row>
    <row r="250" spans="2:20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spans="2:20">
      <c r="B251" s="108" t="s">
        <v>78</v>
      </c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</row>
    <row r="252" spans="2:20">
      <c r="B252" s="133" t="s">
        <v>80</v>
      </c>
      <c r="C252" s="187">
        <f>TCP_Global!C29/1000</f>
        <v>93.361999999999995</v>
      </c>
      <c r="D252" s="187">
        <f>TCP_Global!D29/1000</f>
        <v>158.66399999999999</v>
      </c>
      <c r="E252" s="187">
        <f>TCP_Global!E29/1000</f>
        <v>204.501</v>
      </c>
      <c r="F252" s="187">
        <f>TCP_Global!F29/1000</f>
        <v>251.58699999999999</v>
      </c>
      <c r="G252" s="187">
        <f>TCP_Global!G29/1000</f>
        <v>382.50599999999997</v>
      </c>
      <c r="H252" s="187"/>
      <c r="I252" s="187"/>
      <c r="J252" s="187"/>
      <c r="K252" s="187"/>
      <c r="L252" s="187"/>
      <c r="M252" s="187"/>
      <c r="N252" s="187"/>
    </row>
    <row r="253" spans="2:20">
      <c r="B253" s="133" t="s">
        <v>79</v>
      </c>
      <c r="C253" s="187">
        <f>TCP_Global!C24/1000</f>
        <v>553.65499999999997</v>
      </c>
      <c r="D253" s="187">
        <f>TCP_Global!D24/1000</f>
        <v>677.00599999999997</v>
      </c>
      <c r="E253" s="187">
        <f>TCP_Global!E24/1000</f>
        <v>783.322</v>
      </c>
      <c r="F253" s="187">
        <f>TCP_Global!F24/1000</f>
        <v>983.14599999999996</v>
      </c>
      <c r="G253" s="187">
        <f>TCP_Global!G24/1000</f>
        <v>1205.922</v>
      </c>
      <c r="H253" s="187"/>
      <c r="I253" s="187"/>
      <c r="J253" s="187"/>
      <c r="K253" s="187"/>
      <c r="L253" s="187"/>
      <c r="M253" s="187"/>
      <c r="N253" s="187"/>
    </row>
    <row r="254" spans="2:20">
      <c r="B254" s="10" t="s">
        <v>81</v>
      </c>
      <c r="C254" s="8">
        <f>C252/(C252+C253)</f>
        <v>0.14429605404494783</v>
      </c>
      <c r="D254" s="8">
        <f>D252/(D252+D253)</f>
        <v>0.18986442016585495</v>
      </c>
      <c r="E254" s="8">
        <f>E252/(E252+E253)</f>
        <v>0.20702190574627236</v>
      </c>
      <c r="F254" s="8">
        <f>F252/(F252+F253)</f>
        <v>0.20375822141305044</v>
      </c>
      <c r="G254" s="8">
        <f>G252/(G252+G253)</f>
        <v>0.24080789308674991</v>
      </c>
      <c r="H254" s="184"/>
      <c r="I254" s="184"/>
      <c r="J254" s="184"/>
      <c r="K254" s="184"/>
      <c r="L254" s="184"/>
      <c r="M254" s="184"/>
      <c r="N254" s="184"/>
    </row>
    <row r="255" spans="2:20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spans="2:20">
      <c r="B256" s="108" t="s">
        <v>82</v>
      </c>
      <c r="C256" s="190"/>
      <c r="D256" s="190"/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</row>
    <row r="257" spans="2:14">
      <c r="B257" s="98" t="s">
        <v>83</v>
      </c>
      <c r="C257" s="7">
        <f>TCP_Global!C61/1000000</f>
        <v>3.3605670000000001</v>
      </c>
      <c r="D257" s="7">
        <f>TCP_Global!D61/1000000</f>
        <v>2.4198369999999998</v>
      </c>
      <c r="E257" s="7">
        <f>TCP_Global!E61/1000000</f>
        <v>2.6454080000000002</v>
      </c>
      <c r="F257" s="7">
        <f>TCP_Global!F61/1000000</f>
        <v>2.13524</v>
      </c>
      <c r="G257" s="7">
        <f>TCP_Global!G61/1000000</f>
        <v>14.223815999999999</v>
      </c>
      <c r="H257" s="17"/>
      <c r="I257" s="17"/>
      <c r="J257" s="17"/>
      <c r="K257" s="17"/>
      <c r="L257" s="17"/>
      <c r="M257" s="17"/>
      <c r="N257" s="17"/>
    </row>
    <row r="258" spans="2:14">
      <c r="B258" s="98" t="s">
        <v>84</v>
      </c>
      <c r="C258" s="1">
        <f>TCP_Global!C53/1000000</f>
        <v>0</v>
      </c>
      <c r="D258" s="1">
        <f>TCP_Global!D53/1000000</f>
        <v>0</v>
      </c>
      <c r="E258" s="1">
        <f>TCP_Global!E53/1000000</f>
        <v>0</v>
      </c>
      <c r="F258" s="1">
        <f>TCP_Global!F53/1000000</f>
        <v>0</v>
      </c>
      <c r="G258" s="1">
        <f>TCP_Global!G53/1000000</f>
        <v>0</v>
      </c>
      <c r="H258" s="17"/>
      <c r="I258" s="17"/>
      <c r="J258" s="17"/>
      <c r="K258" s="17"/>
      <c r="L258" s="17"/>
      <c r="M258" s="17"/>
      <c r="N258" s="17"/>
    </row>
    <row r="278" spans="2:20" ht="15" thickBot="1">
      <c r="B278" s="3" t="s">
        <v>154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80" spans="2:20">
      <c r="B280" s="108" t="s">
        <v>60</v>
      </c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</row>
    <row r="281" spans="2:20">
      <c r="B281" s="98" t="s">
        <v>63</v>
      </c>
      <c r="C281" s="17">
        <f>iD_Global!C17/1000</f>
        <v>154.15</v>
      </c>
      <c r="D281" s="17">
        <f>iD_Global!D17/1000</f>
        <v>203.249</v>
      </c>
      <c r="E281" s="17">
        <f>iD_Global!E17/1000</f>
        <v>282.26799999999997</v>
      </c>
      <c r="F281" s="17">
        <f>iD_Global!F17/1000</f>
        <v>320.28899999999999</v>
      </c>
      <c r="G281" s="17">
        <f>iD_Global!G17/1000</f>
        <v>250.6</v>
      </c>
      <c r="H281" s="17"/>
      <c r="I281" s="17"/>
      <c r="J281" s="17"/>
      <c r="K281" s="17"/>
      <c r="L281" s="17"/>
      <c r="M281" s="17"/>
      <c r="N281" s="17"/>
      <c r="P281" s="98" t="s">
        <v>77</v>
      </c>
      <c r="Q281" s="13">
        <f>N282/G282-1</f>
        <v>4.9856344772545889</v>
      </c>
    </row>
    <row r="282" spans="2:20">
      <c r="B282" s="98" t="s">
        <v>62</v>
      </c>
      <c r="C282" s="17"/>
      <c r="D282" s="17"/>
      <c r="E282" s="17"/>
      <c r="F282" s="17"/>
      <c r="G282" s="17">
        <f>G281</f>
        <v>250.6</v>
      </c>
      <c r="H282" s="17">
        <f>G282*(1+$Q282)</f>
        <v>323.59127889280865</v>
      </c>
      <c r="I282" s="17">
        <f t="shared" ref="I282" si="13">H282*(1+$Q282)</f>
        <v>417.84244124295077</v>
      </c>
      <c r="J282" s="17">
        <f t="shared" ref="J282" si="14">I282*(1+$Q282)</f>
        <v>539.54576990223336</v>
      </c>
      <c r="K282" s="17">
        <f t="shared" ref="K282" si="15">J282*(1+$Q282)</f>
        <v>696.69714965629987</v>
      </c>
      <c r="L282" s="17">
        <f t="shared" ref="L282" si="16">K282*(1+$Q282)</f>
        <v>899.62139528434386</v>
      </c>
      <c r="M282" s="17">
        <f t="shared" ref="M282" si="17">L282*(1+$Q282)</f>
        <v>1161.6505898619064</v>
      </c>
      <c r="N282" s="105">
        <v>1500</v>
      </c>
      <c r="P282" s="98" t="s">
        <v>61</v>
      </c>
      <c r="Q282" s="15">
        <f>(N282/G282)^(1/7)-1</f>
        <v>0.291266076986467</v>
      </c>
    </row>
    <row r="283" spans="2:20">
      <c r="B283" s="204" t="s">
        <v>64</v>
      </c>
      <c r="C283" s="190">
        <f ca="1">OFFSET(iD_USA!$C$18,0,(Charts!C$1-1)*4)/1000</f>
        <v>32.792000000000002</v>
      </c>
      <c r="D283" s="190">
        <f ca="1">OFFSET(iD_USA!$C$18,0,(Charts!D$1-1)*4)/1000</f>
        <v>44.618000000000002</v>
      </c>
      <c r="E283" s="190">
        <f ca="1">OFFSET(iD_USA!$C$18,0,(Charts!E$1-1)*4)/1000</f>
        <v>43.802</v>
      </c>
      <c r="F283" s="190">
        <f ca="1">OFFSET(iD_USA!$C$18,0,(Charts!F$1-1)*4)/1000</f>
        <v>57.048000000000002</v>
      </c>
      <c r="G283" s="190">
        <f ca="1">OFFSET(iD_USA!$C$18,0,(Charts!G$1-1)*4)/1000</f>
        <v>36.247</v>
      </c>
      <c r="H283" s="190"/>
      <c r="I283" s="190"/>
      <c r="J283" s="190"/>
      <c r="K283" s="190"/>
      <c r="L283" s="190"/>
      <c r="M283" s="190"/>
      <c r="N283" s="190"/>
    </row>
    <row r="284" spans="2:20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spans="2:20">
      <c r="B285" s="108" t="s">
        <v>78</v>
      </c>
      <c r="C285" s="190"/>
      <c r="D285" s="190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</row>
    <row r="286" spans="2:20">
      <c r="B286" s="133" t="s">
        <v>80</v>
      </c>
      <c r="C286" s="187">
        <f>iD_Global!C29/1000</f>
        <v>95.813000000000002</v>
      </c>
      <c r="D286" s="187">
        <f>iD_Global!D29/1000</f>
        <v>120.709</v>
      </c>
      <c r="E286" s="187">
        <f>iD_Global!E29/1000</f>
        <v>172.08</v>
      </c>
      <c r="F286" s="187">
        <f>iD_Global!F29/1000</f>
        <v>213.43799999999999</v>
      </c>
      <c r="G286" s="187">
        <f>iD_Global!G29/1000</f>
        <v>122.229</v>
      </c>
      <c r="H286" s="187"/>
      <c r="I286" s="187"/>
      <c r="J286" s="187"/>
      <c r="K286" s="187"/>
      <c r="L286" s="187"/>
      <c r="M286" s="187"/>
      <c r="N286" s="187"/>
    </row>
    <row r="287" spans="2:20">
      <c r="B287" s="133" t="s">
        <v>79</v>
      </c>
      <c r="C287" s="187">
        <f>iD_Global!C24/1000</f>
        <v>373.84500000000003</v>
      </c>
      <c r="D287" s="187">
        <f>iD_Global!D24/1000</f>
        <v>380.68900000000002</v>
      </c>
      <c r="E287" s="187">
        <f>iD_Global!E24/1000</f>
        <v>485.34300000000002</v>
      </c>
      <c r="F287" s="187">
        <f>iD_Global!F24/1000</f>
        <v>526.91200000000003</v>
      </c>
      <c r="G287" s="187">
        <f>iD_Global!G24/1000</f>
        <v>552.923</v>
      </c>
      <c r="H287" s="187"/>
      <c r="I287" s="187"/>
      <c r="J287" s="187"/>
      <c r="K287" s="187"/>
      <c r="L287" s="187"/>
      <c r="M287" s="187"/>
      <c r="N287" s="187"/>
    </row>
    <row r="288" spans="2:20">
      <c r="B288" s="10" t="s">
        <v>81</v>
      </c>
      <c r="C288" s="8">
        <f>C286/(C286+C287)</f>
        <v>0.20400589365027316</v>
      </c>
      <c r="D288" s="8">
        <f>D286/(D286+D287)</f>
        <v>0.24074487732300487</v>
      </c>
      <c r="E288" s="8">
        <f>E286/(E286+E287)</f>
        <v>0.2617492847071064</v>
      </c>
      <c r="F288" s="8">
        <f>F286/(F286+F287)</f>
        <v>0.28829337475518335</v>
      </c>
      <c r="G288" s="8">
        <f>G286/(G286+G287)</f>
        <v>0.18103923264687061</v>
      </c>
      <c r="H288" s="184"/>
      <c r="I288" s="184"/>
      <c r="J288" s="184"/>
      <c r="K288" s="184"/>
      <c r="L288" s="184"/>
      <c r="M288" s="184"/>
      <c r="N288" s="184"/>
    </row>
    <row r="289" spans="2:14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spans="2:14">
      <c r="B290" s="108" t="s">
        <v>82</v>
      </c>
      <c r="C290" s="190"/>
      <c r="D290" s="190"/>
      <c r="E290" s="190"/>
      <c r="F290" s="190"/>
      <c r="G290" s="190"/>
      <c r="H290" s="190"/>
      <c r="I290" s="190"/>
      <c r="J290" s="190"/>
      <c r="K290" s="190"/>
      <c r="L290" s="190"/>
      <c r="M290" s="190"/>
      <c r="N290" s="190"/>
    </row>
    <row r="291" spans="2:14">
      <c r="B291" s="98" t="s">
        <v>83</v>
      </c>
      <c r="C291" s="7">
        <f>iD_Global!C61/100000</f>
        <v>4.58683</v>
      </c>
      <c r="D291" s="7">
        <f>iD_Global!D61/100000</f>
        <v>3.2967</v>
      </c>
      <c r="E291" s="7">
        <f>iD_Global!E61/100000</f>
        <v>3.4243299999999999</v>
      </c>
      <c r="F291" s="7">
        <f>iD_Global!F61/100000</f>
        <v>21.129470000000001</v>
      </c>
      <c r="G291" s="7">
        <f>iD_Global!G61/100000</f>
        <v>6.7647199999999996</v>
      </c>
      <c r="H291" s="17"/>
      <c r="I291" s="17"/>
      <c r="J291" s="17"/>
      <c r="K291" s="17"/>
      <c r="L291" s="17"/>
      <c r="M291" s="17"/>
      <c r="N291" s="17"/>
    </row>
    <row r="292" spans="2:14">
      <c r="B292" s="98" t="s">
        <v>84</v>
      </c>
      <c r="C292" s="1">
        <f>iD_Global!C53/1000000</f>
        <v>0</v>
      </c>
      <c r="D292" s="1">
        <f>iD_Global!D53/1000000</f>
        <v>0</v>
      </c>
      <c r="E292" s="1">
        <f>iD_Global!E53/1000000</f>
        <v>0</v>
      </c>
      <c r="F292" s="1">
        <f>iD_Global!F53/1000000</f>
        <v>0</v>
      </c>
      <c r="G292" s="1">
        <f>iD_Global!G53/1000000</f>
        <v>0</v>
      </c>
      <c r="H292" s="17"/>
      <c r="I292" s="17"/>
      <c r="J292" s="17"/>
      <c r="K292" s="17"/>
      <c r="L292" s="17"/>
      <c r="M292" s="17"/>
      <c r="N292" s="17"/>
    </row>
  </sheetData>
  <phoneticPr fontId="10" type="noConversion"/>
  <pageMargins left="0.75" right="0.75" top="1" bottom="1" header="0.5" footer="0.5"/>
  <rowBreaks count="1" manualBreakCount="1">
    <brk id="298" max="16383" man="1"/>
  </rowBreaks>
  <colBreaks count="1" manualBreakCount="1">
    <brk id="2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79"/>
  <sheetViews>
    <sheetView workbookViewId="0">
      <pane xSplit="2" ySplit="4" topLeftCell="C5" activePane="bottomRight" state="frozenSplit"/>
      <selection activeCell="G26" sqref="G26"/>
      <selection pane="topRight" activeCell="G26" sqref="G26"/>
      <selection pane="bottomLeft" activeCell="G26" sqref="G26"/>
      <selection pane="bottomRight" activeCell="G50" sqref="G50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3" width="13.1640625" style="98" bestFit="1" customWidth="1"/>
    <col min="4" max="6" width="12.33203125" style="98" bestFit="1" customWidth="1"/>
    <col min="7" max="7" width="12.1640625" style="98" bestFit="1" customWidth="1"/>
    <col min="8" max="14" width="11.1640625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102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1.3444298098826477</v>
      </c>
      <c r="D7" s="177">
        <f t="shared" ref="D7:N8" si="0">IF(ISERROR(D18/D17),"NM",D18/D17)</f>
        <v>1.3478939909828578</v>
      </c>
      <c r="E7" s="177">
        <f t="shared" si="0"/>
        <v>1.3479875411893285</v>
      </c>
      <c r="F7" s="177">
        <f t="shared" si="0"/>
        <v>1.4028945387363123</v>
      </c>
      <c r="G7" s="177">
        <f t="shared" si="0"/>
        <v>1.4105907728738205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1.4064446059399103</v>
      </c>
      <c r="D8" s="177">
        <f t="shared" si="0"/>
        <v>1.3713077904577922</v>
      </c>
      <c r="E8" s="177">
        <f t="shared" si="0"/>
        <v>1.3332998679639061</v>
      </c>
      <c r="F8" s="177">
        <f t="shared" si="0"/>
        <v>1.2916594068042104</v>
      </c>
      <c r="G8" s="177">
        <f t="shared" si="0"/>
        <v>1.2857034347724678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0.15604410164578156</v>
      </c>
      <c r="D9" s="177">
        <f t="shared" ref="D9:N9" si="1">IF(ISERROR((D54+D62)/D18),"NM",(D54+D62)/D18)</f>
        <v>5.0718070411842099E-2</v>
      </c>
      <c r="E9" s="177">
        <f t="shared" si="1"/>
        <v>4.2920857443610849E-2</v>
      </c>
      <c r="F9" s="177">
        <f t="shared" si="1"/>
        <v>3.7022626185317299E-2</v>
      </c>
      <c r="G9" s="177">
        <f t="shared" si="1"/>
        <v>3.4396827929929659E-2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0.60846187830188614</v>
      </c>
      <c r="D10" s="177">
        <f t="shared" ref="D10:N10" si="2">IF(ISERROR(((D56+D64)/D18)*60),"NM",((D56+D64)/D18)*60)</f>
        <v>0.2126129886580343</v>
      </c>
      <c r="E10" s="177">
        <f t="shared" si="2"/>
        <v>0.14700674598660521</v>
      </c>
      <c r="F10" s="177">
        <f t="shared" si="2"/>
        <v>0.11163340275023698</v>
      </c>
      <c r="G10" s="177">
        <f t="shared" si="2"/>
        <v>0.12394365564261065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3.8992943141361933</v>
      </c>
      <c r="D11" s="177">
        <f t="shared" ref="D11:N11" si="3">IF(ISERROR(((D56+D64)/(D54+D62))*60),"NM",((D56+D64)/(D54+D62))*60)</f>
        <v>4.1920559463632818</v>
      </c>
      <c r="E11" s="177">
        <f t="shared" si="3"/>
        <v>3.4250654516802634</v>
      </c>
      <c r="F11" s="177">
        <f t="shared" si="3"/>
        <v>3.0152750966788351</v>
      </c>
      <c r="G11" s="177">
        <f t="shared" si="3"/>
        <v>3.6033455147404378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0.31371431095193547</v>
      </c>
      <c r="D12" s="178">
        <f t="shared" ref="D12:N12" si="4">IF(ISERROR(D28/D18),"NM",D28/D18)</f>
        <v>0.29065852601787923</v>
      </c>
      <c r="E12" s="178">
        <f t="shared" si="4"/>
        <v>0.33882013276624745</v>
      </c>
      <c r="F12" s="178">
        <f t="shared" si="4"/>
        <v>0.37770881947688373</v>
      </c>
      <c r="G12" s="178">
        <f t="shared" si="4"/>
        <v>0.40522151704496628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370508</v>
      </c>
      <c r="D17" s="110">
        <v>373289</v>
      </c>
      <c r="E17" s="110">
        <v>487687</v>
      </c>
      <c r="F17" s="110">
        <v>666842</v>
      </c>
      <c r="G17" s="110">
        <v>923993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498122</v>
      </c>
      <c r="D18" s="113">
        <v>503154</v>
      </c>
      <c r="E18" s="113">
        <v>657396</v>
      </c>
      <c r="F18" s="113">
        <v>935509</v>
      </c>
      <c r="G18" s="113">
        <v>1303376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700581</v>
      </c>
      <c r="D19" s="113">
        <v>689979</v>
      </c>
      <c r="E19" s="113">
        <v>876506</v>
      </c>
      <c r="F19" s="113">
        <v>1208359</v>
      </c>
      <c r="G19" s="113">
        <v>1675755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2.34</v>
      </c>
      <c r="D20" s="167">
        <v>1.55</v>
      </c>
      <c r="E20" s="167">
        <v>1.4</v>
      </c>
      <c r="F20" s="167">
        <v>1.31</v>
      </c>
      <c r="G20" s="167">
        <v>1.41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341854</v>
      </c>
      <c r="D23" s="110">
        <f t="shared" si="5"/>
        <v>356908</v>
      </c>
      <c r="E23" s="110">
        <f t="shared" si="5"/>
        <v>434657</v>
      </c>
      <c r="F23" s="110">
        <f t="shared" si="5"/>
        <v>582159</v>
      </c>
      <c r="G23" s="110">
        <f t="shared" si="5"/>
        <v>775220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508220</v>
      </c>
      <c r="D24" s="113">
        <f t="shared" si="6"/>
        <v>360535</v>
      </c>
      <c r="E24" s="113">
        <f t="shared" si="6"/>
        <v>612907</v>
      </c>
      <c r="F24" s="113">
        <f t="shared" si="6"/>
        <v>787514</v>
      </c>
      <c r="G24" s="113">
        <f t="shared" si="6"/>
        <v>1043488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3</v>
      </c>
      <c r="D25" s="167">
        <v>2.15</v>
      </c>
      <c r="E25" s="116">
        <v>2.04</v>
      </c>
      <c r="F25" s="116">
        <v>2</v>
      </c>
      <c r="G25" s="116">
        <v>2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156268</v>
      </c>
      <c r="D28" s="110">
        <v>146246</v>
      </c>
      <c r="E28" s="110">
        <v>222739</v>
      </c>
      <c r="F28" s="110">
        <v>353350</v>
      </c>
      <c r="G28" s="110">
        <v>528156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192361</v>
      </c>
      <c r="D29" s="113">
        <v>329444</v>
      </c>
      <c r="E29" s="113">
        <v>263599</v>
      </c>
      <c r="F29" s="113">
        <v>420845</v>
      </c>
      <c r="G29" s="113">
        <v>632267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1.19</v>
      </c>
      <c r="D30" s="116">
        <v>1.02</v>
      </c>
      <c r="E30" s="116">
        <v>0.52</v>
      </c>
      <c r="F30" s="116">
        <v>0.5</v>
      </c>
      <c r="G30" s="116">
        <v>1.1000000000000001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0.82599999999999996</v>
      </c>
      <c r="D33" s="121">
        <v>0.84</v>
      </c>
      <c r="E33" s="121">
        <v>0.85389999999999999</v>
      </c>
      <c r="F33" s="121">
        <v>0.86609999999999998</v>
      </c>
      <c r="G33" s="121">
        <v>0.86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0.68899999999999995</v>
      </c>
      <c r="D34" s="123">
        <v>0.6643</v>
      </c>
      <c r="E34" s="124">
        <v>0.66669999999999996</v>
      </c>
      <c r="F34" s="124">
        <v>0.64229999999999998</v>
      </c>
      <c r="G34" s="124">
        <v>0.63280000000000003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0.31100000000000005</v>
      </c>
      <c r="D35" s="124">
        <f>1-D34</f>
        <v>0.3357</v>
      </c>
      <c r="E35" s="124">
        <f>1-E34</f>
        <v>0.33330000000000004</v>
      </c>
      <c r="F35" s="124">
        <f>1-F34</f>
        <v>0.35770000000000002</v>
      </c>
      <c r="G35" s="124">
        <f>1-G34</f>
        <v>0.36719999999999997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1.6500000000000001E-2</v>
      </c>
      <c r="D36" s="124">
        <v>1.6500000000000001E-2</v>
      </c>
      <c r="E36" s="124">
        <v>1.9300000000000001E-2</v>
      </c>
      <c r="F36" s="124">
        <v>2.0199999999999999E-2</v>
      </c>
      <c r="G36" s="124">
        <v>0.02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0.87829999999999997</v>
      </c>
      <c r="D37" s="124">
        <f>1-D38</f>
        <v>0.8891</v>
      </c>
      <c r="E37" s="124">
        <f>1-E38</f>
        <v>0.9</v>
      </c>
      <c r="F37" s="124">
        <f>1-F38</f>
        <v>0.90720000000000001</v>
      </c>
      <c r="G37" s="124">
        <f>1-G38</f>
        <v>0.89680000000000004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0.1217</v>
      </c>
      <c r="D38" s="126">
        <v>0.1109</v>
      </c>
      <c r="E38" s="126">
        <v>0.1</v>
      </c>
      <c r="F38" s="126">
        <v>9.2799999999999994E-2</v>
      </c>
      <c r="G38" s="126">
        <v>0.1032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0.21490000000000001</v>
      </c>
      <c r="D41" s="121">
        <v>0.18959999999999999</v>
      </c>
      <c r="E41" s="121">
        <v>0.1827</v>
      </c>
      <c r="F41" s="121">
        <v>0.23350000000000001</v>
      </c>
      <c r="G41" s="121">
        <v>0.27279999999999999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1.0800000000000001E-2</v>
      </c>
      <c r="D42" s="124">
        <v>3.44E-2</v>
      </c>
      <c r="E42" s="124">
        <v>2.18E-2</v>
      </c>
      <c r="F42" s="124">
        <v>7.7499999999999999E-2</v>
      </c>
      <c r="G42" s="124">
        <v>0.03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0.1103</v>
      </c>
      <c r="D43" s="124">
        <v>0.115</v>
      </c>
      <c r="E43" s="124">
        <v>0.12</v>
      </c>
      <c r="F43" s="124">
        <v>0.11</v>
      </c>
      <c r="G43" s="124">
        <v>9.5000000000000001E-2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0.52210000000000001</v>
      </c>
      <c r="D44" s="124">
        <v>0.45550000000000002</v>
      </c>
      <c r="E44" s="124">
        <v>0.5</v>
      </c>
      <c r="F44" s="124">
        <v>0.45</v>
      </c>
      <c r="G44" s="124">
        <v>0.52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6.4000000000000001E-2</v>
      </c>
      <c r="D45" s="124">
        <v>0.125</v>
      </c>
      <c r="E45" s="124">
        <v>7.8200000000000006E-2</v>
      </c>
      <c r="F45" s="124">
        <v>6.6699999999999995E-2</v>
      </c>
      <c r="G45" s="124">
        <v>3.5999999999999997E-2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2.5999999999999999E-3</v>
      </c>
      <c r="D47" s="124">
        <v>1.9E-3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2.3999999999999998E-3</v>
      </c>
      <c r="D48" s="124">
        <v>2.8999999999999998E-3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 16384:16384">
      <c r="B49" s="112" t="s">
        <v>105</v>
      </c>
      <c r="C49" s="124">
        <v>7.6E-3</v>
      </c>
      <c r="D49" s="124">
        <v>5.1999999999999998E-3</v>
      </c>
      <c r="E49" s="124">
        <v>5.0000000000000001E-3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 16384:16384">
      <c r="B50" s="115" t="s">
        <v>27</v>
      </c>
      <c r="C50" s="126">
        <f>1-SUM(C41:C49)</f>
        <v>6.5299999999999803E-2</v>
      </c>
      <c r="D50" s="126">
        <f>1-SUM(D41:D49)</f>
        <v>7.0500000000000007E-2</v>
      </c>
      <c r="E50" s="126">
        <f>1-SUM(E41:E49)</f>
        <v>9.2299999999999938E-2</v>
      </c>
      <c r="F50" s="126">
        <f>1-SUM(F41:F49)</f>
        <v>6.2300000000000022E-2</v>
      </c>
      <c r="G50" s="126">
        <f>1-SUM(G41:G49)</f>
        <v>4.6200000000000019E-2</v>
      </c>
      <c r="H50" s="126"/>
      <c r="I50" s="126"/>
      <c r="J50" s="126"/>
      <c r="K50" s="126"/>
      <c r="L50" s="126"/>
      <c r="M50" s="126"/>
      <c r="N50" s="127"/>
    </row>
    <row r="51" spans="2:14 16384:1638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 16384:1638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 16384:16384">
      <c r="B53" s="109" t="s">
        <v>29</v>
      </c>
      <c r="C53" s="152">
        <v>0</v>
      </c>
      <c r="D53" s="152">
        <v>0</v>
      </c>
      <c r="E53" s="152">
        <v>0</v>
      </c>
      <c r="F53" s="152">
        <v>0</v>
      </c>
      <c r="G53" s="152">
        <v>0</v>
      </c>
      <c r="H53" s="152">
        <v>0</v>
      </c>
      <c r="I53" s="152">
        <v>0</v>
      </c>
      <c r="J53" s="152">
        <v>0</v>
      </c>
      <c r="K53" s="152">
        <v>0</v>
      </c>
      <c r="L53" s="152">
        <v>0</v>
      </c>
      <c r="M53" s="152">
        <v>0</v>
      </c>
      <c r="N53" s="153">
        <v>0</v>
      </c>
    </row>
    <row r="54" spans="2:14 16384:16384">
      <c r="B54" s="112" t="s">
        <v>30</v>
      </c>
      <c r="C54" s="154">
        <v>0</v>
      </c>
      <c r="D54" s="154">
        <v>0</v>
      </c>
      <c r="E54" s="154">
        <v>0</v>
      </c>
      <c r="F54" s="154">
        <v>0</v>
      </c>
      <c r="G54" s="154">
        <v>0</v>
      </c>
      <c r="H54" s="154">
        <v>0</v>
      </c>
      <c r="I54" s="154">
        <v>0</v>
      </c>
      <c r="J54" s="154">
        <v>0</v>
      </c>
      <c r="K54" s="154">
        <v>0</v>
      </c>
      <c r="L54" s="154">
        <v>0</v>
      </c>
      <c r="M54" s="154">
        <v>0</v>
      </c>
      <c r="N54" s="155">
        <v>0</v>
      </c>
    </row>
    <row r="55" spans="2:14 16384:16384">
      <c r="B55" s="112" t="s">
        <v>31</v>
      </c>
      <c r="C55" s="154">
        <v>0</v>
      </c>
      <c r="D55" s="154">
        <v>0</v>
      </c>
      <c r="E55" s="154">
        <v>0</v>
      </c>
      <c r="F55" s="154">
        <v>0</v>
      </c>
      <c r="G55" s="154">
        <v>0</v>
      </c>
      <c r="H55" s="154">
        <v>0</v>
      </c>
      <c r="I55" s="154">
        <v>0</v>
      </c>
      <c r="J55" s="154">
        <v>0</v>
      </c>
      <c r="K55" s="154">
        <v>0</v>
      </c>
      <c r="L55" s="154">
        <v>0</v>
      </c>
      <c r="M55" s="154">
        <v>0</v>
      </c>
      <c r="N55" s="155">
        <v>0</v>
      </c>
    </row>
    <row r="56" spans="2:14 16384:16384">
      <c r="B56" s="112" t="s">
        <v>11</v>
      </c>
      <c r="C56" s="154">
        <v>0</v>
      </c>
      <c r="D56" s="154">
        <v>0</v>
      </c>
      <c r="E56" s="154">
        <v>0</v>
      </c>
      <c r="F56" s="154">
        <v>0</v>
      </c>
      <c r="G56" s="154">
        <v>0</v>
      </c>
      <c r="H56" s="154">
        <v>0</v>
      </c>
      <c r="I56" s="154">
        <v>0</v>
      </c>
      <c r="J56" s="154">
        <v>0</v>
      </c>
      <c r="K56" s="154">
        <v>0</v>
      </c>
      <c r="L56" s="154">
        <v>0</v>
      </c>
      <c r="M56" s="154">
        <v>0</v>
      </c>
      <c r="N56" s="155">
        <v>0</v>
      </c>
    </row>
    <row r="57" spans="2:14 16384:16384">
      <c r="B57" s="115" t="s">
        <v>32</v>
      </c>
      <c r="C57" s="156">
        <v>0</v>
      </c>
      <c r="D57" s="156">
        <v>0</v>
      </c>
      <c r="E57" s="156">
        <v>0</v>
      </c>
      <c r="F57" s="156">
        <v>0</v>
      </c>
      <c r="G57" s="156">
        <v>0</v>
      </c>
      <c r="H57" s="156">
        <v>0</v>
      </c>
      <c r="I57" s="156">
        <v>0</v>
      </c>
      <c r="J57" s="156">
        <v>0</v>
      </c>
      <c r="K57" s="156">
        <v>0</v>
      </c>
      <c r="L57" s="156">
        <v>0</v>
      </c>
      <c r="M57" s="156">
        <v>0</v>
      </c>
      <c r="N57" s="157">
        <v>0</v>
      </c>
    </row>
    <row r="58" spans="2:14 16384:16384">
      <c r="B58" s="133"/>
      <c r="C58" s="143"/>
      <c r="D58" s="143"/>
      <c r="E58" s="362"/>
      <c r="F58" s="143"/>
      <c r="G58" s="143"/>
      <c r="H58" s="143"/>
      <c r="I58" s="143"/>
      <c r="J58" s="143"/>
      <c r="K58" s="143"/>
      <c r="L58" s="143"/>
      <c r="M58" s="143"/>
      <c r="N58" s="143"/>
    </row>
    <row r="59" spans="2:14 16384:16384">
      <c r="B59" s="129" t="s">
        <v>33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</row>
    <row r="60" spans="2:14 16384:16384">
      <c r="B60" s="109" t="s">
        <v>50</v>
      </c>
      <c r="C60" s="110">
        <v>23056</v>
      </c>
      <c r="D60" s="141">
        <v>14679</v>
      </c>
      <c r="E60" s="141">
        <v>15062</v>
      </c>
      <c r="F60" s="141">
        <v>11185</v>
      </c>
      <c r="G60" s="141">
        <v>10398</v>
      </c>
      <c r="H60" s="141"/>
      <c r="I60" s="141"/>
      <c r="J60" s="141"/>
      <c r="K60" s="141"/>
      <c r="L60" s="141"/>
      <c r="M60" s="141"/>
      <c r="N60" s="142"/>
    </row>
    <row r="61" spans="2:14 16384:16384">
      <c r="B61" s="112" t="s">
        <v>29</v>
      </c>
      <c r="C61" s="113">
        <v>4066682</v>
      </c>
      <c r="D61" s="143">
        <v>3806646</v>
      </c>
      <c r="E61" s="143">
        <v>5065187</v>
      </c>
      <c r="F61" s="113">
        <v>5022816</v>
      </c>
      <c r="G61" s="143">
        <v>3564175</v>
      </c>
      <c r="H61" s="143"/>
      <c r="I61" s="143"/>
      <c r="J61" s="143"/>
      <c r="K61" s="143"/>
      <c r="L61" s="143"/>
      <c r="M61" s="143"/>
      <c r="N61" s="144"/>
    </row>
    <row r="62" spans="2:14 16384:16384">
      <c r="B62" s="112" t="s">
        <v>30</v>
      </c>
      <c r="C62" s="113">
        <v>77729</v>
      </c>
      <c r="D62" s="143">
        <v>25519</v>
      </c>
      <c r="E62" s="143">
        <v>28216</v>
      </c>
      <c r="F62" s="143">
        <v>34635</v>
      </c>
      <c r="G62" s="143">
        <v>44832</v>
      </c>
      <c r="H62" s="143"/>
      <c r="I62" s="143"/>
      <c r="J62" s="143"/>
      <c r="K62" s="143"/>
      <c r="L62" s="143"/>
      <c r="M62" s="143"/>
      <c r="N62" s="144"/>
    </row>
    <row r="63" spans="2:14 16384:16384">
      <c r="B63" s="112" t="s">
        <v>31</v>
      </c>
      <c r="C63" s="113">
        <v>264286.5</v>
      </c>
      <c r="D63" s="143">
        <f>15957673/60</f>
        <v>265961.21666666667</v>
      </c>
      <c r="E63" s="143">
        <f>17348597/60</f>
        <v>289143.28333333333</v>
      </c>
      <c r="F63" s="113">
        <f>15145172/60</f>
        <v>252419.53333333333</v>
      </c>
      <c r="G63" s="143">
        <f>12842954/60</f>
        <v>214049.23333333334</v>
      </c>
      <c r="H63" s="143"/>
      <c r="I63" s="143"/>
      <c r="J63" s="143"/>
      <c r="K63" s="143"/>
      <c r="L63" s="143"/>
      <c r="M63" s="143"/>
      <c r="N63" s="144"/>
    </row>
    <row r="64" spans="2:14 16384:16384">
      <c r="B64" s="115" t="s">
        <v>12</v>
      </c>
      <c r="C64" s="92">
        <f>(C62/C61)*C63</f>
        <v>5051.4707957248693</v>
      </c>
      <c r="D64" s="92">
        <f>(D62/D61)*D63</f>
        <v>1782.9512615874098</v>
      </c>
      <c r="E64" s="92">
        <f>(E62/E61)*E63</f>
        <v>1610.6941130768387</v>
      </c>
      <c r="F64" s="92">
        <f>(F62/F61)*F63</f>
        <v>1740.5675495578575</v>
      </c>
      <c r="G64" s="92">
        <f>(G62/G61)*G63</f>
        <v>2692.4197686140551</v>
      </c>
      <c r="H64" s="145"/>
      <c r="I64" s="145"/>
      <c r="J64" s="145"/>
      <c r="K64" s="145"/>
      <c r="L64" s="145"/>
      <c r="M64" s="145"/>
      <c r="N64" s="146"/>
      <c r="XFD64" s="92"/>
    </row>
    <row r="65" spans="2:14">
      <c r="C65" s="105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</row>
    <row r="66" spans="2:14">
      <c r="B66" s="137" t="s">
        <v>34</v>
      </c>
      <c r="C66" s="174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</row>
    <row r="67" spans="2:14">
      <c r="B67" s="109" t="s">
        <v>35</v>
      </c>
      <c r="C67" s="110">
        <v>34202</v>
      </c>
      <c r="D67" s="141">
        <v>38156</v>
      </c>
      <c r="E67" s="141">
        <v>46276</v>
      </c>
      <c r="F67" s="110">
        <v>62022</v>
      </c>
      <c r="G67" s="141">
        <v>73119</v>
      </c>
      <c r="H67" s="141"/>
      <c r="I67" s="141"/>
      <c r="J67" s="141"/>
      <c r="K67" s="141"/>
      <c r="L67" s="141"/>
      <c r="M67" s="141"/>
      <c r="N67" s="142"/>
    </row>
    <row r="68" spans="2:14">
      <c r="B68" s="115" t="s">
        <v>36</v>
      </c>
      <c r="C68" s="131">
        <v>17600</v>
      </c>
      <c r="D68" s="145">
        <v>18700</v>
      </c>
      <c r="E68" s="145">
        <v>19600</v>
      </c>
      <c r="F68" s="131">
        <v>20756</v>
      </c>
      <c r="G68" s="145">
        <f>Thump_USA!S69+3883</f>
        <v>26033</v>
      </c>
      <c r="H68" s="145"/>
      <c r="I68" s="145"/>
      <c r="J68" s="145"/>
      <c r="K68" s="145"/>
      <c r="L68" s="145"/>
      <c r="M68" s="145"/>
      <c r="N68" s="146"/>
    </row>
    <row r="69" spans="2:14"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</row>
    <row r="70" spans="2:14">
      <c r="B70" s="137" t="s">
        <v>37</v>
      </c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</row>
    <row r="71" spans="2:14">
      <c r="B71" s="109" t="s">
        <v>38</v>
      </c>
      <c r="C71" s="152">
        <v>0</v>
      </c>
      <c r="D71" s="152">
        <v>0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3">
        <v>0</v>
      </c>
    </row>
    <row r="72" spans="2:14">
      <c r="B72" s="112" t="s">
        <v>39</v>
      </c>
      <c r="C72" s="154">
        <v>0</v>
      </c>
      <c r="D72" s="154">
        <v>0</v>
      </c>
      <c r="E72" s="154">
        <v>0</v>
      </c>
      <c r="F72" s="154">
        <v>0</v>
      </c>
      <c r="G72" s="154">
        <v>0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5">
        <v>0</v>
      </c>
    </row>
    <row r="73" spans="2:14">
      <c r="B73" s="112" t="s">
        <v>40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5" t="s">
        <v>41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7">
        <v>0</v>
      </c>
    </row>
    <row r="75" spans="2:14"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37" t="s">
        <v>42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</row>
    <row r="77" spans="2:14">
      <c r="B77" s="109" t="s">
        <v>43</v>
      </c>
      <c r="C77" s="152">
        <v>0</v>
      </c>
      <c r="D77" s="152">
        <v>0</v>
      </c>
      <c r="E77" s="152">
        <v>0</v>
      </c>
      <c r="F77" s="152">
        <v>0</v>
      </c>
      <c r="G77" s="152">
        <v>0</v>
      </c>
      <c r="H77" s="152">
        <v>0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3">
        <v>0</v>
      </c>
    </row>
    <row r="78" spans="2:14">
      <c r="B78" s="112" t="s">
        <v>44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5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"/>
  <sheetViews>
    <sheetView workbookViewId="0">
      <pane xSplit="2" ySplit="4" topLeftCell="C5" activePane="bottomRight" state="frozenSplit"/>
      <selection activeCell="D54" sqref="D54"/>
      <selection pane="topRight" activeCell="D54" sqref="D54"/>
      <selection pane="bottomLeft" activeCell="D54" sqref="D54"/>
      <selection pane="bottomRight" activeCell="N17" sqref="N17"/>
    </sheetView>
  </sheetViews>
  <sheetFormatPr baseColWidth="10" defaultRowHeight="14" x14ac:dyDescent="0"/>
  <cols>
    <col min="1" max="1" width="1.1640625" style="254" customWidth="1"/>
    <col min="2" max="2" width="34.33203125" style="254" customWidth="1"/>
    <col min="3" max="6" width="12.1640625" style="254" bestFit="1" customWidth="1"/>
    <col min="7" max="14" width="11" style="254" bestFit="1" customWidth="1"/>
    <col min="15" max="15" width="10.83203125" style="254"/>
    <col min="16" max="16" width="12.1640625" style="254" bestFit="1" customWidth="1"/>
    <col min="17" max="16384" width="10.83203125" style="254"/>
  </cols>
  <sheetData>
    <row r="1" spans="2:14" ht="15" thickBot="1"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</row>
    <row r="2" spans="2:14" ht="15" thickBot="1">
      <c r="B2" s="255" t="s">
        <v>101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4" spans="2:14">
      <c r="C4" s="256">
        <v>41641</v>
      </c>
      <c r="D4" s="257">
        <v>41672</v>
      </c>
      <c r="E4" s="257">
        <v>41700</v>
      </c>
      <c r="F4" s="257">
        <v>41731</v>
      </c>
      <c r="G4" s="257">
        <v>41761</v>
      </c>
      <c r="H4" s="257">
        <v>41792</v>
      </c>
      <c r="I4" s="257">
        <v>41822</v>
      </c>
      <c r="J4" s="257">
        <v>41853</v>
      </c>
      <c r="K4" s="257">
        <v>41884</v>
      </c>
      <c r="L4" s="257">
        <v>41914</v>
      </c>
      <c r="M4" s="257">
        <v>41945</v>
      </c>
      <c r="N4" s="258">
        <v>41975</v>
      </c>
    </row>
    <row r="5" spans="2:14"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</row>
    <row r="6" spans="2:14" ht="15" thickBot="1">
      <c r="B6" s="260" t="s">
        <v>2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2:14" ht="15" thickTop="1">
      <c r="B7" s="254" t="s">
        <v>3</v>
      </c>
      <c r="C7" s="262">
        <f t="shared" ref="C7:N7" si="0">IF(ISERROR(C18/C17),"NM",C18/C17)</f>
        <v>1.3739463211829173</v>
      </c>
      <c r="D7" s="262">
        <f t="shared" si="0"/>
        <v>1.3924005416759968</v>
      </c>
      <c r="E7" s="262">
        <f t="shared" si="0"/>
        <v>1.3797159841479525</v>
      </c>
      <c r="F7" s="262">
        <f t="shared" si="0"/>
        <v>1.5178955085582788</v>
      </c>
      <c r="G7" s="262">
        <f t="shared" si="0"/>
        <v>1.523667519315097</v>
      </c>
      <c r="H7" s="262" t="str">
        <f t="shared" si="0"/>
        <v>NM</v>
      </c>
      <c r="I7" s="262" t="str">
        <f t="shared" si="0"/>
        <v>NM</v>
      </c>
      <c r="J7" s="262" t="str">
        <f t="shared" si="0"/>
        <v>NM</v>
      </c>
      <c r="K7" s="262" t="str">
        <f t="shared" si="0"/>
        <v>NM</v>
      </c>
      <c r="L7" s="262" t="str">
        <f t="shared" si="0"/>
        <v>NM</v>
      </c>
      <c r="M7" s="262" t="str">
        <f t="shared" si="0"/>
        <v>NM</v>
      </c>
      <c r="N7" s="262" t="str">
        <f t="shared" si="0"/>
        <v>NM</v>
      </c>
    </row>
    <row r="8" spans="2:14">
      <c r="B8" s="254" t="s">
        <v>4</v>
      </c>
      <c r="C8" s="262">
        <f t="shared" ref="C8:N8" si="1">IF(ISERROR(C19/C18),"NM",C19/C18)</f>
        <v>1.9938740572803406</v>
      </c>
      <c r="D8" s="262">
        <f t="shared" si="1"/>
        <v>1.8785183426696328</v>
      </c>
      <c r="E8" s="262">
        <f t="shared" si="1"/>
        <v>1.7093169099378138</v>
      </c>
      <c r="F8" s="262">
        <f t="shared" si="1"/>
        <v>1.7954688258167808</v>
      </c>
      <c r="G8" s="262">
        <f t="shared" si="1"/>
        <v>1.6718872457697891</v>
      </c>
      <c r="H8" s="262" t="str">
        <f t="shared" si="1"/>
        <v>NM</v>
      </c>
      <c r="I8" s="262" t="str">
        <f t="shared" si="1"/>
        <v>NM</v>
      </c>
      <c r="J8" s="262" t="str">
        <f t="shared" si="1"/>
        <v>NM</v>
      </c>
      <c r="K8" s="262" t="str">
        <f t="shared" si="1"/>
        <v>NM</v>
      </c>
      <c r="L8" s="262" t="str">
        <f t="shared" si="1"/>
        <v>NM</v>
      </c>
      <c r="M8" s="262" t="str">
        <f t="shared" si="1"/>
        <v>NM</v>
      </c>
      <c r="N8" s="262" t="str">
        <f t="shared" si="1"/>
        <v>NM</v>
      </c>
    </row>
    <row r="9" spans="2:14">
      <c r="B9" s="254" t="s">
        <v>5</v>
      </c>
      <c r="C9" s="262">
        <f t="shared" ref="C9:N9" si="2">IF(ISERROR((C54+C62)/C18),"NM",(C54+C62)/C18)</f>
        <v>0.23687132744181744</v>
      </c>
      <c r="D9" s="262">
        <f t="shared" si="2"/>
        <v>0.21840048704468787</v>
      </c>
      <c r="E9" s="262">
        <f t="shared" si="2"/>
        <v>0.16265815816055418</v>
      </c>
      <c r="F9" s="262">
        <f t="shared" si="2"/>
        <v>0.21242674072533671</v>
      </c>
      <c r="G9" s="262">
        <f t="shared" si="2"/>
        <v>0.15734114492995688</v>
      </c>
      <c r="H9" s="262" t="str">
        <f t="shared" si="2"/>
        <v>NM</v>
      </c>
      <c r="I9" s="262" t="str">
        <f t="shared" si="2"/>
        <v>NM</v>
      </c>
      <c r="J9" s="262" t="str">
        <f t="shared" si="2"/>
        <v>NM</v>
      </c>
      <c r="K9" s="262" t="str">
        <f t="shared" si="2"/>
        <v>NM</v>
      </c>
      <c r="L9" s="262" t="str">
        <f t="shared" si="2"/>
        <v>NM</v>
      </c>
      <c r="M9" s="262" t="str">
        <f t="shared" si="2"/>
        <v>NM</v>
      </c>
      <c r="N9" s="262" t="str">
        <f t="shared" si="2"/>
        <v>NM</v>
      </c>
    </row>
    <row r="10" spans="2:14">
      <c r="B10" s="254" t="s">
        <v>6</v>
      </c>
      <c r="C10" s="262">
        <f t="shared" ref="C10:N10" si="3">IF(ISERROR(((C56+C64)/C18)*60),"NM",((C56+C64)/C18)*60)</f>
        <v>0.8824299433874595</v>
      </c>
      <c r="D10" s="262">
        <f t="shared" si="3"/>
        <v>0.91925085713069632</v>
      </c>
      <c r="E10" s="262">
        <f t="shared" si="3"/>
        <v>0.52953639581539602</v>
      </c>
      <c r="F10" s="262">
        <f t="shared" si="3"/>
        <v>0.82134008198908004</v>
      </c>
      <c r="G10" s="262">
        <f t="shared" si="3"/>
        <v>0.55876478082769032</v>
      </c>
      <c r="H10" s="262" t="str">
        <f t="shared" si="3"/>
        <v>NM</v>
      </c>
      <c r="I10" s="262" t="str">
        <f t="shared" si="3"/>
        <v>NM</v>
      </c>
      <c r="J10" s="262" t="str">
        <f t="shared" si="3"/>
        <v>NM</v>
      </c>
      <c r="K10" s="262" t="str">
        <f t="shared" si="3"/>
        <v>NM</v>
      </c>
      <c r="L10" s="262" t="str">
        <f t="shared" si="3"/>
        <v>NM</v>
      </c>
      <c r="M10" s="262" t="str">
        <f t="shared" si="3"/>
        <v>NM</v>
      </c>
      <c r="N10" s="262" t="str">
        <f t="shared" si="3"/>
        <v>NM</v>
      </c>
    </row>
    <row r="11" spans="2:14">
      <c r="B11" s="254" t="s">
        <v>7</v>
      </c>
      <c r="C11" s="262">
        <f t="shared" ref="C11:N11" si="4">IF(ISERROR(((C56+C64)/(C54+C62))*60),"NM",((C56+C64)/(C54+C62))*60)</f>
        <v>3.7253556727088903</v>
      </c>
      <c r="D11" s="262">
        <f t="shared" si="4"/>
        <v>4.2090146847639787</v>
      </c>
      <c r="E11" s="262">
        <f t="shared" si="4"/>
        <v>3.2555169799273718</v>
      </c>
      <c r="F11" s="262">
        <f t="shared" si="4"/>
        <v>3.8664627588061311</v>
      </c>
      <c r="G11" s="262">
        <f t="shared" si="4"/>
        <v>3.5512947428750059</v>
      </c>
      <c r="H11" s="262" t="str">
        <f t="shared" si="4"/>
        <v>NM</v>
      </c>
      <c r="I11" s="262" t="str">
        <f t="shared" si="4"/>
        <v>NM</v>
      </c>
      <c r="J11" s="262" t="str">
        <f t="shared" si="4"/>
        <v>NM</v>
      </c>
      <c r="K11" s="262" t="str">
        <f t="shared" si="4"/>
        <v>NM</v>
      </c>
      <c r="L11" s="262" t="str">
        <f t="shared" si="4"/>
        <v>NM</v>
      </c>
      <c r="M11" s="262" t="str">
        <f t="shared" si="4"/>
        <v>NM</v>
      </c>
      <c r="N11" s="262" t="str">
        <f t="shared" si="4"/>
        <v>NM</v>
      </c>
    </row>
    <row r="12" spans="2:14">
      <c r="B12" s="254" t="s">
        <v>8</v>
      </c>
      <c r="C12" s="263">
        <f t="shared" ref="C12:N12" si="5">IF(ISERROR(C28/C18),"NM",C28/C18)</f>
        <v>0.21998334335816408</v>
      </c>
      <c r="D12" s="263">
        <f t="shared" si="5"/>
        <v>0.27661994049784239</v>
      </c>
      <c r="E12" s="263">
        <f t="shared" si="5"/>
        <v>0.38917080363255124</v>
      </c>
      <c r="F12" s="263">
        <f t="shared" si="5"/>
        <v>0.30867170677059924</v>
      </c>
      <c r="G12" s="263">
        <f t="shared" si="5"/>
        <v>0.33977661574567769</v>
      </c>
      <c r="H12" s="263" t="str">
        <f t="shared" si="5"/>
        <v>NM</v>
      </c>
      <c r="I12" s="263" t="str">
        <f t="shared" si="5"/>
        <v>NM</v>
      </c>
      <c r="J12" s="263" t="str">
        <f t="shared" si="5"/>
        <v>NM</v>
      </c>
      <c r="K12" s="263" t="str">
        <f t="shared" si="5"/>
        <v>NM</v>
      </c>
      <c r="L12" s="263" t="str">
        <f t="shared" si="5"/>
        <v>NM</v>
      </c>
      <c r="M12" s="263" t="str">
        <f t="shared" si="5"/>
        <v>NM</v>
      </c>
      <c r="N12" s="263" t="str">
        <f t="shared" si="5"/>
        <v>NM</v>
      </c>
    </row>
    <row r="13" spans="2:14"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</row>
    <row r="14" spans="2:14" ht="15" thickBot="1">
      <c r="B14" s="260" t="s">
        <v>156</v>
      </c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</row>
    <row r="15" spans="2:14" ht="15" thickTop="1"/>
    <row r="16" spans="2:14">
      <c r="B16" s="265" t="s">
        <v>9</v>
      </c>
    </row>
    <row r="17" spans="2:16">
      <c r="B17" s="266" t="s">
        <v>157</v>
      </c>
      <c r="C17" s="267">
        <v>157306</v>
      </c>
      <c r="D17" s="267">
        <v>187566</v>
      </c>
      <c r="E17" s="267">
        <v>302800</v>
      </c>
      <c r="F17" s="267">
        <v>294627</v>
      </c>
      <c r="G17" s="267">
        <v>306496</v>
      </c>
      <c r="H17" s="267"/>
      <c r="I17" s="267"/>
      <c r="J17" s="267"/>
      <c r="K17" s="267"/>
      <c r="L17" s="267"/>
      <c r="M17" s="267"/>
      <c r="N17" s="268"/>
    </row>
    <row r="18" spans="2:16">
      <c r="B18" s="269" t="s">
        <v>158</v>
      </c>
      <c r="C18" s="270">
        <v>216130</v>
      </c>
      <c r="D18" s="270">
        <v>261167</v>
      </c>
      <c r="E18" s="270">
        <v>417778</v>
      </c>
      <c r="F18" s="270">
        <v>447213</v>
      </c>
      <c r="G18" s="270">
        <v>466998</v>
      </c>
      <c r="H18" s="270"/>
      <c r="I18" s="270"/>
      <c r="J18" s="270"/>
      <c r="K18" s="270"/>
      <c r="L18" s="270"/>
      <c r="M18" s="270"/>
      <c r="N18" s="271"/>
    </row>
    <row r="19" spans="2:16">
      <c r="B19" s="269" t="s">
        <v>159</v>
      </c>
      <c r="C19" s="270">
        <v>430936</v>
      </c>
      <c r="D19" s="270">
        <v>490607</v>
      </c>
      <c r="E19" s="270">
        <v>714115</v>
      </c>
      <c r="F19" s="270">
        <v>802957</v>
      </c>
      <c r="G19" s="270">
        <v>780768</v>
      </c>
      <c r="H19" s="270"/>
      <c r="I19" s="270"/>
      <c r="J19" s="270"/>
      <c r="K19" s="270"/>
      <c r="L19" s="270"/>
      <c r="M19" s="270"/>
      <c r="N19" s="271"/>
      <c r="O19" s="272"/>
    </row>
    <row r="20" spans="2:16">
      <c r="B20" s="273" t="s">
        <v>163</v>
      </c>
      <c r="C20" s="274">
        <v>3.56</v>
      </c>
      <c r="D20" s="274">
        <v>3.34</v>
      </c>
      <c r="E20" s="274">
        <v>3.05</v>
      </c>
      <c r="F20" s="274">
        <v>4.07</v>
      </c>
      <c r="G20" s="274">
        <v>3.27</v>
      </c>
      <c r="H20" s="275"/>
      <c r="I20" s="275"/>
      <c r="J20" s="275"/>
      <c r="K20" s="275"/>
      <c r="L20" s="275"/>
      <c r="M20" s="275"/>
      <c r="N20" s="276"/>
      <c r="O20" s="272"/>
    </row>
    <row r="21" spans="2:16">
      <c r="C21" s="277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9"/>
      <c r="P21" s="279"/>
    </row>
    <row r="22" spans="2:16">
      <c r="B22" s="280" t="s">
        <v>160</v>
      </c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</row>
    <row r="23" spans="2:16">
      <c r="B23" s="266" t="s">
        <v>161</v>
      </c>
      <c r="C23" s="267">
        <f t="shared" ref="C23:N23" si="6">C18-C28</f>
        <v>168585</v>
      </c>
      <c r="D23" s="267">
        <f t="shared" si="6"/>
        <v>188923</v>
      </c>
      <c r="E23" s="267">
        <f t="shared" si="6"/>
        <v>255191</v>
      </c>
      <c r="F23" s="267">
        <f t="shared" si="6"/>
        <v>309171</v>
      </c>
      <c r="G23" s="267">
        <f t="shared" si="6"/>
        <v>308323</v>
      </c>
      <c r="H23" s="267">
        <f t="shared" si="6"/>
        <v>0</v>
      </c>
      <c r="I23" s="267">
        <f t="shared" si="6"/>
        <v>0</v>
      </c>
      <c r="J23" s="267">
        <f t="shared" si="6"/>
        <v>0</v>
      </c>
      <c r="K23" s="267">
        <f t="shared" si="6"/>
        <v>0</v>
      </c>
      <c r="L23" s="267">
        <f t="shared" si="6"/>
        <v>0</v>
      </c>
      <c r="M23" s="267">
        <f t="shared" si="6"/>
        <v>0</v>
      </c>
      <c r="N23" s="268">
        <f t="shared" si="6"/>
        <v>0</v>
      </c>
    </row>
    <row r="24" spans="2:16">
      <c r="B24" s="269" t="s">
        <v>162</v>
      </c>
      <c r="C24" s="270">
        <f t="shared" ref="C24:N24" si="7">C19-C29</f>
        <v>357799</v>
      </c>
      <c r="D24" s="270">
        <f t="shared" si="7"/>
        <v>383686</v>
      </c>
      <c r="E24" s="270">
        <f t="shared" si="7"/>
        <v>486832</v>
      </c>
      <c r="F24" s="270">
        <f t="shared" si="7"/>
        <v>603139</v>
      </c>
      <c r="G24" s="270">
        <f t="shared" si="7"/>
        <v>564811</v>
      </c>
      <c r="H24" s="270">
        <f t="shared" si="7"/>
        <v>0</v>
      </c>
      <c r="I24" s="270">
        <f t="shared" si="7"/>
        <v>0</v>
      </c>
      <c r="J24" s="270">
        <f t="shared" si="7"/>
        <v>0</v>
      </c>
      <c r="K24" s="270">
        <f t="shared" si="7"/>
        <v>0</v>
      </c>
      <c r="L24" s="270">
        <f t="shared" si="7"/>
        <v>0</v>
      </c>
      <c r="M24" s="270">
        <f t="shared" si="7"/>
        <v>0</v>
      </c>
      <c r="N24" s="271">
        <f t="shared" si="7"/>
        <v>0</v>
      </c>
    </row>
    <row r="25" spans="2:16">
      <c r="B25" s="273" t="s">
        <v>163</v>
      </c>
      <c r="C25" s="281">
        <v>4.3</v>
      </c>
      <c r="D25" s="274">
        <v>4.1500000000000004</v>
      </c>
      <c r="E25" s="282">
        <v>4</v>
      </c>
      <c r="F25" s="282">
        <v>4.4000000000000004</v>
      </c>
      <c r="G25" s="282">
        <v>4</v>
      </c>
      <c r="H25" s="282"/>
      <c r="I25" s="282"/>
      <c r="J25" s="282"/>
      <c r="K25" s="282"/>
      <c r="L25" s="282"/>
      <c r="M25" s="282"/>
      <c r="N25" s="283"/>
    </row>
    <row r="26" spans="2:16"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</row>
    <row r="27" spans="2:16">
      <c r="B27" s="280" t="s">
        <v>164</v>
      </c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84"/>
      <c r="N27" s="278"/>
    </row>
    <row r="28" spans="2:16">
      <c r="B28" s="266" t="s">
        <v>161</v>
      </c>
      <c r="C28" s="267">
        <v>47545</v>
      </c>
      <c r="D28" s="267">
        <v>72244</v>
      </c>
      <c r="E28" s="267">
        <v>162587</v>
      </c>
      <c r="F28" s="267">
        <v>138042</v>
      </c>
      <c r="G28" s="267">
        <v>158675</v>
      </c>
      <c r="H28" s="267"/>
      <c r="I28" s="267"/>
      <c r="J28" s="267"/>
      <c r="K28" s="267"/>
      <c r="L28" s="267"/>
      <c r="M28" s="267"/>
      <c r="N28" s="268"/>
    </row>
    <row r="29" spans="2:16">
      <c r="B29" s="269" t="s">
        <v>162</v>
      </c>
      <c r="C29" s="270">
        <v>73137</v>
      </c>
      <c r="D29" s="270">
        <v>106921</v>
      </c>
      <c r="E29" s="270">
        <v>227283</v>
      </c>
      <c r="F29" s="270">
        <v>199818</v>
      </c>
      <c r="G29" s="270">
        <v>215957</v>
      </c>
      <c r="H29" s="270"/>
      <c r="I29" s="270"/>
      <c r="J29" s="270"/>
      <c r="K29" s="270"/>
      <c r="L29" s="270"/>
      <c r="M29" s="270"/>
      <c r="N29" s="271"/>
    </row>
    <row r="30" spans="2:16">
      <c r="B30" s="273" t="s">
        <v>163</v>
      </c>
      <c r="C30" s="281">
        <v>2.0499999999999998</v>
      </c>
      <c r="D30" s="274">
        <v>1.51</v>
      </c>
      <c r="E30" s="282">
        <v>1.35</v>
      </c>
      <c r="F30" s="282">
        <v>2.44</v>
      </c>
      <c r="G30" s="282">
        <v>2.3199999999999998</v>
      </c>
      <c r="H30" s="282"/>
      <c r="I30" s="282"/>
      <c r="J30" s="282"/>
      <c r="K30" s="282"/>
      <c r="L30" s="282"/>
      <c r="M30" s="282"/>
      <c r="N30" s="283"/>
    </row>
    <row r="31" spans="2:16"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</row>
    <row r="32" spans="2:16">
      <c r="B32" s="286" t="s">
        <v>165</v>
      </c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</row>
    <row r="33" spans="2:14">
      <c r="B33" s="266" t="s">
        <v>166</v>
      </c>
      <c r="C33" s="287">
        <v>0.70369999999999999</v>
      </c>
      <c r="D33" s="287">
        <v>0.7147</v>
      </c>
      <c r="E33" s="287">
        <v>0.66059999999999997</v>
      </c>
      <c r="F33" s="287">
        <v>0.46089999999999998</v>
      </c>
      <c r="G33" s="287">
        <v>0.45889999999999997</v>
      </c>
      <c r="H33" s="287"/>
      <c r="I33" s="287"/>
      <c r="J33" s="287"/>
      <c r="K33" s="287"/>
      <c r="L33" s="287"/>
      <c r="M33" s="287"/>
      <c r="N33" s="288"/>
    </row>
    <row r="34" spans="2:14">
      <c r="B34" s="269" t="s">
        <v>167</v>
      </c>
      <c r="C34" s="289">
        <v>0.62160000000000004</v>
      </c>
      <c r="D34" s="289">
        <v>0.61650000000000005</v>
      </c>
      <c r="E34" s="290">
        <v>0.6391</v>
      </c>
      <c r="F34" s="290">
        <v>0.5665</v>
      </c>
      <c r="G34" s="290">
        <v>0.54879999999999995</v>
      </c>
      <c r="H34" s="290"/>
      <c r="I34" s="290"/>
      <c r="J34" s="290"/>
      <c r="K34" s="290"/>
      <c r="L34" s="290"/>
      <c r="M34" s="290"/>
      <c r="N34" s="291"/>
    </row>
    <row r="35" spans="2:14">
      <c r="B35" s="269" t="s">
        <v>189</v>
      </c>
      <c r="C35" s="290">
        <f>1-C34</f>
        <v>0.37839999999999996</v>
      </c>
      <c r="D35" s="290">
        <f>1-D34</f>
        <v>0.38349999999999995</v>
      </c>
      <c r="E35" s="290">
        <f>1-E34</f>
        <v>0.3609</v>
      </c>
      <c r="F35" s="290">
        <f>1-F34</f>
        <v>0.4335</v>
      </c>
      <c r="G35" s="290">
        <f>1-G34</f>
        <v>0.45120000000000005</v>
      </c>
      <c r="H35" s="290"/>
      <c r="I35" s="290"/>
      <c r="J35" s="290"/>
      <c r="K35" s="290"/>
      <c r="L35" s="290"/>
      <c r="M35" s="290"/>
      <c r="N35" s="291"/>
    </row>
    <row r="36" spans="2:14">
      <c r="B36" s="269" t="s">
        <v>190</v>
      </c>
      <c r="C36" s="290">
        <v>7.6399999999999996E-2</v>
      </c>
      <c r="D36" s="290">
        <v>7.3400000000000007E-2</v>
      </c>
      <c r="E36" s="290">
        <v>6.88E-2</v>
      </c>
      <c r="F36" s="290">
        <v>8.09E-2</v>
      </c>
      <c r="G36" s="290">
        <v>0.1</v>
      </c>
      <c r="H36" s="290"/>
      <c r="I36" s="290"/>
      <c r="J36" s="290"/>
      <c r="K36" s="290"/>
      <c r="L36" s="290"/>
      <c r="M36" s="290"/>
      <c r="N36" s="291"/>
    </row>
    <row r="37" spans="2:14">
      <c r="B37" s="269" t="s">
        <v>191</v>
      </c>
      <c r="C37" s="290">
        <f>1-C38</f>
        <v>0.78939999999999999</v>
      </c>
      <c r="D37" s="290">
        <f>1-D38</f>
        <v>0.80190000000000006</v>
      </c>
      <c r="E37" s="290">
        <f>1-E38</f>
        <v>0.78110000000000002</v>
      </c>
      <c r="F37" s="290">
        <f>1-F38</f>
        <v>0.64129999999999998</v>
      </c>
      <c r="G37" s="290">
        <f>1-G38</f>
        <v>0.63680000000000003</v>
      </c>
      <c r="H37" s="290"/>
      <c r="I37" s="290"/>
      <c r="J37" s="290"/>
      <c r="K37" s="290"/>
      <c r="L37" s="290"/>
      <c r="M37" s="290"/>
      <c r="N37" s="291"/>
    </row>
    <row r="38" spans="2:14">
      <c r="B38" s="273" t="s">
        <v>192</v>
      </c>
      <c r="C38" s="292">
        <v>0.21060000000000001</v>
      </c>
      <c r="D38" s="292">
        <v>0.1981</v>
      </c>
      <c r="E38" s="292">
        <v>0.21890000000000001</v>
      </c>
      <c r="F38" s="292">
        <v>0.35870000000000002</v>
      </c>
      <c r="G38" s="292">
        <v>0.36320000000000002</v>
      </c>
      <c r="H38" s="292"/>
      <c r="I38" s="292"/>
      <c r="J38" s="292"/>
      <c r="K38" s="292"/>
      <c r="L38" s="292"/>
      <c r="M38" s="292"/>
      <c r="N38" s="293"/>
    </row>
    <row r="39" spans="2:14"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</row>
    <row r="40" spans="2:14">
      <c r="B40" s="280" t="s">
        <v>193</v>
      </c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</row>
    <row r="41" spans="2:14">
      <c r="B41" s="294" t="s">
        <v>194</v>
      </c>
      <c r="C41" s="287">
        <v>0.23710000000000001</v>
      </c>
      <c r="D41" s="287">
        <v>0.22869999999999999</v>
      </c>
      <c r="E41" s="287">
        <v>0.17649999999999999</v>
      </c>
      <c r="F41" s="287">
        <v>0.19170000000000001</v>
      </c>
      <c r="G41" s="287">
        <v>0.192</v>
      </c>
      <c r="H41" s="287"/>
      <c r="I41" s="287"/>
      <c r="J41" s="287"/>
      <c r="K41" s="287"/>
      <c r="L41" s="287"/>
      <c r="M41" s="287"/>
      <c r="N41" s="288"/>
    </row>
    <row r="42" spans="2:14">
      <c r="B42" s="295" t="s">
        <v>47</v>
      </c>
      <c r="C42" s="290">
        <v>8.9999999999999998E-4</v>
      </c>
      <c r="D42" s="290">
        <v>5.5999999999999999E-3</v>
      </c>
      <c r="E42" s="290">
        <v>0</v>
      </c>
      <c r="F42" s="290">
        <v>7.6E-3</v>
      </c>
      <c r="G42" s="290">
        <v>2.5399999999999999E-2</v>
      </c>
      <c r="H42" s="290"/>
      <c r="I42" s="290"/>
      <c r="J42" s="290"/>
      <c r="K42" s="290"/>
      <c r="L42" s="290"/>
      <c r="M42" s="290"/>
      <c r="N42" s="291"/>
    </row>
    <row r="43" spans="2:14">
      <c r="B43" s="269" t="s">
        <v>195</v>
      </c>
      <c r="C43" s="290">
        <v>0.15920000000000001</v>
      </c>
      <c r="D43" s="290">
        <v>0.1399</v>
      </c>
      <c r="E43" s="290">
        <v>9.98E-2</v>
      </c>
      <c r="F43" s="290">
        <v>0.13500000000000001</v>
      </c>
      <c r="G43" s="290">
        <v>0.14119999999999999</v>
      </c>
      <c r="H43" s="290"/>
      <c r="I43" s="290"/>
      <c r="J43" s="290"/>
      <c r="K43" s="290"/>
      <c r="L43" s="290"/>
      <c r="M43" s="290"/>
      <c r="N43" s="291"/>
    </row>
    <row r="44" spans="2:14">
      <c r="B44" s="269" t="s">
        <v>196</v>
      </c>
      <c r="C44" s="290">
        <v>0.19769999999999999</v>
      </c>
      <c r="D44" s="290">
        <v>0.2472</v>
      </c>
      <c r="E44" s="290">
        <v>0.46</v>
      </c>
      <c r="F44" s="290">
        <v>0.375</v>
      </c>
      <c r="G44" s="290">
        <v>0.46</v>
      </c>
      <c r="H44" s="290"/>
      <c r="I44" s="290"/>
      <c r="J44" s="290"/>
      <c r="K44" s="290"/>
      <c r="L44" s="290"/>
      <c r="M44" s="290"/>
      <c r="N44" s="291"/>
    </row>
    <row r="45" spans="2:14">
      <c r="B45" s="269" t="s">
        <v>197</v>
      </c>
      <c r="C45" s="290">
        <v>0.26069999999999999</v>
      </c>
      <c r="D45" s="290">
        <v>0.18959999999999999</v>
      </c>
      <c r="E45" s="290">
        <v>9.6799999999999997E-2</v>
      </c>
      <c r="F45" s="290">
        <v>0.14019999999999999</v>
      </c>
      <c r="G45" s="290">
        <v>0.09</v>
      </c>
      <c r="H45" s="290"/>
      <c r="I45" s="290"/>
      <c r="J45" s="290"/>
      <c r="K45" s="290"/>
      <c r="L45" s="290"/>
      <c r="M45" s="290"/>
      <c r="N45" s="291"/>
    </row>
    <row r="46" spans="2:14">
      <c r="B46" s="269" t="s">
        <v>198</v>
      </c>
      <c r="C46" s="290">
        <v>0</v>
      </c>
      <c r="D46" s="290">
        <v>0</v>
      </c>
      <c r="E46" s="290">
        <v>0</v>
      </c>
      <c r="F46" s="290">
        <v>0</v>
      </c>
      <c r="G46" s="290">
        <v>0</v>
      </c>
      <c r="H46" s="290"/>
      <c r="I46" s="290"/>
      <c r="J46" s="290"/>
      <c r="K46" s="290"/>
      <c r="L46" s="290"/>
      <c r="M46" s="290"/>
      <c r="N46" s="291"/>
    </row>
    <row r="47" spans="2:14">
      <c r="B47" s="269" t="s">
        <v>199</v>
      </c>
      <c r="C47" s="290">
        <v>1.0200000000000001E-2</v>
      </c>
      <c r="D47" s="290">
        <v>4.5999999999999999E-3</v>
      </c>
      <c r="E47" s="290">
        <v>0</v>
      </c>
      <c r="F47" s="290">
        <v>0</v>
      </c>
      <c r="G47" s="290">
        <v>0</v>
      </c>
      <c r="H47" s="290"/>
      <c r="I47" s="290"/>
      <c r="J47" s="290"/>
      <c r="K47" s="290"/>
      <c r="L47" s="290"/>
      <c r="M47" s="290"/>
      <c r="N47" s="291"/>
    </row>
    <row r="48" spans="2:14">
      <c r="B48" s="269" t="s">
        <v>105</v>
      </c>
      <c r="C48" s="290">
        <v>8.8000000000000005E-3</v>
      </c>
      <c r="D48" s="290">
        <v>6.1000000000000004E-3</v>
      </c>
      <c r="E48" s="290">
        <v>0</v>
      </c>
      <c r="F48" s="290">
        <v>3.2000000000000002E-3</v>
      </c>
      <c r="G48" s="290">
        <v>0</v>
      </c>
      <c r="H48" s="290"/>
      <c r="I48" s="290"/>
      <c r="J48" s="290"/>
      <c r="K48" s="290"/>
      <c r="L48" s="290"/>
      <c r="M48" s="290"/>
      <c r="N48" s="291"/>
    </row>
    <row r="49" spans="2:14">
      <c r="B49" s="269" t="s">
        <v>201</v>
      </c>
      <c r="C49" s="290">
        <v>0</v>
      </c>
      <c r="D49" s="290">
        <v>0</v>
      </c>
      <c r="E49" s="290">
        <v>0</v>
      </c>
      <c r="F49" s="290">
        <v>0</v>
      </c>
      <c r="G49" s="290">
        <v>0</v>
      </c>
      <c r="H49" s="290"/>
      <c r="I49" s="290"/>
      <c r="J49" s="290"/>
      <c r="K49" s="290"/>
      <c r="L49" s="290"/>
      <c r="M49" s="290"/>
      <c r="N49" s="291"/>
    </row>
    <row r="50" spans="2:14">
      <c r="B50" s="273" t="s">
        <v>27</v>
      </c>
      <c r="C50" s="292">
        <f>1-SUM(C41:C49)</f>
        <v>0.12540000000000007</v>
      </c>
      <c r="D50" s="292">
        <f>1-SUM(D41:D49)</f>
        <v>0.17830000000000001</v>
      </c>
      <c r="E50" s="292">
        <f>1-SUM(E41:E49)</f>
        <v>0.16690000000000005</v>
      </c>
      <c r="F50" s="292">
        <f>1-SUM(F41:F49)</f>
        <v>0.14729999999999999</v>
      </c>
      <c r="G50" s="292">
        <f>1-SUM(G41:G49)</f>
        <v>9.1400000000000037E-2</v>
      </c>
      <c r="H50" s="292"/>
      <c r="I50" s="292"/>
      <c r="J50" s="292"/>
      <c r="K50" s="292"/>
      <c r="L50" s="292"/>
      <c r="M50" s="292"/>
      <c r="N50" s="293"/>
    </row>
    <row r="51" spans="2:14"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</row>
    <row r="52" spans="2:14">
      <c r="B52" s="296" t="s">
        <v>28</v>
      </c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</row>
    <row r="53" spans="2:14">
      <c r="B53" s="266" t="s">
        <v>29</v>
      </c>
      <c r="C53" s="267">
        <v>55388</v>
      </c>
      <c r="D53" s="267">
        <v>64761</v>
      </c>
      <c r="E53" s="267">
        <v>75177</v>
      </c>
      <c r="F53" s="267">
        <v>119008</v>
      </c>
      <c r="G53" s="267">
        <v>95965</v>
      </c>
      <c r="H53" s="267"/>
      <c r="I53" s="267"/>
      <c r="J53" s="267"/>
      <c r="K53" s="267"/>
      <c r="L53" s="267"/>
      <c r="M53" s="267"/>
      <c r="N53" s="268"/>
    </row>
    <row r="54" spans="2:14">
      <c r="B54" s="269" t="s">
        <v>30</v>
      </c>
      <c r="C54" s="270">
        <v>51195</v>
      </c>
      <c r="D54" s="298">
        <v>57039</v>
      </c>
      <c r="E54" s="270">
        <v>67955</v>
      </c>
      <c r="F54" s="270">
        <v>95000</v>
      </c>
      <c r="G54" s="270">
        <v>73478</v>
      </c>
      <c r="H54" s="270"/>
      <c r="I54" s="270"/>
      <c r="J54" s="270"/>
      <c r="K54" s="270"/>
      <c r="L54" s="270"/>
      <c r="M54" s="270"/>
      <c r="N54" s="271"/>
    </row>
    <row r="55" spans="2:14">
      <c r="B55" s="269" t="s">
        <v>31</v>
      </c>
      <c r="C55" s="270">
        <v>3439</v>
      </c>
      <c r="D55" s="270">
        <v>4543</v>
      </c>
      <c r="E55" s="270">
        <v>4079</v>
      </c>
      <c r="F55" s="270">
        <v>7669</v>
      </c>
      <c r="G55" s="270">
        <v>5680</v>
      </c>
      <c r="H55" s="270"/>
      <c r="I55" s="270"/>
      <c r="J55" s="270"/>
      <c r="K55" s="270"/>
      <c r="L55" s="270"/>
      <c r="M55" s="270"/>
      <c r="N55" s="271"/>
    </row>
    <row r="56" spans="2:14">
      <c r="B56" s="269" t="s">
        <v>11</v>
      </c>
      <c r="C56" s="299">
        <f>(C54/C53)*C55</f>
        <v>3178.6597277388605</v>
      </c>
      <c r="D56" s="299">
        <f>(D54/D53)*D55</f>
        <v>4001.299810070876</v>
      </c>
      <c r="E56" s="299">
        <f>(E54/E53)*E55</f>
        <v>3687.1442728494089</v>
      </c>
      <c r="F56" s="299">
        <f>(F54/F53)*F55</f>
        <v>6121.8993681097072</v>
      </c>
      <c r="G56" s="299">
        <f>(G54/G53)*G55</f>
        <v>4349.0339186161618</v>
      </c>
      <c r="H56" s="270"/>
      <c r="I56" s="270"/>
      <c r="J56" s="270"/>
      <c r="K56" s="270"/>
      <c r="L56" s="270"/>
      <c r="M56" s="270"/>
      <c r="N56" s="271"/>
    </row>
    <row r="57" spans="2:14">
      <c r="B57" s="273" t="s">
        <v>32</v>
      </c>
      <c r="C57" s="292">
        <v>0.80500000000000005</v>
      </c>
      <c r="D57" s="292">
        <v>0.58499999999999996</v>
      </c>
      <c r="E57" s="126">
        <v>0.77400000000000002</v>
      </c>
      <c r="F57" s="126">
        <v>0.47699999999999998</v>
      </c>
      <c r="G57" s="126">
        <v>0.56899999999999995</v>
      </c>
      <c r="H57" s="275"/>
      <c r="I57" s="275"/>
      <c r="J57" s="275"/>
      <c r="K57" s="275"/>
      <c r="L57" s="275"/>
      <c r="M57" s="275"/>
      <c r="N57" s="276"/>
    </row>
    <row r="58" spans="2:14">
      <c r="B58" s="300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</row>
    <row r="59" spans="2:14">
      <c r="B59" s="296" t="s">
        <v>33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</row>
    <row r="60" spans="2:14">
      <c r="B60" s="266" t="s">
        <v>50</v>
      </c>
      <c r="C60" s="303">
        <v>0</v>
      </c>
      <c r="D60" s="303">
        <v>0</v>
      </c>
      <c r="E60" s="303">
        <v>0</v>
      </c>
      <c r="F60" s="303">
        <v>0</v>
      </c>
      <c r="G60" s="303">
        <v>0</v>
      </c>
      <c r="H60" s="303">
        <v>0</v>
      </c>
      <c r="I60" s="303">
        <v>0</v>
      </c>
      <c r="J60" s="303">
        <v>0</v>
      </c>
      <c r="K60" s="303">
        <v>0</v>
      </c>
      <c r="L60" s="303">
        <v>0</v>
      </c>
      <c r="M60" s="303">
        <v>0</v>
      </c>
      <c r="N60" s="304">
        <v>0</v>
      </c>
    </row>
    <row r="61" spans="2:14">
      <c r="B61" s="269" t="s">
        <v>29</v>
      </c>
      <c r="C61" s="305">
        <v>0</v>
      </c>
      <c r="D61" s="305">
        <v>0</v>
      </c>
      <c r="E61" s="305">
        <v>0</v>
      </c>
      <c r="F61" s="305">
        <v>0</v>
      </c>
      <c r="G61" s="305">
        <v>0</v>
      </c>
      <c r="H61" s="305">
        <v>0</v>
      </c>
      <c r="I61" s="305">
        <v>0</v>
      </c>
      <c r="J61" s="305">
        <v>0</v>
      </c>
      <c r="K61" s="305">
        <v>0</v>
      </c>
      <c r="L61" s="305">
        <v>0</v>
      </c>
      <c r="M61" s="305">
        <v>0</v>
      </c>
      <c r="N61" s="306">
        <v>0</v>
      </c>
    </row>
    <row r="62" spans="2:14">
      <c r="B62" s="269" t="s">
        <v>30</v>
      </c>
      <c r="C62" s="305">
        <v>0</v>
      </c>
      <c r="D62" s="305">
        <v>0</v>
      </c>
      <c r="E62" s="305">
        <v>0</v>
      </c>
      <c r="F62" s="305">
        <v>0</v>
      </c>
      <c r="G62" s="305">
        <v>0</v>
      </c>
      <c r="H62" s="305">
        <v>0</v>
      </c>
      <c r="I62" s="305">
        <v>0</v>
      </c>
      <c r="J62" s="305">
        <v>0</v>
      </c>
      <c r="K62" s="305">
        <v>0</v>
      </c>
      <c r="L62" s="305">
        <v>0</v>
      </c>
      <c r="M62" s="305">
        <v>0</v>
      </c>
      <c r="N62" s="306">
        <v>0</v>
      </c>
    </row>
    <row r="63" spans="2:14">
      <c r="B63" s="269" t="s">
        <v>31</v>
      </c>
      <c r="C63" s="305">
        <v>0</v>
      </c>
      <c r="D63" s="305">
        <v>0</v>
      </c>
      <c r="E63" s="305">
        <v>0</v>
      </c>
      <c r="F63" s="305">
        <v>0</v>
      </c>
      <c r="G63" s="305">
        <v>0</v>
      </c>
      <c r="H63" s="305">
        <v>0</v>
      </c>
      <c r="I63" s="305">
        <v>0</v>
      </c>
      <c r="J63" s="305">
        <v>0</v>
      </c>
      <c r="K63" s="305">
        <v>0</v>
      </c>
      <c r="L63" s="305">
        <v>0</v>
      </c>
      <c r="M63" s="305">
        <v>0</v>
      </c>
      <c r="N63" s="306">
        <v>0</v>
      </c>
    </row>
    <row r="64" spans="2:14">
      <c r="B64" s="273" t="s">
        <v>12</v>
      </c>
      <c r="C64" s="307">
        <v>0</v>
      </c>
      <c r="D64" s="307">
        <v>0</v>
      </c>
      <c r="E64" s="307">
        <v>0</v>
      </c>
      <c r="F64" s="307">
        <v>0</v>
      </c>
      <c r="G64" s="307">
        <v>0</v>
      </c>
      <c r="H64" s="307">
        <v>0</v>
      </c>
      <c r="I64" s="307">
        <v>0</v>
      </c>
      <c r="J64" s="307">
        <v>0</v>
      </c>
      <c r="K64" s="307">
        <v>0</v>
      </c>
      <c r="L64" s="307">
        <v>0</v>
      </c>
      <c r="M64" s="307">
        <v>0</v>
      </c>
      <c r="N64" s="308">
        <v>0</v>
      </c>
    </row>
    <row r="65" spans="2:14"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</row>
    <row r="66" spans="2:14">
      <c r="B66" s="310" t="s">
        <v>34</v>
      </c>
      <c r="C66" s="311"/>
      <c r="D66" s="311"/>
      <c r="E66" s="311"/>
      <c r="F66" s="311"/>
      <c r="G66" s="311"/>
      <c r="H66" s="311"/>
      <c r="I66" s="311"/>
      <c r="J66" s="311"/>
      <c r="K66" s="311"/>
      <c r="L66" s="311"/>
      <c r="M66" s="311"/>
      <c r="N66" s="311"/>
    </row>
    <row r="67" spans="2:14">
      <c r="B67" s="266" t="s">
        <v>35</v>
      </c>
      <c r="C67" s="267">
        <v>44189</v>
      </c>
      <c r="D67" s="267">
        <v>46655</v>
      </c>
      <c r="E67" s="267">
        <v>52282</v>
      </c>
      <c r="F67" s="267">
        <v>56700</v>
      </c>
      <c r="G67" s="110">
        <v>60558</v>
      </c>
      <c r="H67" s="267"/>
      <c r="I67" s="267"/>
      <c r="J67" s="267"/>
      <c r="K67" s="267"/>
      <c r="L67" s="267"/>
      <c r="M67" s="267"/>
      <c r="N67" s="268"/>
    </row>
    <row r="68" spans="2:14">
      <c r="B68" s="269" t="s">
        <v>36</v>
      </c>
      <c r="C68" s="270">
        <v>9216</v>
      </c>
      <c r="D68" s="270">
        <v>9590</v>
      </c>
      <c r="E68" s="270">
        <v>10100</v>
      </c>
      <c r="F68" s="270">
        <v>10800</v>
      </c>
      <c r="G68" s="113">
        <v>11584</v>
      </c>
      <c r="H68" s="270"/>
      <c r="I68" s="270"/>
      <c r="J68" s="270"/>
      <c r="K68" s="270"/>
      <c r="L68" s="270"/>
      <c r="M68" s="270"/>
      <c r="N68" s="271"/>
    </row>
    <row r="69" spans="2:14">
      <c r="B69" s="273" t="s">
        <v>46</v>
      </c>
      <c r="C69" s="275">
        <v>3399</v>
      </c>
      <c r="D69" s="275">
        <v>3471</v>
      </c>
      <c r="E69" s="275">
        <v>3588</v>
      </c>
      <c r="F69" s="275">
        <v>4259</v>
      </c>
      <c r="G69" s="275">
        <v>4825</v>
      </c>
      <c r="H69" s="275"/>
      <c r="I69" s="275"/>
      <c r="J69" s="275"/>
      <c r="K69" s="275"/>
      <c r="L69" s="275"/>
      <c r="M69" s="275"/>
      <c r="N69" s="276"/>
    </row>
    <row r="70" spans="2:14"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</row>
    <row r="71" spans="2:14">
      <c r="B71" s="310" t="s">
        <v>37</v>
      </c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</row>
    <row r="72" spans="2:14">
      <c r="B72" s="266" t="s">
        <v>38</v>
      </c>
      <c r="C72" s="313">
        <v>0</v>
      </c>
      <c r="D72" s="313">
        <v>0</v>
      </c>
      <c r="E72" s="313">
        <v>0</v>
      </c>
      <c r="F72" s="313">
        <v>0</v>
      </c>
      <c r="G72" s="313">
        <v>0</v>
      </c>
      <c r="H72" s="313">
        <v>0</v>
      </c>
      <c r="I72" s="313">
        <v>0</v>
      </c>
      <c r="J72" s="313">
        <v>0</v>
      </c>
      <c r="K72" s="313">
        <v>0</v>
      </c>
      <c r="L72" s="313">
        <v>0</v>
      </c>
      <c r="M72" s="313">
        <v>0</v>
      </c>
      <c r="N72" s="314">
        <v>0</v>
      </c>
    </row>
    <row r="73" spans="2:14">
      <c r="B73" s="269" t="s">
        <v>39</v>
      </c>
      <c r="C73" s="315">
        <v>0</v>
      </c>
      <c r="D73" s="315">
        <v>0</v>
      </c>
      <c r="E73" s="315">
        <v>0</v>
      </c>
      <c r="F73" s="315">
        <v>0</v>
      </c>
      <c r="G73" s="315">
        <v>0</v>
      </c>
      <c r="H73" s="315">
        <v>0</v>
      </c>
      <c r="I73" s="315">
        <v>0</v>
      </c>
      <c r="J73" s="315">
        <v>0</v>
      </c>
      <c r="K73" s="315">
        <v>0</v>
      </c>
      <c r="L73" s="315">
        <v>0</v>
      </c>
      <c r="M73" s="315">
        <v>0</v>
      </c>
      <c r="N73" s="316">
        <v>0</v>
      </c>
    </row>
    <row r="74" spans="2:14">
      <c r="B74" s="269" t="s">
        <v>40</v>
      </c>
      <c r="C74" s="315">
        <v>0</v>
      </c>
      <c r="D74" s="315">
        <v>0</v>
      </c>
      <c r="E74" s="315">
        <v>0</v>
      </c>
      <c r="F74" s="315">
        <v>0</v>
      </c>
      <c r="G74" s="315">
        <v>0</v>
      </c>
      <c r="H74" s="315">
        <v>0</v>
      </c>
      <c r="I74" s="315">
        <v>0</v>
      </c>
      <c r="J74" s="315">
        <v>0</v>
      </c>
      <c r="K74" s="315">
        <v>0</v>
      </c>
      <c r="L74" s="315">
        <v>0</v>
      </c>
      <c r="M74" s="315">
        <v>0</v>
      </c>
      <c r="N74" s="316">
        <v>0</v>
      </c>
    </row>
    <row r="75" spans="2:14">
      <c r="B75" s="273" t="s">
        <v>41</v>
      </c>
      <c r="C75" s="317">
        <v>0</v>
      </c>
      <c r="D75" s="317">
        <v>0</v>
      </c>
      <c r="E75" s="317">
        <v>0</v>
      </c>
      <c r="F75" s="317">
        <v>0</v>
      </c>
      <c r="G75" s="317">
        <v>0</v>
      </c>
      <c r="H75" s="317">
        <v>0</v>
      </c>
      <c r="I75" s="317">
        <v>0</v>
      </c>
      <c r="J75" s="317">
        <v>0</v>
      </c>
      <c r="K75" s="317">
        <v>0</v>
      </c>
      <c r="L75" s="317">
        <v>0</v>
      </c>
      <c r="M75" s="317">
        <v>0</v>
      </c>
      <c r="N75" s="318">
        <v>0</v>
      </c>
    </row>
    <row r="76" spans="2:14"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</row>
    <row r="77" spans="2:14">
      <c r="B77" s="310" t="s">
        <v>42</v>
      </c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</row>
    <row r="78" spans="2:14">
      <c r="B78" s="266" t="s">
        <v>43</v>
      </c>
      <c r="C78" s="313">
        <v>0</v>
      </c>
      <c r="D78" s="313">
        <v>0</v>
      </c>
      <c r="E78" s="313">
        <v>0</v>
      </c>
      <c r="F78" s="313">
        <v>0</v>
      </c>
      <c r="G78" s="313">
        <v>0</v>
      </c>
      <c r="H78" s="313">
        <v>0</v>
      </c>
      <c r="I78" s="313">
        <v>0</v>
      </c>
      <c r="J78" s="313">
        <v>0</v>
      </c>
      <c r="K78" s="313">
        <v>0</v>
      </c>
      <c r="L78" s="313">
        <v>0</v>
      </c>
      <c r="M78" s="313">
        <v>0</v>
      </c>
      <c r="N78" s="314">
        <v>0</v>
      </c>
    </row>
    <row r="79" spans="2:14">
      <c r="B79" s="269" t="s">
        <v>44</v>
      </c>
      <c r="C79" s="315">
        <v>0</v>
      </c>
      <c r="D79" s="315">
        <v>0</v>
      </c>
      <c r="E79" s="315">
        <v>0</v>
      </c>
      <c r="F79" s="315">
        <v>0</v>
      </c>
      <c r="G79" s="315">
        <v>0</v>
      </c>
      <c r="H79" s="315">
        <v>0</v>
      </c>
      <c r="I79" s="315">
        <v>0</v>
      </c>
      <c r="J79" s="315">
        <v>0</v>
      </c>
      <c r="K79" s="315">
        <v>0</v>
      </c>
      <c r="L79" s="315">
        <v>0</v>
      </c>
      <c r="M79" s="315">
        <v>0</v>
      </c>
      <c r="N79" s="316">
        <v>0</v>
      </c>
    </row>
    <row r="80" spans="2:14">
      <c r="B80" s="273" t="s">
        <v>162</v>
      </c>
      <c r="C80" s="317">
        <v>0</v>
      </c>
      <c r="D80" s="317">
        <v>0</v>
      </c>
      <c r="E80" s="317">
        <v>0</v>
      </c>
      <c r="F80" s="317">
        <v>0</v>
      </c>
      <c r="G80" s="317">
        <v>0</v>
      </c>
      <c r="H80" s="317">
        <v>0</v>
      </c>
      <c r="I80" s="317">
        <v>0</v>
      </c>
      <c r="J80" s="317">
        <v>0</v>
      </c>
      <c r="K80" s="317">
        <v>0</v>
      </c>
      <c r="L80" s="317">
        <v>0</v>
      </c>
      <c r="M80" s="317">
        <v>0</v>
      </c>
      <c r="N80" s="318">
        <v>0</v>
      </c>
    </row>
  </sheetData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tabSelected="1" workbookViewId="0">
      <pane xSplit="2" ySplit="4" topLeftCell="C14" activePane="bottomRight" state="frozenSplit"/>
      <selection activeCell="F58" sqref="F58"/>
      <selection pane="topRight" activeCell="F58" sqref="F58"/>
      <selection pane="bottomLeft" activeCell="F58" sqref="F58"/>
      <selection pane="bottomRight" activeCell="G50" sqref="G50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3" width="13.1640625" style="98" bestFit="1" customWidth="1"/>
    <col min="4" max="6" width="12.33203125" style="98" bestFit="1" customWidth="1"/>
    <col min="7" max="14" width="11.1640625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100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1.2622313336912838</v>
      </c>
      <c r="D7" s="177">
        <f t="shared" ref="D7:N8" si="0">IF(ISERROR(D18/D17),"NM",D18/D17)</f>
        <v>1.2586108401839209</v>
      </c>
      <c r="E7" s="177">
        <f t="shared" si="0"/>
        <v>1.2579177284310157</v>
      </c>
      <c r="F7" s="177">
        <f t="shared" si="0"/>
        <v>1.310321603767727</v>
      </c>
      <c r="G7" s="177">
        <f t="shared" si="0"/>
        <v>1.3113926684623656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1.6680424862718812</v>
      </c>
      <c r="D8" s="177">
        <f t="shared" si="0"/>
        <v>1.5418749296564653</v>
      </c>
      <c r="E8" s="177">
        <f t="shared" si="0"/>
        <v>1.5369342625049982</v>
      </c>
      <c r="F8" s="177">
        <f t="shared" si="0"/>
        <v>1.5003286855615299</v>
      </c>
      <c r="G8" s="177">
        <f t="shared" si="0"/>
        <v>1.4002436543211618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0.14930779344659567</v>
      </c>
      <c r="D9" s="177">
        <f t="shared" ref="D9:N9" si="1">IF(ISERROR((D54+D62)/D18),"NM",(D54+D62)/D18)</f>
        <v>9.6504871924027139E-2</v>
      </c>
      <c r="E9" s="177">
        <f t="shared" si="1"/>
        <v>0.10300549381304232</v>
      </c>
      <c r="F9" s="177">
        <f t="shared" si="1"/>
        <v>8.1539536437923388E-2</v>
      </c>
      <c r="G9" s="177">
        <f t="shared" si="1"/>
        <v>4.8324479854442111E-2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0.46851566237916997</v>
      </c>
      <c r="D10" s="177">
        <f t="shared" ref="D10:N10" si="2">IF(ISERROR(((D56+D64)/D18)*60),"NM",((D56+D64)/D18)*60)</f>
        <v>0.29353315789477508</v>
      </c>
      <c r="E10" s="177">
        <f t="shared" si="2"/>
        <v>0.30268602761721197</v>
      </c>
      <c r="F10" s="177">
        <f t="shared" si="2"/>
        <v>0.255697498446747</v>
      </c>
      <c r="G10" s="177">
        <f t="shared" si="2"/>
        <v>8.0309030189293931E-2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3.1379183334240914</v>
      </c>
      <c r="D11" s="177">
        <f t="shared" ref="D11:N11" si="3">IF(ISERROR(((D56+D64)/(D54+D62))*60),"NM",((D56+D64)/(D54+D62))*60)</f>
        <v>3.0416408212619284</v>
      </c>
      <c r="E11" s="177">
        <f t="shared" si="3"/>
        <v>2.9385425612986733</v>
      </c>
      <c r="F11" s="177">
        <f t="shared" si="3"/>
        <v>3.1358713774563984</v>
      </c>
      <c r="G11" s="177">
        <f t="shared" si="3"/>
        <v>1.6618705556933524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0.19002552269973447</v>
      </c>
      <c r="D12" s="178">
        <f t="shared" ref="D12:N12" si="4">IF(ISERROR(D28/D18),"NM",D28/D18)</f>
        <v>0.23101462592000119</v>
      </c>
      <c r="E12" s="178">
        <f t="shared" si="4"/>
        <v>0.2508405642866367</v>
      </c>
      <c r="F12" s="178">
        <f t="shared" si="4"/>
        <v>0.24366718308575594</v>
      </c>
      <c r="G12" s="178">
        <f t="shared" si="4"/>
        <v>0.27183412465157608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  <c r="G16" s="98">
        <f>G17/C17</f>
        <v>2.8148907437236623</v>
      </c>
    </row>
    <row r="17" spans="2:16">
      <c r="B17" s="109" t="s">
        <v>157</v>
      </c>
      <c r="C17" s="110">
        <v>307305</v>
      </c>
      <c r="D17" s="110">
        <v>430620</v>
      </c>
      <c r="E17" s="110">
        <v>510942</v>
      </c>
      <c r="F17" s="110">
        <v>628071</v>
      </c>
      <c r="G17" s="110">
        <v>865030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387890</v>
      </c>
      <c r="D18" s="113">
        <v>541983</v>
      </c>
      <c r="E18" s="113">
        <v>642723</v>
      </c>
      <c r="F18" s="113">
        <v>822975</v>
      </c>
      <c r="G18" s="113">
        <v>1134394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647017</v>
      </c>
      <c r="D19" s="113">
        <v>835670</v>
      </c>
      <c r="E19" s="113">
        <v>987823</v>
      </c>
      <c r="F19" s="113">
        <v>1234733</v>
      </c>
      <c r="G19" s="113">
        <v>1588428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2.36</v>
      </c>
      <c r="D20" s="167">
        <v>2.1</v>
      </c>
      <c r="E20" s="167">
        <v>2.04</v>
      </c>
      <c r="F20" s="167">
        <v>2.11</v>
      </c>
      <c r="G20" s="167">
        <v>1.36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314181</v>
      </c>
      <c r="D23" s="110">
        <f t="shared" si="5"/>
        <v>416777</v>
      </c>
      <c r="E23" s="110">
        <f t="shared" si="5"/>
        <v>481502</v>
      </c>
      <c r="F23" s="110">
        <f t="shared" si="5"/>
        <v>622443</v>
      </c>
      <c r="G23" s="110">
        <f t="shared" si="5"/>
        <v>826027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553655</v>
      </c>
      <c r="D24" s="113">
        <f t="shared" si="6"/>
        <v>677006</v>
      </c>
      <c r="E24" s="113">
        <f t="shared" si="6"/>
        <v>783322</v>
      </c>
      <c r="F24" s="113">
        <f t="shared" si="6"/>
        <v>983146</v>
      </c>
      <c r="G24" s="113">
        <f t="shared" si="6"/>
        <v>1205922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2.5299999999999998</v>
      </c>
      <c r="D25" s="167">
        <v>2.33</v>
      </c>
      <c r="E25" s="116">
        <v>2.2999999999999998</v>
      </c>
      <c r="F25" s="167">
        <v>2.35</v>
      </c>
      <c r="G25" s="116">
        <v>1.5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73709</v>
      </c>
      <c r="D28" s="110">
        <v>125206</v>
      </c>
      <c r="E28" s="110">
        <v>161221</v>
      </c>
      <c r="F28" s="110">
        <v>200532</v>
      </c>
      <c r="G28" s="110">
        <v>308367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93362</v>
      </c>
      <c r="D29" s="113">
        <v>158664</v>
      </c>
      <c r="E29" s="113">
        <v>204501</v>
      </c>
      <c r="F29" s="113">
        <v>251587</v>
      </c>
      <c r="G29" s="113">
        <v>382506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1.05</v>
      </c>
      <c r="D30" s="167">
        <v>0.54</v>
      </c>
      <c r="E30" s="116">
        <v>0.53</v>
      </c>
      <c r="F30" s="167">
        <v>0.59</v>
      </c>
      <c r="G30" s="116">
        <v>0.46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0.77910000000000001</v>
      </c>
      <c r="D33" s="121">
        <v>0.79579999999999995</v>
      </c>
      <c r="E33" s="121">
        <v>0.8</v>
      </c>
      <c r="F33" s="121">
        <v>0.80959999999999999</v>
      </c>
      <c r="G33" s="121">
        <v>0.83479999999999999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0.72060000000000002</v>
      </c>
      <c r="D34" s="123">
        <v>0.72940000000000005</v>
      </c>
      <c r="E34" s="124">
        <v>0.72</v>
      </c>
      <c r="F34" s="124">
        <v>0.68210000000000004</v>
      </c>
      <c r="G34" s="124">
        <v>0.68769999999999998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0.27939999999999998</v>
      </c>
      <c r="D35" s="124">
        <f>1-D34</f>
        <v>0.27059999999999995</v>
      </c>
      <c r="E35" s="124">
        <f>1-E34</f>
        <v>0.28000000000000003</v>
      </c>
      <c r="F35" s="124">
        <f>1-F34</f>
        <v>0.31789999999999996</v>
      </c>
      <c r="G35" s="124">
        <f>1-G34</f>
        <v>0.31230000000000002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3.9300000000000002E-2</v>
      </c>
      <c r="D36" s="124">
        <v>3.0499999999999999E-2</v>
      </c>
      <c r="E36" s="124">
        <v>0.03</v>
      </c>
      <c r="F36" s="124">
        <v>3.0200000000000001E-2</v>
      </c>
      <c r="G36" s="124">
        <v>3.2399999999999998E-2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0.8458</v>
      </c>
      <c r="D37" s="124">
        <f>1-D38</f>
        <v>0.86009999999999998</v>
      </c>
      <c r="E37" s="124">
        <f>1-E38</f>
        <v>0.86099999999999999</v>
      </c>
      <c r="F37" s="124">
        <f>1-F38</f>
        <v>0.86180000000000001</v>
      </c>
      <c r="G37" s="124">
        <f>1-G38</f>
        <v>0.88480000000000003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0.1542</v>
      </c>
      <c r="D38" s="126">
        <v>0.1399</v>
      </c>
      <c r="E38" s="126">
        <v>0.13900000000000001</v>
      </c>
      <c r="F38" s="126">
        <v>0.13819999999999999</v>
      </c>
      <c r="G38" s="126">
        <v>0.1152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220"/>
      <c r="D40" s="220"/>
      <c r="E40" s="118" t="s">
        <v>183</v>
      </c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0.24779999999999999</v>
      </c>
      <c r="D41" s="121">
        <v>0.23960000000000001</v>
      </c>
      <c r="E41" s="121">
        <v>0.25309999999999999</v>
      </c>
      <c r="F41" s="121">
        <v>0.25509999999999999</v>
      </c>
      <c r="G41" s="121">
        <v>0.23880000000000001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4.53E-2</v>
      </c>
      <c r="D42" s="124">
        <v>1.7999999999999999E-2</v>
      </c>
      <c r="E42" s="124">
        <v>3.5000000000000003E-2</v>
      </c>
      <c r="F42" s="124">
        <v>3.5000000000000003E-2</v>
      </c>
      <c r="G42" s="124">
        <v>0.03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0.245</v>
      </c>
      <c r="D43" s="124">
        <v>0.16600000000000001</v>
      </c>
      <c r="E43" s="124">
        <v>0.16</v>
      </c>
      <c r="F43" s="124">
        <v>0.12</v>
      </c>
      <c r="G43" s="124">
        <v>0.1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0.2908</v>
      </c>
      <c r="D44" s="124">
        <v>0.37</v>
      </c>
      <c r="E44" s="124">
        <v>0.36</v>
      </c>
      <c r="F44" s="124">
        <v>0.41499999999999998</v>
      </c>
      <c r="G44" s="124">
        <v>0.45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2.6200000000000001E-2</v>
      </c>
      <c r="D45" s="124">
        <v>8.4000000000000005E-2</v>
      </c>
      <c r="E45" s="124">
        <v>7.4999999999999997E-2</v>
      </c>
      <c r="F45" s="124">
        <v>7.3800000000000004E-2</v>
      </c>
      <c r="G45" s="124">
        <v>4.4999999999999998E-2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105</v>
      </c>
      <c r="C46" s="124">
        <v>0</v>
      </c>
      <c r="D46" s="124">
        <v>3.7000000000000002E-3</v>
      </c>
      <c r="E46" s="124">
        <v>2.7000000000000001E-3</v>
      </c>
      <c r="F46" s="124">
        <v>3.0000000000000001E-3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106</v>
      </c>
      <c r="C47" s="124">
        <v>2.8999999999999998E-3</v>
      </c>
      <c r="D47" s="124">
        <v>1.8E-3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2.8E-5</v>
      </c>
      <c r="D48" s="124">
        <v>2.8E-5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2.0999999999999999E-3</v>
      </c>
      <c r="D49" s="124">
        <v>2.0999999999999999E-3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0.139872</v>
      </c>
      <c r="D50" s="126">
        <f>1-SUM(D41:D49)</f>
        <v>0.11477199999999999</v>
      </c>
      <c r="E50" s="126">
        <f>1-SUM(E41:E49)</f>
        <v>0.11419999999999997</v>
      </c>
      <c r="F50" s="126">
        <f>1-SUM(F41:F49)</f>
        <v>9.8100000000000076E-2</v>
      </c>
      <c r="G50" s="126">
        <f>1-SUM(G41:G49)</f>
        <v>0.13619999999999999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93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87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362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10">
        <v>17159</v>
      </c>
      <c r="D60" s="110">
        <v>10790</v>
      </c>
      <c r="E60" s="110">
        <v>10002</v>
      </c>
      <c r="F60" s="110">
        <v>7796</v>
      </c>
      <c r="G60" s="110">
        <v>16112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3360567</v>
      </c>
      <c r="D61" s="113">
        <v>2419837</v>
      </c>
      <c r="E61" s="113">
        <v>2645408</v>
      </c>
      <c r="F61" s="113">
        <v>2135240</v>
      </c>
      <c r="G61" s="113">
        <v>14223816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57915</v>
      </c>
      <c r="D62" s="113">
        <v>52304</v>
      </c>
      <c r="E62" s="113">
        <v>66204</v>
      </c>
      <c r="F62" s="363">
        <v>67105</v>
      </c>
      <c r="G62" s="113">
        <v>54819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175753.08</v>
      </c>
      <c r="D63" s="113">
        <f>7360275/60</f>
        <v>122671.25</v>
      </c>
      <c r="E63" s="113">
        <f>7773644/60</f>
        <v>129560.73333333334</v>
      </c>
      <c r="F63" s="113">
        <f>6695838/60</f>
        <v>111597.3</v>
      </c>
      <c r="G63" s="113">
        <f>23638141/60</f>
        <v>393969.01666666666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3028.8756713376042</v>
      </c>
      <c r="D64" s="92">
        <f>(D62/D61)*D63</f>
        <v>2651.4996919213982</v>
      </c>
      <c r="E64" s="92">
        <f>(E62/E61)*E63</f>
        <v>3242.3878621369558</v>
      </c>
      <c r="F64" s="92">
        <f>(F62/F61)*F63</f>
        <v>3507.2108130701936</v>
      </c>
      <c r="G64" s="92">
        <f>(G62/G61)*G63</f>
        <v>1518.3680332092315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444800</v>
      </c>
      <c r="D67" s="110">
        <v>456890</v>
      </c>
      <c r="E67" s="110">
        <v>685790</v>
      </c>
      <c r="F67" s="369">
        <v>692440</v>
      </c>
      <c r="G67" s="110">
        <v>701547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73984</v>
      </c>
      <c r="D68" s="131">
        <v>75289</v>
      </c>
      <c r="E68" s="131">
        <v>76981</v>
      </c>
      <c r="F68" s="370">
        <v>78664</v>
      </c>
      <c r="G68" s="131"/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37" t="s">
        <v>42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</row>
    <row r="77" spans="2:14">
      <c r="B77" s="109" t="s">
        <v>43</v>
      </c>
      <c r="C77" s="152">
        <v>0</v>
      </c>
      <c r="D77" s="152">
        <v>0</v>
      </c>
      <c r="E77" s="152">
        <v>0</v>
      </c>
      <c r="F77" s="152">
        <v>0</v>
      </c>
      <c r="G77" s="152">
        <v>0</v>
      </c>
      <c r="H77" s="152">
        <v>0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3">
        <v>0</v>
      </c>
    </row>
    <row r="78" spans="2:14">
      <c r="B78" s="112" t="s">
        <v>44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5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16" activePane="bottomRight" state="frozenSplit"/>
      <selection activeCell="G74" sqref="G74"/>
      <selection pane="topRight" activeCell="G74" sqref="G74"/>
      <selection pane="bottomLeft" activeCell="G74" sqref="G74"/>
      <selection pane="bottomRight" activeCell="H49" sqref="H49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49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 ht="15" thickTop="1">
      <c r="B7" s="98" t="s">
        <v>3</v>
      </c>
      <c r="C7" s="177">
        <f>IF(ISERROR(C18/C17),"NM",C18/C17)</f>
        <v>1.4009211806681803</v>
      </c>
      <c r="D7" s="177">
        <f t="shared" ref="D7:N8" si="0">IF(ISERROR(D18/D17),"NM",D18/D17)</f>
        <v>1.3054971980181944</v>
      </c>
      <c r="E7" s="177">
        <f t="shared" si="0"/>
        <v>1.3220024940836368</v>
      </c>
      <c r="F7" s="177">
        <f t="shared" si="0"/>
        <v>1.3789952199419899</v>
      </c>
      <c r="G7" s="177">
        <f t="shared" si="0"/>
        <v>1.4490143655227454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2.1748258872342001</v>
      </c>
      <c r="D8" s="177">
        <f t="shared" si="0"/>
        <v>1.8896363547284438</v>
      </c>
      <c r="E8" s="177">
        <f t="shared" si="0"/>
        <v>1.7617771512947564</v>
      </c>
      <c r="F8" s="177">
        <f t="shared" si="0"/>
        <v>1.676224933605327</v>
      </c>
      <c r="G8" s="177">
        <f t="shared" si="0"/>
        <v>1.8592928566904328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6.4968141068385563E-3</v>
      </c>
      <c r="D9" s="177">
        <f t="shared" ref="D9:N9" si="1">IF(ISERROR((D54+D62)/D18),"NM",(D54+D62)/D18)</f>
        <v>5.9169144610143175E-3</v>
      </c>
      <c r="E9" s="177">
        <f t="shared" si="1"/>
        <v>3.8241071500352396E-3</v>
      </c>
      <c r="F9" s="177">
        <f t="shared" si="1"/>
        <v>1.5452468659223822E-2</v>
      </c>
      <c r="G9" s="177">
        <f t="shared" si="1"/>
        <v>6.3146647279296543E-3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1.7340720252252386E-2</v>
      </c>
      <c r="D10" s="177">
        <f t="shared" ref="D10:N10" si="2">IF(ISERROR(((D56+D64)/D18)*60),"NM",((D56+D64)/D18)*60)</f>
        <v>1.559043334846295E-2</v>
      </c>
      <c r="E10" s="177">
        <f t="shared" si="2"/>
        <v>9.1171597764157369E-3</v>
      </c>
      <c r="F10" s="177">
        <f t="shared" si="2"/>
        <v>3.44500258524046E-2</v>
      </c>
      <c r="G10" s="177">
        <f t="shared" si="2"/>
        <v>1.4883099976902804E-2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2.6691113470523211</v>
      </c>
      <c r="D11" s="177">
        <f t="shared" ref="D11:N11" si="3">IF(ISERROR(((D56+D64)/(D54+D62))*60),"NM",((D56+D64)/(D54+D62))*60)</f>
        <v>2.634892468225801</v>
      </c>
      <c r="E11" s="177">
        <f t="shared" si="3"/>
        <v>2.3841276979730348</v>
      </c>
      <c r="F11" s="177">
        <f t="shared" si="3"/>
        <v>2.2294189111227118</v>
      </c>
      <c r="G11" s="177">
        <f t="shared" si="3"/>
        <v>2.356910559491006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0.30353041416611098</v>
      </c>
      <c r="D12" s="178">
        <f t="shared" ref="D12:N12" si="4">IF(ISERROR(D28/D18),"NM",D28/D18)</f>
        <v>0.30192092439540064</v>
      </c>
      <c r="E12" s="178">
        <f t="shared" si="4"/>
        <v>0.32786560152642708</v>
      </c>
      <c r="F12" s="178">
        <f t="shared" si="4"/>
        <v>0.35780445891454615</v>
      </c>
      <c r="G12" s="178">
        <f t="shared" si="4"/>
        <v>0.23871801015083044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154150</v>
      </c>
      <c r="D17" s="110">
        <v>203249</v>
      </c>
      <c r="E17" s="110">
        <v>282268</v>
      </c>
      <c r="F17" s="110">
        <v>320289</v>
      </c>
      <c r="G17" s="110">
        <v>250600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215952</v>
      </c>
      <c r="D18" s="113">
        <v>265341</v>
      </c>
      <c r="E18" s="113">
        <v>373159</v>
      </c>
      <c r="F18" s="113">
        <v>441677</v>
      </c>
      <c r="G18" s="113">
        <v>363123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469658</v>
      </c>
      <c r="D19" s="113">
        <v>501398</v>
      </c>
      <c r="E19" s="113">
        <v>657423</v>
      </c>
      <c r="F19" s="113">
        <v>740350</v>
      </c>
      <c r="G19" s="113">
        <v>675152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1.48</v>
      </c>
      <c r="D20" s="167">
        <v>1.28</v>
      </c>
      <c r="E20" s="167">
        <v>1.2</v>
      </c>
      <c r="F20" s="167">
        <v>1.1599999999999999</v>
      </c>
      <c r="G20" s="167">
        <v>1.32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6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4" si="5">C18-C28</f>
        <v>150404</v>
      </c>
      <c r="D23" s="110">
        <f t="shared" si="5"/>
        <v>185229</v>
      </c>
      <c r="E23" s="110">
        <f t="shared" si="5"/>
        <v>250813</v>
      </c>
      <c r="F23" s="110">
        <f t="shared" si="5"/>
        <v>283643</v>
      </c>
      <c r="G23" s="110">
        <f t="shared" si="5"/>
        <v>276439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si="5"/>
        <v>373845</v>
      </c>
      <c r="D24" s="113">
        <f t="shared" si="5"/>
        <v>380689</v>
      </c>
      <c r="E24" s="113">
        <f t="shared" si="5"/>
        <v>485343</v>
      </c>
      <c r="F24" s="113">
        <f t="shared" si="5"/>
        <v>526912</v>
      </c>
      <c r="G24" s="113">
        <f t="shared" si="5"/>
        <v>552923</v>
      </c>
      <c r="H24" s="113">
        <f t="shared" si="5"/>
        <v>0</v>
      </c>
      <c r="I24" s="113">
        <f t="shared" si="5"/>
        <v>0</v>
      </c>
      <c r="J24" s="113">
        <f t="shared" si="5"/>
        <v>0</v>
      </c>
      <c r="K24" s="113">
        <f t="shared" si="5"/>
        <v>0</v>
      </c>
      <c r="L24" s="113">
        <f t="shared" si="5"/>
        <v>0</v>
      </c>
      <c r="M24" s="113">
        <f t="shared" si="5"/>
        <v>0</v>
      </c>
      <c r="N24" s="114">
        <f t="shared" si="5"/>
        <v>0</v>
      </c>
    </row>
    <row r="25" spans="2:16">
      <c r="B25" s="115" t="s">
        <v>163</v>
      </c>
      <c r="C25" s="168">
        <v>2.1800000000000002</v>
      </c>
      <c r="D25" s="167">
        <v>1.5</v>
      </c>
      <c r="E25" s="116">
        <v>1.4</v>
      </c>
      <c r="F25" s="116">
        <v>1.4</v>
      </c>
      <c r="G25" s="116">
        <v>1.45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65548</v>
      </c>
      <c r="D28" s="110">
        <v>80112</v>
      </c>
      <c r="E28" s="110">
        <v>122346</v>
      </c>
      <c r="F28" s="110">
        <v>158034</v>
      </c>
      <c r="G28" s="110">
        <v>86684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95813</v>
      </c>
      <c r="D29" s="113">
        <v>120709</v>
      </c>
      <c r="E29" s="113">
        <v>172080</v>
      </c>
      <c r="F29" s="113">
        <v>213438</v>
      </c>
      <c r="G29" s="113">
        <v>122229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0.46</v>
      </c>
      <c r="D30" s="167">
        <v>0.4</v>
      </c>
      <c r="E30" s="116">
        <v>0.4</v>
      </c>
      <c r="F30" s="116">
        <v>0.38</v>
      </c>
      <c r="G30" s="116">
        <v>0.38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0.69130000000000003</v>
      </c>
      <c r="D33" s="121">
        <v>0.74380000000000002</v>
      </c>
      <c r="E33" s="121">
        <v>0.76</v>
      </c>
      <c r="F33" s="121">
        <v>0.77100000000000002</v>
      </c>
      <c r="G33" s="121">
        <v>0.7238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0.621</v>
      </c>
      <c r="D34" s="123">
        <v>0.67430000000000001</v>
      </c>
      <c r="E34" s="124">
        <v>0.66</v>
      </c>
      <c r="F34" s="124">
        <v>0.62209999999999999</v>
      </c>
      <c r="G34" s="124">
        <v>0.55769999999999997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0.379</v>
      </c>
      <c r="D35" s="124">
        <f>1-D34</f>
        <v>0.32569999999999999</v>
      </c>
      <c r="E35" s="124">
        <f>1-E34</f>
        <v>0.33999999999999997</v>
      </c>
      <c r="F35" s="124">
        <f>1-F34</f>
        <v>0.37790000000000001</v>
      </c>
      <c r="G35" s="124">
        <f>1-G34</f>
        <v>0.44230000000000003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3.4799999999999998E-2</v>
      </c>
      <c r="D36" s="124">
        <v>3.6400000000000002E-2</v>
      </c>
      <c r="E36" s="124">
        <v>0.03</v>
      </c>
      <c r="F36" s="124">
        <v>3.3099999999999997E-2</v>
      </c>
      <c r="G36" s="124">
        <v>0.05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0.80530000000000002</v>
      </c>
      <c r="D37" s="124">
        <f>1-D38</f>
        <v>0.84060000000000001</v>
      </c>
      <c r="E37" s="124">
        <f>1-E38</f>
        <v>0.84929999999999994</v>
      </c>
      <c r="F37" s="124">
        <f>1-F38</f>
        <v>0.85640000000000005</v>
      </c>
      <c r="G37" s="124">
        <f>1-G38</f>
        <v>0.83140000000000003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0.19470000000000001</v>
      </c>
      <c r="D38" s="126">
        <v>0.15939999999999999</v>
      </c>
      <c r="E38" s="126">
        <v>0.1507</v>
      </c>
      <c r="F38" s="126">
        <v>0.14360000000000001</v>
      </c>
      <c r="G38" s="126">
        <v>0.1686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0.2001</v>
      </c>
      <c r="D41" s="121">
        <v>0.17519999999999999</v>
      </c>
      <c r="E41" s="121">
        <v>0.1709</v>
      </c>
      <c r="F41" s="121">
        <v>0.13139999999999999</v>
      </c>
      <c r="G41" s="383">
        <v>0.1206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0</v>
      </c>
      <c r="D42" s="124">
        <v>0.14299999999999999</v>
      </c>
      <c r="E42" s="124">
        <v>6.4000000000000001E-2</v>
      </c>
      <c r="F42" s="124">
        <v>7.1999999999999995E-2</v>
      </c>
      <c r="G42" s="384">
        <v>5.5E-2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0.12479999999999999</v>
      </c>
      <c r="D43" s="124">
        <v>0.105</v>
      </c>
      <c r="E43" s="124">
        <v>9.3200000000000005E-2</v>
      </c>
      <c r="F43" s="124">
        <v>0.105</v>
      </c>
      <c r="G43" s="384">
        <v>0.1162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0.61</v>
      </c>
      <c r="D44" s="124">
        <v>0.52370000000000005</v>
      </c>
      <c r="E44" s="124">
        <v>0.6</v>
      </c>
      <c r="F44" s="124">
        <v>0.65500000000000003</v>
      </c>
      <c r="G44" s="384">
        <v>0.67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0</v>
      </c>
      <c r="D45" s="124">
        <v>0</v>
      </c>
      <c r="E45" s="124">
        <v>0</v>
      </c>
      <c r="F45" s="124">
        <v>0</v>
      </c>
      <c r="G45" s="384">
        <v>0.01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38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38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38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384">
        <v>8.0000000000000004E-4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6.5100000000000047E-2</v>
      </c>
      <c r="D50" s="126">
        <f>1-SUM(D41:D49)</f>
        <v>5.3099999999999925E-2</v>
      </c>
      <c r="E50" s="126">
        <f>1-SUM(E41:E49)</f>
        <v>7.1900000000000075E-2</v>
      </c>
      <c r="F50" s="126">
        <f>1-SUM(F41:F49)</f>
        <v>3.6599999999999966E-2</v>
      </c>
      <c r="G50" s="385">
        <f>1-SUM(G41:G49)</f>
        <v>2.739999999999998E-2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10">
        <v>1284</v>
      </c>
      <c r="D60" s="110">
        <v>1083</v>
      </c>
      <c r="E60" s="110">
        <v>1637</v>
      </c>
      <c r="F60" s="110">
        <v>12096</v>
      </c>
      <c r="G60" s="110">
        <v>3336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458683</v>
      </c>
      <c r="D61" s="113">
        <v>329670</v>
      </c>
      <c r="E61" s="113">
        <v>342433</v>
      </c>
      <c r="F61" s="113">
        <v>2112947</v>
      </c>
      <c r="G61" s="113">
        <v>676472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1403</v>
      </c>
      <c r="D62" s="113">
        <v>1570</v>
      </c>
      <c r="E62" s="113">
        <v>1427</v>
      </c>
      <c r="F62" s="113">
        <v>6825</v>
      </c>
      <c r="G62" s="113">
        <v>2293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20404.599999999999</v>
      </c>
      <c r="D63" s="113">
        <f>868645/60</f>
        <v>14477.416666666666</v>
      </c>
      <c r="E63" s="113">
        <f>816404/60</f>
        <v>13606.733333333334</v>
      </c>
      <c r="F63" s="113">
        <f>4710644/60</f>
        <v>78510.733333333337</v>
      </c>
      <c r="G63" s="113">
        <f>1594384/60</f>
        <v>26573.066666666666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62.412720331906783</v>
      </c>
      <c r="D64" s="92">
        <f>(D62/D61)*D63</f>
        <v>68.94635291857513</v>
      </c>
      <c r="E64" s="92">
        <f>(E62/E61)*E63</f>
        <v>56.702503750125338</v>
      </c>
      <c r="F64" s="92">
        <f>(F62/F61)*F63</f>
        <v>253.59640114020846</v>
      </c>
      <c r="G64" s="92">
        <f>(G62/G61)*G63</f>
        <v>90.073265215214619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192433</v>
      </c>
      <c r="D67" s="110">
        <v>199418</v>
      </c>
      <c r="E67" s="110">
        <v>206729</v>
      </c>
      <c r="F67" s="110">
        <v>222061</v>
      </c>
      <c r="G67" s="110">
        <v>240374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709000</v>
      </c>
      <c r="D68" s="131">
        <v>732000</v>
      </c>
      <c r="E68" s="131">
        <v>754000</v>
      </c>
      <c r="F68" s="131">
        <v>772000</v>
      </c>
      <c r="G68" s="131">
        <v>791981</v>
      </c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</row>
    <row r="76" spans="2:14">
      <c r="B76" s="137" t="s">
        <v>42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</row>
    <row r="77" spans="2:14">
      <c r="B77" s="109" t="s">
        <v>43</v>
      </c>
      <c r="C77" s="158">
        <v>0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60">
        <v>0</v>
      </c>
    </row>
    <row r="78" spans="2:14">
      <c r="B78" s="112" t="s">
        <v>44</v>
      </c>
      <c r="C78" s="161">
        <v>0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2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"/>
  <sheetViews>
    <sheetView topLeftCell="WWQ1" workbookViewId="0">
      <selection activeCell="XFD1" sqref="XFD1"/>
    </sheetView>
  </sheetViews>
  <sheetFormatPr baseColWidth="10" defaultColWidth="1.1640625" defaultRowHeight="7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2"/>
  <sheetViews>
    <sheetView workbookViewId="0">
      <pane xSplit="2" ySplit="5" topLeftCell="C6" activePane="bottomRight" state="frozenSplit"/>
      <selection activeCell="C73" sqref="C73"/>
      <selection pane="topRight" activeCell="C73" sqref="C73"/>
      <selection pane="bottomLeft" activeCell="C73" sqref="C73"/>
      <selection pane="bottomRight" activeCell="Q54" sqref="P54:Q54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3" width="12.1640625" style="98" bestFit="1" customWidth="1"/>
    <col min="4" max="4" width="12.1640625" style="98" customWidth="1"/>
    <col min="5" max="5" width="12.1640625" style="70" customWidth="1"/>
    <col min="6" max="6" width="1.1640625" style="73" customWidth="1"/>
    <col min="7" max="7" width="12.1640625" style="98" bestFit="1" customWidth="1"/>
    <col min="8" max="8" width="12.1640625" style="98" customWidth="1"/>
    <col min="9" max="9" width="12.1640625" style="70" customWidth="1"/>
    <col min="10" max="10" width="1.1640625" style="73" customWidth="1"/>
    <col min="11" max="11" width="12.1640625" style="98" bestFit="1" customWidth="1"/>
    <col min="12" max="12" width="12.1640625" style="98" customWidth="1"/>
    <col min="13" max="13" width="12.1640625" style="70" customWidth="1"/>
    <col min="14" max="14" width="1.1640625" style="73" customWidth="1"/>
    <col min="15" max="15" width="13.33203125" style="98" customWidth="1"/>
    <col min="16" max="16" width="12.1640625" style="98" customWidth="1"/>
    <col min="17" max="17" width="12.1640625" style="70" customWidth="1"/>
    <col min="18" max="18" width="1.1640625" style="73" customWidth="1"/>
    <col min="19" max="19" width="12.1640625" style="98" bestFit="1" customWidth="1"/>
    <col min="20" max="20" width="11" style="98" customWidth="1"/>
    <col min="21" max="21" width="11" style="70" customWidth="1"/>
    <col min="22" max="22" width="1.1640625" style="73" customWidth="1"/>
    <col min="23" max="23" width="11" style="98" bestFit="1" customWidth="1"/>
    <col min="24" max="24" width="11" style="98" customWidth="1"/>
    <col min="25" max="25" width="11" style="70" customWidth="1"/>
    <col min="26" max="26" width="1.1640625" style="73" customWidth="1"/>
    <col min="27" max="27" width="11" style="98" bestFit="1" customWidth="1"/>
    <col min="28" max="28" width="11" style="98" customWidth="1"/>
    <col min="29" max="29" width="11" style="70" customWidth="1"/>
    <col min="30" max="30" width="1.1640625" style="73" customWidth="1"/>
    <col min="31" max="31" width="11" style="98" bestFit="1" customWidth="1"/>
    <col min="32" max="32" width="11" style="98" customWidth="1"/>
    <col min="33" max="33" width="11" style="70" customWidth="1"/>
    <col min="34" max="34" width="1.1640625" style="73" customWidth="1"/>
    <col min="35" max="35" width="11" style="98" bestFit="1" customWidth="1"/>
    <col min="36" max="36" width="11" style="98" customWidth="1"/>
    <col min="37" max="37" width="11" style="70" customWidth="1"/>
    <col min="38" max="38" width="1.1640625" style="73" customWidth="1"/>
    <col min="39" max="39" width="11" style="98" bestFit="1" customWidth="1"/>
    <col min="40" max="40" width="11" style="98" customWidth="1"/>
    <col min="41" max="41" width="11" style="70" customWidth="1"/>
    <col min="42" max="42" width="1.1640625" style="73" customWidth="1"/>
    <col min="43" max="43" width="11" style="98" bestFit="1" customWidth="1"/>
    <col min="44" max="44" width="11" style="98" customWidth="1"/>
    <col min="45" max="45" width="11" style="70" customWidth="1"/>
    <col min="46" max="46" width="1.1640625" style="73" customWidth="1"/>
    <col min="47" max="47" width="11" style="98" bestFit="1" customWidth="1"/>
    <col min="48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104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20</v>
      </c>
      <c r="F5" s="51"/>
      <c r="G5" s="101" t="s">
        <v>17</v>
      </c>
      <c r="H5" s="101" t="s">
        <v>18</v>
      </c>
      <c r="I5" s="78" t="s">
        <v>20</v>
      </c>
      <c r="J5" s="51"/>
      <c r="K5" s="101" t="s">
        <v>17</v>
      </c>
      <c r="L5" s="101" t="s">
        <v>18</v>
      </c>
      <c r="M5" s="78" t="s">
        <v>20</v>
      </c>
      <c r="N5" s="51"/>
      <c r="O5" s="101" t="s">
        <v>17</v>
      </c>
      <c r="P5" s="101" t="s">
        <v>18</v>
      </c>
      <c r="Q5" s="78" t="s">
        <v>20</v>
      </c>
      <c r="R5" s="51"/>
      <c r="S5" s="101" t="s">
        <v>17</v>
      </c>
      <c r="T5" s="101" t="s">
        <v>18</v>
      </c>
      <c r="U5" s="78" t="s">
        <v>20</v>
      </c>
      <c r="V5" s="51"/>
      <c r="W5" s="101" t="s">
        <v>17</v>
      </c>
      <c r="X5" s="101" t="s">
        <v>18</v>
      </c>
      <c r="Y5" s="78" t="s">
        <v>20</v>
      </c>
      <c r="Z5" s="51"/>
      <c r="AA5" s="101" t="s">
        <v>17</v>
      </c>
      <c r="AB5" s="101" t="s">
        <v>18</v>
      </c>
      <c r="AC5" s="78" t="s">
        <v>20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1.5384503172935331</v>
      </c>
      <c r="D8" s="177">
        <f>IF(ISERROR(D19/D18),"NM",D19/D18)</f>
        <v>1.4099109624914388</v>
      </c>
      <c r="E8" s="177">
        <f>C8-D8</f>
        <v>0.12853935480209433</v>
      </c>
      <c r="F8" s="50"/>
      <c r="G8" s="177">
        <f>IF(ISERROR(G19/G18),"NM",G19/G18)</f>
        <v>1.458086459006388</v>
      </c>
      <c r="H8" s="177">
        <f>IF(ISERROR(H19/H18),"NM",H19/H18)</f>
        <v>1.4101631129817209</v>
      </c>
      <c r="I8" s="177">
        <f>G8-H8</f>
        <v>4.7923346024667079E-2</v>
      </c>
      <c r="J8" s="50"/>
      <c r="K8" s="177">
        <f>IF(ISERROR(K19/K18),"NM",K19/K18)</f>
        <v>1.5835251536233506</v>
      </c>
      <c r="L8" s="177">
        <f>IF(ISERROR(L19/L18),"NM",L19/L18)</f>
        <v>1.4102622772125024</v>
      </c>
      <c r="M8" s="177">
        <f>IF(ISERROR(K8-L8),"NM",K8-L8)</f>
        <v>0.17326287641084814</v>
      </c>
      <c r="N8" s="50"/>
      <c r="O8" s="177">
        <f>IF(ISERROR(O19/O18),"NM",O19/O18)</f>
        <v>1.6478012713039227</v>
      </c>
      <c r="P8" s="177">
        <f>IF(ISERROR(P19/P18),"NM",P19/P18)</f>
        <v>1.4102066840142122</v>
      </c>
      <c r="Q8" s="177">
        <f>IF(ISERROR(O8-P8),"NM",O8-P8)</f>
        <v>0.2375945872897105</v>
      </c>
      <c r="R8" s="50"/>
      <c r="S8" s="177">
        <f>IF(ISERROR(S19/S18),"NM",S19/S18)</f>
        <v>1.623655167626848</v>
      </c>
      <c r="T8" s="177">
        <f>IF(ISERROR(T19/T18),"NM",T19/T18)</f>
        <v>1.4099948904855153</v>
      </c>
      <c r="U8" s="177">
        <f>IF(ISERROR(S8-T8),"NM",S8-T8)</f>
        <v>0.21366027714133273</v>
      </c>
      <c r="V8" s="50"/>
      <c r="W8" s="177" t="str">
        <f>IF(ISERROR(W19/W18),"NM",W19/W18)</f>
        <v>NM</v>
      </c>
      <c r="X8" s="177">
        <f>IF(ISERROR(X19/X18),"NM",X19/X18)</f>
        <v>1.4096257819439251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1.409098569971849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1.4084127886323714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1.4075682889465766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1.4065652317397133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1.4054040789767532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1.4040855837188069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2.4481207582391242</v>
      </c>
      <c r="D9" s="177">
        <f>IF(ISERROR(D20/D19),"NM",D20/D19)</f>
        <v>2.0929679329283277</v>
      </c>
      <c r="E9" s="177">
        <f>C9-D9</f>
        <v>0.3551528253107965</v>
      </c>
      <c r="F9" s="50"/>
      <c r="G9" s="177">
        <f>IF(ISERROR(G20/G19),"NM",G20/G19)</f>
        <v>2.5564852734601446</v>
      </c>
      <c r="H9" s="177">
        <f>IF(ISERROR(H20/H19),"NM",H20/H19)</f>
        <v>2.0915398164197438</v>
      </c>
      <c r="I9" s="177">
        <f>G9-H9</f>
        <v>0.4649454570404008</v>
      </c>
      <c r="J9" s="50"/>
      <c r="K9" s="177">
        <f>IF(ISERROR(K20/K19),"NM",K20/K19)</f>
        <v>2.3598100430937023</v>
      </c>
      <c r="L9" s="177">
        <f>IF(ISERROR(L20/L19),"NM",L20/L19)</f>
        <v>2.090097038304382</v>
      </c>
      <c r="M9" s="177">
        <f>IF(ISERROR(K9-L9),"NM",K9-L9)</f>
        <v>0.26971300478932037</v>
      </c>
      <c r="N9" s="50"/>
      <c r="O9" s="177">
        <f>IF(ISERROR(O20/O19),"NM",O20/O19)</f>
        <v>2.415498866013214</v>
      </c>
      <c r="P9" s="177">
        <f>IF(ISERROR(P20/P19),"NM",P20/P19)</f>
        <v>2.0886422736628365</v>
      </c>
      <c r="Q9" s="177">
        <f>IF(ISERROR(O9-P9),"NM",O9-P9)</f>
        <v>0.32685659235037745</v>
      </c>
      <c r="R9" s="50"/>
      <c r="S9" s="177">
        <f>IF(ISERROR(S20/S19),"NM",S20/S19)</f>
        <v>1.9800662778650804</v>
      </c>
      <c r="T9" s="177">
        <f>IF(ISERROR(T20/T19),"NM",T20/T19)</f>
        <v>2.0871781736832156</v>
      </c>
      <c r="U9" s="177">
        <f>IF(ISERROR(S9-T9),"NM",S9-T9)</f>
        <v>-0.10711189581813518</v>
      </c>
      <c r="V9" s="50"/>
      <c r="W9" s="177" t="str">
        <f>IF(ISERROR(W20/W19),"NM",W20/W19)</f>
        <v>NM</v>
      </c>
      <c r="X9" s="177">
        <f>IF(ISERROR(X20/X19),"NM",X20/X19)</f>
        <v>2.0857073567273074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2.0842323998785983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2.0827558310131353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2.0812801214271985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2.0798076790487849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2.0783408422529339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2.076881874294183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0.24513955349694191</v>
      </c>
      <c r="D10" s="37"/>
      <c r="E10" s="37"/>
      <c r="F10" s="50"/>
      <c r="G10" s="177">
        <f>IF(ISERROR((G55+G63)/G19),"NM",(G55+G63)/G19)</f>
        <v>0.16486577782780945</v>
      </c>
      <c r="H10" s="37"/>
      <c r="I10" s="37"/>
      <c r="J10" s="50"/>
      <c r="K10" s="177">
        <f>IF(ISERROR((K55+K63)/K19),"NM",(K55+K63)/K19)</f>
        <v>0.17378420575632891</v>
      </c>
      <c r="L10" s="37"/>
      <c r="M10" s="37"/>
      <c r="N10" s="50"/>
      <c r="O10" s="177">
        <f>IF(ISERROR((O55+O63)/O19),"NM",(O55+O63)/O19)</f>
        <v>0.10960136708538804</v>
      </c>
      <c r="P10" s="37"/>
      <c r="Q10" s="37"/>
      <c r="R10" s="50"/>
      <c r="S10" s="177">
        <f>IF(ISERROR((S55+S63)/S19),"NM",(S55+S63)/S19)</f>
        <v>8.9662936288764872E-2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1.617296503973304</v>
      </c>
      <c r="D11" s="37"/>
      <c r="E11" s="37"/>
      <c r="F11" s="50"/>
      <c r="G11" s="177">
        <f>IF(ISERROR(((G57+G65)/G19)*60),"NM",((G57+G65)/G19)*60)</f>
        <v>1.1052825469300627</v>
      </c>
      <c r="H11" s="37"/>
      <c r="I11" s="37"/>
      <c r="J11" s="50"/>
      <c r="K11" s="177">
        <f>IF(ISERROR(((K57+K65)/K19)*60),"NM",((K57+K65)/K19)*60)</f>
        <v>1.1521842549429662</v>
      </c>
      <c r="L11" s="37"/>
      <c r="M11" s="37"/>
      <c r="N11" s="50"/>
      <c r="O11" s="177">
        <f>IF(ISERROR(((O57+O65)/O19)*60),"NM",((O57+O65)/O19)*60)</f>
        <v>0.76873159337339847</v>
      </c>
      <c r="P11" s="37"/>
      <c r="Q11" s="37"/>
      <c r="R11" s="50"/>
      <c r="S11" s="177">
        <f>IF(ISERROR(((S57+S65)/S19)*60),"NM",((S57+S65)/S19)*60)</f>
        <v>0.5816352524838394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6.5974522711753236</v>
      </c>
      <c r="D12" s="37"/>
      <c r="E12" s="37"/>
      <c r="F12" s="50"/>
      <c r="G12" s="177">
        <f>IF(ISERROR(((G57+G65)/(G55+G63))*60),"NM",((G57+G65)/(G55+G63))*60)</f>
        <v>6.7041357005239233</v>
      </c>
      <c r="H12" s="37"/>
      <c r="I12" s="37"/>
      <c r="J12" s="50"/>
      <c r="K12" s="177">
        <f>IF(ISERROR(((K57+K65)/(K55+K63))*60),"NM",((K57+K65)/(K55+K63))*60)</f>
        <v>6.6299710605375628</v>
      </c>
      <c r="L12" s="37"/>
      <c r="M12" s="37"/>
      <c r="N12" s="50"/>
      <c r="O12" s="177">
        <f>IF(ISERROR(((O57+O65)/(O55+O63))*60),"NM",((O57+O65)/(O55+O63))*60)</f>
        <v>7.0138869050282597</v>
      </c>
      <c r="P12" s="37"/>
      <c r="Q12" s="37"/>
      <c r="R12" s="50"/>
      <c r="S12" s="177">
        <f>IF(ISERROR(((S57+S65)/(S55+S63))*60),"NM",((S57+S65)/(S55+S63))*60)</f>
        <v>6.4869083766189419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0.39225603830866357</v>
      </c>
      <c r="D13" s="178">
        <f>IF(ISERROR(D29/D19),"NM",D29/D19)</f>
        <v>0.21999999999999997</v>
      </c>
      <c r="E13" s="28">
        <f>C13-D13</f>
        <v>0.17225603830866359</v>
      </c>
      <c r="F13" s="49"/>
      <c r="G13" s="178">
        <f>IF(ISERROR(G29/G19),"NM",G29/G19)</f>
        <v>0.39430052940291982</v>
      </c>
      <c r="H13" s="178">
        <f>IF(ISERROR(H29/H19),"NM",H29/H19)</f>
        <v>0.21999999999999997</v>
      </c>
      <c r="I13" s="28">
        <f>G13-H13</f>
        <v>0.17430052940291985</v>
      </c>
      <c r="J13" s="49"/>
      <c r="K13" s="39">
        <f>IF(ISERROR(K29/K19),"NM",K29/K19)</f>
        <v>0.44629325570341238</v>
      </c>
      <c r="L13" s="178">
        <f>IF(ISERROR(L29/L19),"NM",L29/L19)</f>
        <v>0.21999999999999997</v>
      </c>
      <c r="M13" s="177">
        <f>IF(ISERROR(K13-L13),"NM",K13-L13)</f>
        <v>0.22629325570341241</v>
      </c>
      <c r="N13" s="38"/>
      <c r="O13" s="39">
        <f>IF(ISERROR(O29/O19),"NM",O29/O19)</f>
        <v>0.4563396807632572</v>
      </c>
      <c r="P13" s="178">
        <f>IF(ISERROR(P29/P19),"NM",P29/P19)</f>
        <v>0.21999999999999995</v>
      </c>
      <c r="Q13" s="177">
        <f>IF(ISERROR(O13-P13),"NM",O13-P13)</f>
        <v>0.23633968076325726</v>
      </c>
      <c r="R13" s="38"/>
      <c r="S13" s="39">
        <f>IF(ISERROR(S29/S19),"NM",S29/S19)</f>
        <v>0.50889176154692528</v>
      </c>
      <c r="T13" s="178">
        <f>IF(ISERROR(T29/T19),"NM",T29/T19)</f>
        <v>0.21999999999999997</v>
      </c>
      <c r="U13" s="177">
        <f>IF(ISERROR(S13-T13),"NM",S13-T13)</f>
        <v>0.28889176154692531</v>
      </c>
      <c r="V13" s="38"/>
      <c r="W13" s="39" t="str">
        <f>IF(ISERROR(W29/W19),"NM",W29/W19)</f>
        <v>NM</v>
      </c>
      <c r="X13" s="178">
        <f>IF(ISERROR(X29/X19),"NM",X29/X19)</f>
        <v>0.21999999999999989</v>
      </c>
      <c r="Y13" s="177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0.21999999999999997</v>
      </c>
      <c r="AC13" s="177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0.22</v>
      </c>
      <c r="AG13" s="177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0.21999999999999995</v>
      </c>
      <c r="AK13" s="177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0.21999999999999997</v>
      </c>
      <c r="AO13" s="177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0.21999999999999997</v>
      </c>
      <c r="AS13" s="177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0.21999999999999997</v>
      </c>
      <c r="AW13" s="177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4997423</v>
      </c>
      <c r="D18" s="110">
        <v>6205250</v>
      </c>
      <c r="E18" s="93">
        <f>C18-D18</f>
        <v>-1207827</v>
      </c>
      <c r="F18" s="47"/>
      <c r="G18" s="110">
        <v>5865670</v>
      </c>
      <c r="H18" s="110">
        <v>6426603.75</v>
      </c>
      <c r="I18" s="93">
        <f>G18-H18</f>
        <v>-560933.75</v>
      </c>
      <c r="J18" s="47"/>
      <c r="K18" s="110">
        <v>6831481</v>
      </c>
      <c r="L18" s="110">
        <v>6659691.5562500004</v>
      </c>
      <c r="M18" s="93">
        <f>K18-L18</f>
        <v>171789.44374999963</v>
      </c>
      <c r="N18" s="47"/>
      <c r="O18" s="110">
        <v>7054804</v>
      </c>
      <c r="P18" s="110">
        <v>6905180.9483437492</v>
      </c>
      <c r="Q18" s="93">
        <f>O18-P18</f>
        <v>149623.05165625084</v>
      </c>
      <c r="R18" s="47"/>
      <c r="S18" s="110">
        <v>7361977</v>
      </c>
      <c r="T18" s="110">
        <v>7163778.9306626562</v>
      </c>
      <c r="U18" s="93">
        <f>S18-T18</f>
        <v>198198.0693373438</v>
      </c>
      <c r="V18" s="47"/>
      <c r="W18" s="110"/>
      <c r="X18" s="110">
        <v>7436234.3722205646</v>
      </c>
      <c r="Y18" s="93">
        <f>W18-X18</f>
        <v>-7436234.3722205646</v>
      </c>
      <c r="Z18" s="47"/>
      <c r="AA18" s="110"/>
      <c r="AB18" s="110">
        <v>7723340.5435195379</v>
      </c>
      <c r="AC18" s="93">
        <f>AA18-AB18</f>
        <v>-7723340.5435195379</v>
      </c>
      <c r="AD18" s="47"/>
      <c r="AE18" s="110"/>
      <c r="AF18" s="110">
        <v>8025937.809567377</v>
      </c>
      <c r="AG18" s="93">
        <f>AE18-AF18</f>
        <v>-8025937.809567377</v>
      </c>
      <c r="AH18" s="47"/>
      <c r="AI18" s="110"/>
      <c r="AJ18" s="110">
        <v>8344916.4887824636</v>
      </c>
      <c r="AK18" s="93">
        <f>AI18-AJ18</f>
        <v>-8344916.4887824636</v>
      </c>
      <c r="AL18" s="47"/>
      <c r="AM18" s="110"/>
      <c r="AN18" s="110">
        <v>8681219.8881227411</v>
      </c>
      <c r="AO18" s="93">
        <f>AM18-AN18</f>
        <v>-8681219.8881227411</v>
      </c>
      <c r="AP18" s="47"/>
      <c r="AQ18" s="110"/>
      <c r="AR18" s="110">
        <v>9035847.5254254825</v>
      </c>
      <c r="AS18" s="93">
        <f>AQ18-AR18</f>
        <v>-9035847.5254254825</v>
      </c>
      <c r="AT18" s="47"/>
      <c r="AU18" s="113"/>
      <c r="AV18" s="113">
        <v>9409858.5506355837</v>
      </c>
      <c r="AW18" s="93">
        <f>AU18-AV18</f>
        <v>-9409858.5506355837</v>
      </c>
    </row>
    <row r="19" spans="2:49">
      <c r="B19" s="112" t="s">
        <v>158</v>
      </c>
      <c r="C19" s="113">
        <v>7688287</v>
      </c>
      <c r="D19" s="113">
        <v>8748850</v>
      </c>
      <c r="E19" s="93">
        <f>C19-D19</f>
        <v>-1060563</v>
      </c>
      <c r="F19" s="47"/>
      <c r="G19" s="113">
        <v>8552654</v>
      </c>
      <c r="H19" s="113">
        <v>9062559.5500000007</v>
      </c>
      <c r="I19" s="93">
        <f>G19-H19</f>
        <v>-509905.55000000075</v>
      </c>
      <c r="J19" s="47"/>
      <c r="K19" s="113">
        <v>10817822</v>
      </c>
      <c r="L19" s="113">
        <v>9391911.779649999</v>
      </c>
      <c r="M19" s="93">
        <f>K19-L19</f>
        <v>1425910.220350001</v>
      </c>
      <c r="N19" s="47"/>
      <c r="O19" s="113">
        <v>11624915</v>
      </c>
      <c r="P19" s="113">
        <v>9737732.3276819512</v>
      </c>
      <c r="Q19" s="93">
        <f>O19-P19</f>
        <v>1887182.6723180488</v>
      </c>
      <c r="R19" s="47"/>
      <c r="S19" s="113">
        <v>11953312</v>
      </c>
      <c r="T19" s="113">
        <v>10100891.688802134</v>
      </c>
      <c r="U19" s="93">
        <f>S19-T19</f>
        <v>1852420.3111978658</v>
      </c>
      <c r="V19" s="47"/>
      <c r="W19" s="113"/>
      <c r="X19" s="113">
        <v>10482307.691659706</v>
      </c>
      <c r="Y19" s="93">
        <f>W19-X19</f>
        <v>-10482307.691659706</v>
      </c>
      <c r="Z19" s="47"/>
      <c r="AA19" s="113"/>
      <c r="AB19" s="113">
        <v>10882948.115278983</v>
      </c>
      <c r="AC19" s="93">
        <f>AA19-AB19</f>
        <v>-10882948.115278983</v>
      </c>
      <c r="AD19" s="47"/>
      <c r="AE19" s="113"/>
      <c r="AF19" s="113">
        <v>11303833.451762777</v>
      </c>
      <c r="AG19" s="93">
        <f>AE19-AF19</f>
        <v>-11303833.451762777</v>
      </c>
      <c r="AH19" s="47"/>
      <c r="AI19" s="113"/>
      <c r="AJ19" s="113">
        <v>11746039.823517606</v>
      </c>
      <c r="AK19" s="93">
        <f>AI19-AJ19</f>
        <v>-11746039.823517606</v>
      </c>
      <c r="AL19" s="47"/>
      <c r="AM19" s="113"/>
      <c r="AN19" s="113">
        <v>12210702.06372077</v>
      </c>
      <c r="AO19" s="93">
        <f>AM19-AN19</f>
        <v>-12210702.06372077</v>
      </c>
      <c r="AP19" s="47"/>
      <c r="AQ19" s="113"/>
      <c r="AR19" s="113">
        <v>12699016.969244976</v>
      </c>
      <c r="AS19" s="93">
        <f>AQ19-AR19</f>
        <v>-12699016.969244976</v>
      </c>
      <c r="AT19" s="47"/>
      <c r="AU19" s="113"/>
      <c r="AV19" s="113">
        <v>13212246.735780569</v>
      </c>
      <c r="AW19" s="93">
        <f>AU19-AV19</f>
        <v>-13212246.735780569</v>
      </c>
    </row>
    <row r="20" spans="2:49">
      <c r="B20" s="112" t="s">
        <v>159</v>
      </c>
      <c r="C20" s="113">
        <v>18821855</v>
      </c>
      <c r="D20" s="113">
        <v>18311062.5</v>
      </c>
      <c r="E20" s="93">
        <f>C20-D20</f>
        <v>510792.5</v>
      </c>
      <c r="F20" s="47"/>
      <c r="G20" s="113">
        <v>21864734</v>
      </c>
      <c r="H20" s="113">
        <v>18954704.137499999</v>
      </c>
      <c r="I20" s="93">
        <f>G20-H20</f>
        <v>2910029.8625000007</v>
      </c>
      <c r="J20" s="47"/>
      <c r="K20" s="113">
        <v>25528005</v>
      </c>
      <c r="L20" s="113">
        <v>19630006.994662501</v>
      </c>
      <c r="M20" s="93">
        <f>K20-L20</f>
        <v>5897998.0053374991</v>
      </c>
      <c r="N20" s="47"/>
      <c r="O20" s="113">
        <v>28079969</v>
      </c>
      <c r="P20" s="113">
        <v>20338639.389209736</v>
      </c>
      <c r="Q20" s="93">
        <f>O20-P20</f>
        <v>7741329.6107902639</v>
      </c>
      <c r="R20" s="47"/>
      <c r="S20" s="113">
        <v>23668350</v>
      </c>
      <c r="T20" s="113">
        <v>21082360.667606011</v>
      </c>
      <c r="U20" s="93">
        <f>S20-T20</f>
        <v>2585989.332393989</v>
      </c>
      <c r="V20" s="47"/>
      <c r="W20" s="113"/>
      <c r="X20" s="113">
        <v>21863026.267973889</v>
      </c>
      <c r="Y20" s="93">
        <f>W20-X20</f>
        <v>-21863026.267973889</v>
      </c>
      <c r="Z20" s="47"/>
      <c r="AA20" s="113"/>
      <c r="AB20" s="113">
        <v>22682593.068062186</v>
      </c>
      <c r="AC20" s="93">
        <f>AA20-AB20</f>
        <v>-22682593.068062186</v>
      </c>
      <c r="AD20" s="47"/>
      <c r="AE20" s="113"/>
      <c r="AF20" s="113">
        <v>23543125.034460261</v>
      </c>
      <c r="AG20" s="93">
        <f>AE20-AF20</f>
        <v>-23543125.034460261</v>
      </c>
      <c r="AH20" s="47"/>
      <c r="AI20" s="113"/>
      <c r="AJ20" s="113">
        <v>24446799.19017943</v>
      </c>
      <c r="AK20" s="93">
        <f>AI20-AJ20</f>
        <v>-24446799.19017943</v>
      </c>
      <c r="AL20" s="47"/>
      <c r="AM20" s="113"/>
      <c r="AN20" s="113">
        <v>25395911.918703303</v>
      </c>
      <c r="AO20" s="93">
        <f>AM20-AN20</f>
        <v>-25395911.918703303</v>
      </c>
      <c r="AP20" s="47"/>
      <c r="AQ20" s="113"/>
      <c r="AR20" s="113">
        <v>26392885.623644903</v>
      </c>
      <c r="AS20" s="93">
        <f>AQ20-AR20</f>
        <v>-26392885.623644903</v>
      </c>
      <c r="AT20" s="47"/>
      <c r="AU20" s="113"/>
      <c r="AV20" s="113">
        <v>27440275.764245149</v>
      </c>
      <c r="AW20" s="93">
        <f>AU20-AV20</f>
        <v>-27440275.764245149</v>
      </c>
    </row>
    <row r="21" spans="2:49">
      <c r="B21" s="115" t="s">
        <v>163</v>
      </c>
      <c r="C21" s="167">
        <v>6.22</v>
      </c>
      <c r="D21" s="26"/>
      <c r="E21" s="74"/>
      <c r="F21" s="46"/>
      <c r="G21" s="167">
        <v>4.5599999999999996</v>
      </c>
      <c r="H21" s="26"/>
      <c r="I21" s="74"/>
      <c r="J21" s="46"/>
      <c r="K21" s="167">
        <v>4.58</v>
      </c>
      <c r="L21" s="35"/>
      <c r="M21" s="74"/>
      <c r="N21" s="47"/>
      <c r="O21" s="167">
        <v>4.49</v>
      </c>
      <c r="P21" s="35"/>
      <c r="Q21" s="74"/>
      <c r="R21" s="47"/>
      <c r="S21" s="167">
        <v>4.1100000000000003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4672510</v>
      </c>
      <c r="D24" s="110">
        <v>6824103</v>
      </c>
      <c r="E24" s="93">
        <f>C24-D24</f>
        <v>-2151593</v>
      </c>
      <c r="F24" s="47"/>
      <c r="G24" s="110">
        <f>G19-G29</f>
        <v>5180338</v>
      </c>
      <c r="H24" s="110">
        <v>7068796.449000001</v>
      </c>
      <c r="I24" s="93">
        <f>G24-H24</f>
        <v>-1888458.449000001</v>
      </c>
      <c r="J24" s="47"/>
      <c r="K24" s="110">
        <f>K19-K29</f>
        <v>5989901</v>
      </c>
      <c r="L24" s="110">
        <v>7325691.1881269999</v>
      </c>
      <c r="M24" s="93">
        <f>K24-L24</f>
        <v>-1335790.1881269999</v>
      </c>
      <c r="N24" s="47"/>
      <c r="O24" s="110">
        <f>O19-O29</f>
        <v>6320005</v>
      </c>
      <c r="P24" s="110">
        <v>7595431.2155919224</v>
      </c>
      <c r="Q24" s="93">
        <f>O24-P24</f>
        <v>-1275426.2155919224</v>
      </c>
      <c r="R24" s="47"/>
      <c r="S24" s="110">
        <f>S19-S29</f>
        <v>5870370</v>
      </c>
      <c r="T24" s="110">
        <v>7878695.5172656653</v>
      </c>
      <c r="U24" s="93">
        <f>S24-T24</f>
        <v>-2008325.5172656653</v>
      </c>
      <c r="V24" s="47"/>
      <c r="W24" s="110"/>
      <c r="X24" s="110">
        <v>8176199.9994945722</v>
      </c>
      <c r="Y24" s="93">
        <f>W24-X24</f>
        <v>-8176199.9994945722</v>
      </c>
      <c r="Z24" s="47"/>
      <c r="AA24" s="110"/>
      <c r="AB24" s="110">
        <v>8488699.5299176071</v>
      </c>
      <c r="AC24" s="93">
        <f>AA24-AB24</f>
        <v>-8488699.5299176071</v>
      </c>
      <c r="AD24" s="47"/>
      <c r="AE24" s="110"/>
      <c r="AF24" s="110">
        <v>8816990.0923749655</v>
      </c>
      <c r="AG24" s="93">
        <f>AE24-AF24</f>
        <v>-8816990.0923749655</v>
      </c>
      <c r="AH24" s="47"/>
      <c r="AI24" s="110"/>
      <c r="AJ24" s="110">
        <v>9161911.0623437334</v>
      </c>
      <c r="AK24" s="93">
        <f>AI24-AJ24</f>
        <v>-9161911.0623437334</v>
      </c>
      <c r="AL24" s="47"/>
      <c r="AM24" s="110"/>
      <c r="AN24" s="110">
        <v>9524347.6097022016</v>
      </c>
      <c r="AO24" s="93">
        <f>AM24-AN24</f>
        <v>-9524347.6097022016</v>
      </c>
      <c r="AP24" s="47"/>
      <c r="AQ24" s="110"/>
      <c r="AR24" s="110">
        <v>9905233.2360110804</v>
      </c>
      <c r="AS24" s="93">
        <f>AQ24-AR24</f>
        <v>-9905233.2360110804</v>
      </c>
      <c r="AT24" s="47"/>
      <c r="AU24" s="113"/>
      <c r="AV24" s="113">
        <v>10305552.453908844</v>
      </c>
      <c r="AW24" s="93">
        <f>AU24-AV24</f>
        <v>-10305552.453908844</v>
      </c>
    </row>
    <row r="25" spans="2:49">
      <c r="B25" s="112" t="s">
        <v>162</v>
      </c>
      <c r="C25" s="113">
        <f>C20-C30</f>
        <v>13305159</v>
      </c>
      <c r="D25" s="113">
        <v>14282628.75</v>
      </c>
      <c r="E25" s="93">
        <f>C25-D25</f>
        <v>-977469.75</v>
      </c>
      <c r="F25" s="47"/>
      <c r="G25" s="113">
        <f>G20-G30</f>
        <v>15773089</v>
      </c>
      <c r="H25" s="113">
        <v>14784669.227249999</v>
      </c>
      <c r="I25" s="93">
        <f>G25-H25</f>
        <v>988419.7727500014</v>
      </c>
      <c r="J25" s="47"/>
      <c r="K25" s="113">
        <f>K20-K30</f>
        <v>17179440</v>
      </c>
      <c r="L25" s="113">
        <v>15311405.455836752</v>
      </c>
      <c r="M25" s="93">
        <f>K25-L25</f>
        <v>1868034.5441632476</v>
      </c>
      <c r="N25" s="47"/>
      <c r="O25" s="113">
        <f>O20-O30</f>
        <v>18415984</v>
      </c>
      <c r="P25" s="113">
        <v>15864138.723583596</v>
      </c>
      <c r="Q25" s="93">
        <f>O25-P25</f>
        <v>2551845.2764164042</v>
      </c>
      <c r="R25" s="47"/>
      <c r="S25" s="113">
        <f>S20-S30</f>
        <v>14457867</v>
      </c>
      <c r="T25" s="113">
        <v>16444241.320732689</v>
      </c>
      <c r="U25" s="93">
        <f>S25-T25</f>
        <v>-1986374.3207326885</v>
      </c>
      <c r="V25" s="47"/>
      <c r="W25" s="113"/>
      <c r="X25" s="113">
        <v>17053160.489019636</v>
      </c>
      <c r="Y25" s="93">
        <f>W25-X25</f>
        <v>-17053160.489019636</v>
      </c>
      <c r="Z25" s="47"/>
      <c r="AA25" s="113"/>
      <c r="AB25" s="113">
        <v>17692422.593088508</v>
      </c>
      <c r="AC25" s="93">
        <f>AA25-AB25</f>
        <v>-17692422.593088508</v>
      </c>
      <c r="AD25" s="47"/>
      <c r="AE25" s="113"/>
      <c r="AF25" s="113">
        <v>18363637.526879005</v>
      </c>
      <c r="AG25" s="93">
        <f>AE25-AF25</f>
        <v>-18363637.526879005</v>
      </c>
      <c r="AH25" s="47"/>
      <c r="AI25" s="113"/>
      <c r="AJ25" s="113">
        <v>19068503.368339956</v>
      </c>
      <c r="AK25" s="93">
        <f>AI25-AJ25</f>
        <v>-19068503.368339956</v>
      </c>
      <c r="AL25" s="47"/>
      <c r="AM25" s="113"/>
      <c r="AN25" s="113">
        <v>19808811.296588577</v>
      </c>
      <c r="AO25" s="93">
        <f>AM25-AN25</f>
        <v>-19808811.296588577</v>
      </c>
      <c r="AP25" s="47"/>
      <c r="AQ25" s="113"/>
      <c r="AR25" s="113">
        <v>20586450.786443025</v>
      </c>
      <c r="AS25" s="93">
        <f>AQ25-AR25</f>
        <v>-20586450.786443025</v>
      </c>
      <c r="AT25" s="47"/>
      <c r="AU25" s="113"/>
      <c r="AV25" s="113">
        <v>21403415.096111216</v>
      </c>
      <c r="AW25" s="93">
        <f>AU25-AV25</f>
        <v>-21403415.096111216</v>
      </c>
    </row>
    <row r="26" spans="2:49">
      <c r="B26" s="115" t="s">
        <v>163</v>
      </c>
      <c r="C26" s="168">
        <v>8.43</v>
      </c>
      <c r="D26" s="25"/>
      <c r="E26" s="71"/>
      <c r="F26" s="45"/>
      <c r="G26" s="167">
        <v>7</v>
      </c>
      <c r="H26" s="34"/>
      <c r="I26" s="71"/>
      <c r="J26" s="41"/>
      <c r="K26" s="167">
        <v>6.55</v>
      </c>
      <c r="L26" s="34"/>
      <c r="M26" s="71"/>
      <c r="N26" s="41"/>
      <c r="O26" s="167">
        <v>6.5</v>
      </c>
      <c r="P26" s="34"/>
      <c r="Q26" s="71"/>
      <c r="R26" s="41"/>
      <c r="S26" s="116">
        <v>6.1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3015777</v>
      </c>
      <c r="D29" s="110">
        <v>1924746.9999999998</v>
      </c>
      <c r="E29" s="93">
        <f>C29-D29</f>
        <v>1091030.0000000002</v>
      </c>
      <c r="F29" s="47"/>
      <c r="G29" s="110">
        <v>3372316</v>
      </c>
      <c r="H29" s="110">
        <v>1993763.101</v>
      </c>
      <c r="I29" s="93">
        <f>G29-H29</f>
        <v>1378552.899</v>
      </c>
      <c r="J29" s="47"/>
      <c r="K29" s="110">
        <v>4827921</v>
      </c>
      <c r="L29" s="110">
        <v>2066220.5915229996</v>
      </c>
      <c r="M29" s="93">
        <f>K29-L29</f>
        <v>2761700.4084770004</v>
      </c>
      <c r="N29" s="47"/>
      <c r="O29" s="110">
        <v>5304910</v>
      </c>
      <c r="P29" s="110">
        <v>2142301.1120900288</v>
      </c>
      <c r="Q29" s="93">
        <f>O29-P29</f>
        <v>3162608.8879099712</v>
      </c>
      <c r="R29" s="47"/>
      <c r="S29" s="110">
        <v>6082942</v>
      </c>
      <c r="T29" s="110">
        <v>2222196.1715364694</v>
      </c>
      <c r="U29" s="93">
        <f>S29-T29</f>
        <v>3860745.8284635306</v>
      </c>
      <c r="V29" s="47"/>
      <c r="W29" s="110"/>
      <c r="X29" s="110">
        <v>2306107.692165134</v>
      </c>
      <c r="Y29" s="93">
        <f>W29-X29</f>
        <v>-2306107.692165134</v>
      </c>
      <c r="Z29" s="47"/>
      <c r="AA29" s="110"/>
      <c r="AB29" s="110">
        <v>2394248.5853613759</v>
      </c>
      <c r="AC29" s="93">
        <f>AA29-AB29</f>
        <v>-2394248.5853613759</v>
      </c>
      <c r="AD29" s="47"/>
      <c r="AE29" s="110"/>
      <c r="AF29" s="110">
        <v>2486843.3593878108</v>
      </c>
      <c r="AG29" s="93">
        <f>AE29-AF29</f>
        <v>-2486843.3593878108</v>
      </c>
      <c r="AH29" s="47"/>
      <c r="AI29" s="110"/>
      <c r="AJ29" s="110">
        <v>2584128.7611738727</v>
      </c>
      <c r="AK29" s="93">
        <f>AI29-AJ29</f>
        <v>-2584128.7611738727</v>
      </c>
      <c r="AL29" s="47"/>
      <c r="AM29" s="110"/>
      <c r="AN29" s="110">
        <v>2686354.4540185691</v>
      </c>
      <c r="AO29" s="93">
        <f>AM29-AN29</f>
        <v>-2686354.4540185691</v>
      </c>
      <c r="AP29" s="47"/>
      <c r="AQ29" s="110"/>
      <c r="AR29" s="110">
        <v>2793783.7332338942</v>
      </c>
      <c r="AS29" s="93">
        <f>AQ29-AR29</f>
        <v>-2793783.7332338942</v>
      </c>
      <c r="AT29" s="47"/>
      <c r="AU29" s="113"/>
      <c r="AV29" s="113">
        <v>2906694.2818717249</v>
      </c>
      <c r="AW29" s="93">
        <f>AU29-AV29</f>
        <v>-2906694.2818717249</v>
      </c>
    </row>
    <row r="30" spans="2:49">
      <c r="B30" s="112" t="s">
        <v>162</v>
      </c>
      <c r="C30" s="113">
        <v>5516696</v>
      </c>
      <c r="D30" s="47">
        <v>4028433.7499999995</v>
      </c>
      <c r="E30" s="93">
        <f>C30-D30</f>
        <v>1488262.2500000005</v>
      </c>
      <c r="F30" s="47"/>
      <c r="G30" s="113">
        <v>6091645</v>
      </c>
      <c r="H30" s="113">
        <v>4170034.9102499993</v>
      </c>
      <c r="I30" s="93">
        <f>G30-H30</f>
        <v>1921610.0897500007</v>
      </c>
      <c r="J30" s="47"/>
      <c r="K30" s="113">
        <v>8348565</v>
      </c>
      <c r="L30" s="113">
        <v>4318601.5388257494</v>
      </c>
      <c r="M30" s="93">
        <f>K30-L30</f>
        <v>4029963.4611742506</v>
      </c>
      <c r="N30" s="47"/>
      <c r="O30" s="113">
        <v>9663985</v>
      </c>
      <c r="P30" s="113">
        <v>4474500.6656261412</v>
      </c>
      <c r="Q30" s="93">
        <f>O30-P30</f>
        <v>5189484.3343738588</v>
      </c>
      <c r="R30" s="47"/>
      <c r="S30" s="113">
        <v>9210483</v>
      </c>
      <c r="T30" s="113">
        <v>4638119.3468733225</v>
      </c>
      <c r="U30" s="93">
        <f>S30-T30</f>
        <v>4572363.6531266775</v>
      </c>
      <c r="V30" s="47"/>
      <c r="W30" s="113"/>
      <c r="X30" s="113">
        <v>4809865.7789542517</v>
      </c>
      <c r="Y30" s="93">
        <f>W30-X30</f>
        <v>-4809865.7789542517</v>
      </c>
      <c r="Z30" s="47"/>
      <c r="AA30" s="113"/>
      <c r="AB30" s="113">
        <v>4990170.4749736805</v>
      </c>
      <c r="AC30" s="93">
        <f>AA30-AB30</f>
        <v>-4990170.4749736805</v>
      </c>
      <c r="AD30" s="47"/>
      <c r="AE30" s="113"/>
      <c r="AF30" s="113">
        <v>5179487.5075812582</v>
      </c>
      <c r="AG30" s="93">
        <f>AE30-AF30</f>
        <v>-5179487.5075812582</v>
      </c>
      <c r="AH30" s="47"/>
      <c r="AI30" s="113"/>
      <c r="AJ30" s="113">
        <v>5378295.8218394741</v>
      </c>
      <c r="AK30" s="93">
        <f>AI30-AJ30</f>
        <v>-5378295.8218394741</v>
      </c>
      <c r="AL30" s="47"/>
      <c r="AM30" s="113"/>
      <c r="AN30" s="113">
        <v>5587100.6221147245</v>
      </c>
      <c r="AO30" s="93">
        <f>AM30-AN30</f>
        <v>-5587100.6221147245</v>
      </c>
      <c r="AP30" s="47"/>
      <c r="AQ30" s="113"/>
      <c r="AR30" s="113">
        <v>5806434.8372018766</v>
      </c>
      <c r="AS30" s="93">
        <f>AQ30-AR30</f>
        <v>-5806434.8372018766</v>
      </c>
      <c r="AT30" s="47"/>
      <c r="AU30" s="113"/>
      <c r="AV30" s="113">
        <v>6036860.6681339322</v>
      </c>
      <c r="AW30" s="93">
        <f>AU30-AV30</f>
        <v>-6036860.6681339322</v>
      </c>
    </row>
    <row r="31" spans="2:49">
      <c r="B31" s="115" t="s">
        <v>163</v>
      </c>
      <c r="C31" s="168">
        <v>2.4300000000000002</v>
      </c>
      <c r="D31" s="25"/>
      <c r="E31" s="71"/>
      <c r="F31" s="45"/>
      <c r="G31" s="167">
        <v>2.1800000000000002</v>
      </c>
      <c r="H31" s="26"/>
      <c r="I31" s="71"/>
      <c r="J31" s="46"/>
      <c r="K31" s="167">
        <v>2.2999999999999998</v>
      </c>
      <c r="L31" s="34"/>
      <c r="M31" s="71"/>
      <c r="N31" s="41"/>
      <c r="O31" s="167">
        <v>2.38</v>
      </c>
      <c r="P31" s="34"/>
      <c r="Q31" s="71"/>
      <c r="R31" s="41"/>
      <c r="S31" s="116">
        <v>2.25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0.6845</v>
      </c>
      <c r="D34" s="33"/>
      <c r="E34" s="63"/>
      <c r="F34" s="123"/>
      <c r="G34" s="121">
        <v>0.70909999999999995</v>
      </c>
      <c r="H34" s="33"/>
      <c r="I34" s="63"/>
      <c r="J34" s="123"/>
      <c r="K34" s="121">
        <v>0.59750000000000003</v>
      </c>
      <c r="L34" s="33"/>
      <c r="M34" s="63"/>
      <c r="N34" s="123"/>
      <c r="O34" s="121">
        <v>0.52470000000000006</v>
      </c>
      <c r="P34" s="33"/>
      <c r="Q34" s="63"/>
      <c r="R34" s="123"/>
      <c r="S34" s="121">
        <v>0.73609999999999998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0.51300000000000001</v>
      </c>
      <c r="D35" s="54"/>
      <c r="E35" s="69"/>
      <c r="F35" s="123"/>
      <c r="G35" s="123">
        <v>0.52700000000000002</v>
      </c>
      <c r="H35" s="54"/>
      <c r="I35" s="69"/>
      <c r="J35" s="123"/>
      <c r="K35" s="124">
        <v>0.47549999999999998</v>
      </c>
      <c r="L35" s="54"/>
      <c r="M35" s="69"/>
      <c r="N35" s="123"/>
      <c r="O35" s="124">
        <v>0.43380000000000002</v>
      </c>
      <c r="P35" s="54"/>
      <c r="Q35" s="69"/>
      <c r="R35" s="123"/>
      <c r="S35" s="124">
        <v>0.43240000000000001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0.48699999999999999</v>
      </c>
      <c r="D36" s="54"/>
      <c r="E36" s="69"/>
      <c r="F36" s="123"/>
      <c r="G36" s="124">
        <f>1-G35</f>
        <v>0.47299999999999998</v>
      </c>
      <c r="H36" s="54"/>
      <c r="I36" s="69"/>
      <c r="J36" s="123"/>
      <c r="K36" s="124">
        <f>1-K35</f>
        <v>0.52449999999999997</v>
      </c>
      <c r="L36" s="54"/>
      <c r="M36" s="69"/>
      <c r="N36" s="123"/>
      <c r="O36" s="124">
        <f>1-O35</f>
        <v>0.56620000000000004</v>
      </c>
      <c r="P36" s="54"/>
      <c r="Q36" s="69"/>
      <c r="R36" s="123"/>
      <c r="S36" s="124">
        <f>1-S35</f>
        <v>0.56759999999999999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0.11360000000000001</v>
      </c>
      <c r="D37" s="54"/>
      <c r="E37" s="69"/>
      <c r="F37" s="123"/>
      <c r="G37" s="124">
        <f>988847/G19</f>
        <v>0.11561873074720432</v>
      </c>
      <c r="H37" s="54"/>
      <c r="I37" s="69"/>
      <c r="J37" s="123"/>
      <c r="K37" s="124">
        <v>0.12</v>
      </c>
      <c r="L37" s="54"/>
      <c r="M37" s="69"/>
      <c r="N37" s="123"/>
      <c r="O37" s="124">
        <f>1613176/O19</f>
        <v>0.1387688426108922</v>
      </c>
      <c r="P37" s="54"/>
      <c r="Q37" s="69"/>
      <c r="R37" s="123"/>
      <c r="S37" s="124">
        <v>0.14000000000000001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0.75639999999999996</v>
      </c>
      <c r="D38" s="54"/>
      <c r="E38" s="69"/>
      <c r="F38" s="123"/>
      <c r="G38" s="124">
        <f>1-G39</f>
        <v>0.77200960076252356</v>
      </c>
      <c r="H38" s="54"/>
      <c r="I38" s="69"/>
      <c r="J38" s="123"/>
      <c r="K38" s="124">
        <f>1-K39</f>
        <v>0.77</v>
      </c>
      <c r="L38" s="54"/>
      <c r="M38" s="69"/>
      <c r="N38" s="123"/>
      <c r="O38" s="124">
        <f>1-O39</f>
        <v>0.76692603773877055</v>
      </c>
      <c r="P38" s="54"/>
      <c r="Q38" s="69"/>
      <c r="R38" s="123"/>
      <c r="S38" s="124">
        <f>1-S39</f>
        <v>0.79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0.24360000000000001</v>
      </c>
      <c r="D39" s="32"/>
      <c r="E39" s="68"/>
      <c r="F39" s="123"/>
      <c r="G39" s="126">
        <f>1949923/G19</f>
        <v>0.22799039923747647</v>
      </c>
      <c r="H39" s="32"/>
      <c r="I39" s="68"/>
      <c r="J39" s="123"/>
      <c r="K39" s="126">
        <v>0.23</v>
      </c>
      <c r="L39" s="32"/>
      <c r="M39" s="68"/>
      <c r="N39" s="123"/>
      <c r="O39" s="126">
        <f>2709465/O19</f>
        <v>0.23307396226122945</v>
      </c>
      <c r="P39" s="32"/>
      <c r="Q39" s="68"/>
      <c r="R39" s="123"/>
      <c r="S39" s="126">
        <v>0.21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0.22520000000000001</v>
      </c>
      <c r="D42" s="33"/>
      <c r="E42" s="63"/>
      <c r="F42" s="123"/>
      <c r="G42" s="121">
        <v>0.1774</v>
      </c>
      <c r="H42" s="33"/>
      <c r="I42" s="63"/>
      <c r="J42" s="123"/>
      <c r="K42" s="121">
        <v>0.1885</v>
      </c>
      <c r="L42" s="33"/>
      <c r="M42" s="63"/>
      <c r="N42" s="123"/>
      <c r="O42" s="121">
        <v>0.16800000000000001</v>
      </c>
      <c r="P42" s="33"/>
      <c r="Q42" s="63"/>
      <c r="R42" s="123"/>
      <c r="S42" s="121">
        <v>0.17560000000000001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7.5999999999999998E-2</v>
      </c>
      <c r="D43" s="54"/>
      <c r="E43" s="69"/>
      <c r="F43" s="123"/>
      <c r="G43" s="124">
        <v>9.3399999999999997E-2</v>
      </c>
      <c r="H43" s="54"/>
      <c r="I43" s="69"/>
      <c r="J43" s="123"/>
      <c r="K43" s="124">
        <v>5.8999999999999997E-2</v>
      </c>
      <c r="L43" s="54"/>
      <c r="M43" s="69"/>
      <c r="N43" s="123"/>
      <c r="O43" s="124">
        <v>5.8500000000000003E-2</v>
      </c>
      <c r="P43" s="54"/>
      <c r="Q43" s="69"/>
      <c r="R43" s="123"/>
      <c r="S43" s="124">
        <v>5.1400000000000001E-2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0.20899999999999999</v>
      </c>
      <c r="D44" s="54"/>
      <c r="E44" s="69"/>
      <c r="F44" s="123"/>
      <c r="G44" s="124">
        <v>0.17499999999999999</v>
      </c>
      <c r="H44" s="54"/>
      <c r="I44" s="69"/>
      <c r="J44" s="123"/>
      <c r="K44" s="124">
        <v>0.1772</v>
      </c>
      <c r="L44" s="54"/>
      <c r="M44" s="69"/>
      <c r="N44" s="123"/>
      <c r="O44" s="124">
        <v>0.16250000000000001</v>
      </c>
      <c r="P44" s="54"/>
      <c r="Q44" s="69"/>
      <c r="R44" s="123"/>
      <c r="S44" s="124">
        <v>0.1522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0.38350000000000001</v>
      </c>
      <c r="D45" s="54"/>
      <c r="E45" s="69"/>
      <c r="F45" s="123"/>
      <c r="G45" s="124">
        <v>0.43409999999999999</v>
      </c>
      <c r="H45" s="54"/>
      <c r="I45" s="69"/>
      <c r="J45" s="123"/>
      <c r="K45" s="124">
        <v>0.48</v>
      </c>
      <c r="L45" s="54"/>
      <c r="M45" s="69"/>
      <c r="N45" s="123"/>
      <c r="O45" s="124">
        <v>0.49</v>
      </c>
      <c r="P45" s="54"/>
      <c r="Q45" s="69"/>
      <c r="R45" s="123"/>
      <c r="S45" s="124">
        <v>0.58689999999999998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105</v>
      </c>
      <c r="C46" s="124">
        <v>2.3999999999999998E-3</v>
      </c>
      <c r="D46" s="54"/>
      <c r="E46" s="69"/>
      <c r="F46" s="123"/>
      <c r="G46" s="124">
        <v>1.1999999999999999E-3</v>
      </c>
      <c r="H46" s="54"/>
      <c r="I46" s="69"/>
      <c r="J46" s="123"/>
      <c r="K46" s="124">
        <v>1E-3</v>
      </c>
      <c r="L46" s="54"/>
      <c r="M46" s="69"/>
      <c r="N46" s="123"/>
      <c r="O46" s="124">
        <v>0</v>
      </c>
      <c r="P46" s="54"/>
      <c r="Q46" s="69"/>
      <c r="R46" s="123"/>
      <c r="S46" s="124">
        <v>0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2.3999999999999998E-3</v>
      </c>
      <c r="D47" s="54"/>
      <c r="E47" s="69"/>
      <c r="F47" s="123"/>
      <c r="G47" s="124">
        <v>1.2999999999999999E-3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2E-3</v>
      </c>
      <c r="D48" s="54"/>
      <c r="E48" s="69"/>
      <c r="F48" s="123"/>
      <c r="G48" s="124">
        <v>2E-3</v>
      </c>
      <c r="H48" s="54"/>
      <c r="I48" s="69"/>
      <c r="J48" s="123"/>
      <c r="K48" s="124">
        <v>1E-3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9.9500000000000144E-2</v>
      </c>
      <c r="D51" s="32"/>
      <c r="E51" s="68"/>
      <c r="F51" s="123"/>
      <c r="G51" s="126">
        <f>1-SUM(G42:G50)</f>
        <v>0.11560000000000015</v>
      </c>
      <c r="H51" s="32"/>
      <c r="I51" s="68"/>
      <c r="J51" s="123"/>
      <c r="K51" s="126">
        <f>1-SUM(K42:K50)</f>
        <v>9.330000000000005E-2</v>
      </c>
      <c r="L51" s="32"/>
      <c r="M51" s="68"/>
      <c r="N51" s="123"/>
      <c r="O51" s="126">
        <f>1-SUM(O42:O50)</f>
        <v>0.121</v>
      </c>
      <c r="P51" s="32"/>
      <c r="Q51" s="68"/>
      <c r="R51" s="123"/>
      <c r="S51" s="126">
        <f>1-SUM(S42:S50)</f>
        <v>3.3900000000000041E-2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10">
        <v>2452407</v>
      </c>
      <c r="D54" s="110">
        <v>2187212.5</v>
      </c>
      <c r="E54" s="93">
        <f>C54-D54</f>
        <v>265194.5</v>
      </c>
      <c r="F54" s="47"/>
      <c r="G54" s="110">
        <v>1532648</v>
      </c>
      <c r="H54" s="110">
        <v>2265639.8875000002</v>
      </c>
      <c r="I54" s="93">
        <f>G54-H54</f>
        <v>-732991.88750000019</v>
      </c>
      <c r="J54" s="47"/>
      <c r="K54" s="110">
        <v>2198997</v>
      </c>
      <c r="L54" s="110">
        <v>2347977.9449124997</v>
      </c>
      <c r="M54" s="93">
        <f>K54-L54</f>
        <v>-148980.94491249975</v>
      </c>
      <c r="N54" s="47"/>
      <c r="O54" s="110">
        <v>1508246</v>
      </c>
      <c r="P54" s="110">
        <v>2434433.0819204878</v>
      </c>
      <c r="Q54" s="93">
        <f>O54-P54</f>
        <v>-926187.08192048781</v>
      </c>
      <c r="R54" s="47"/>
      <c r="S54" s="110">
        <v>1255019</v>
      </c>
      <c r="T54" s="110">
        <v>2525222.922200534</v>
      </c>
      <c r="U54" s="93">
        <f>S54-T54</f>
        <v>-1270203.922200534</v>
      </c>
      <c r="V54" s="47"/>
      <c r="W54" s="110"/>
      <c r="X54" s="110">
        <v>2620576.9229149269</v>
      </c>
      <c r="Y54" s="93">
        <f>W54-X54</f>
        <v>-2620576.9229149269</v>
      </c>
      <c r="Z54" s="47"/>
      <c r="AA54" s="110"/>
      <c r="AB54" s="110">
        <v>2720737.0288197459</v>
      </c>
      <c r="AC54" s="93">
        <f>AA54-AB54</f>
        <v>-2720737.0288197459</v>
      </c>
      <c r="AD54" s="47"/>
      <c r="AE54" s="110"/>
      <c r="AF54" s="110">
        <v>2825958.3629406942</v>
      </c>
      <c r="AG54" s="93">
        <f>AE54-AF54</f>
        <v>-2825958.3629406942</v>
      </c>
      <c r="AH54" s="47"/>
      <c r="AI54" s="110"/>
      <c r="AJ54" s="110">
        <v>2936509.9558794014</v>
      </c>
      <c r="AK54" s="93">
        <f>AI54-AJ54</f>
        <v>-2936509.9558794014</v>
      </c>
      <c r="AL54" s="47"/>
      <c r="AM54" s="110"/>
      <c r="AN54" s="110">
        <v>3052675.5159301925</v>
      </c>
      <c r="AO54" s="93">
        <f>AM54-AN54</f>
        <v>-3052675.5159301925</v>
      </c>
      <c r="AP54" s="47"/>
      <c r="AQ54" s="110"/>
      <c r="AR54" s="110">
        <v>3174754.2423112439</v>
      </c>
      <c r="AS54" s="93">
        <f>AQ54-AR54</f>
        <v>-3174754.2423112439</v>
      </c>
      <c r="AT54" s="47"/>
      <c r="AU54" s="113"/>
      <c r="AV54" s="113">
        <v>3303061.6839451422</v>
      </c>
      <c r="AW54" s="93">
        <f>AU54-AV54</f>
        <v>-3303061.6839451422</v>
      </c>
    </row>
    <row r="55" spans="2:49">
      <c r="B55" s="112" t="s">
        <v>30</v>
      </c>
      <c r="C55" s="113">
        <f>(VICE_Global!C54/VICE_Global!C53)*VICE_USA!C54</f>
        <v>1842156.242336343</v>
      </c>
      <c r="D55" s="57"/>
      <c r="E55" s="53"/>
      <c r="F55" s="47"/>
      <c r="G55" s="93">
        <f>(VICE_Global!D54/VICE_Global!D53)*VICE_USA!G54</f>
        <v>1365597.9542021258</v>
      </c>
      <c r="H55" s="57"/>
      <c r="I55" s="53"/>
      <c r="J55" s="47"/>
      <c r="K55" s="93">
        <f>(VICE_Global!E54/VICE_Global!E53)*VICE_USA!K54</f>
        <v>1851080.6042833417</v>
      </c>
      <c r="L55" s="57"/>
      <c r="M55" s="53"/>
      <c r="N55" s="47"/>
      <c r="O55" s="93">
        <f>(VICE_Global!F54/VICE_Global!F53)*VICE_USA!O54</f>
        <v>1225492.5762514337</v>
      </c>
      <c r="P55" s="57"/>
      <c r="Q55" s="53"/>
      <c r="R55" s="47"/>
      <c r="S55" s="113">
        <f>VICE_Global!G54/VICE_Global!G53*VICE_USA!S54</f>
        <v>1036084.0522957285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>
        <v>268658.34999999998</v>
      </c>
      <c r="D56" s="57"/>
      <c r="E56" s="53"/>
      <c r="F56" s="47"/>
      <c r="G56" s="113">
        <v>170934.04</v>
      </c>
      <c r="H56" s="57"/>
      <c r="I56" s="53"/>
      <c r="J56" s="47"/>
      <c r="K56" s="113">
        <v>242381.39</v>
      </c>
      <c r="L56" s="57"/>
      <c r="M56" s="53"/>
      <c r="N56" s="47"/>
      <c r="O56" s="113">
        <v>175793.72</v>
      </c>
      <c r="P56" s="57"/>
      <c r="Q56" s="53"/>
      <c r="R56" s="47"/>
      <c r="S56" s="113">
        <v>134909.25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>
        <f>(C55/C54)*C56</f>
        <v>201806.08541252819</v>
      </c>
      <c r="D57" s="53"/>
      <c r="E57" s="53"/>
      <c r="F57" s="43"/>
      <c r="G57" s="93">
        <f>(G55/G54)*G56</f>
        <v>152303.18724684621</v>
      </c>
      <c r="H57" s="53"/>
      <c r="I57" s="53"/>
      <c r="J57" s="43"/>
      <c r="K57" s="93">
        <f>(K55/K54)*K56</f>
        <v>204032.78852505772</v>
      </c>
      <c r="L57" s="57"/>
      <c r="M57" s="53"/>
      <c r="N57" s="47"/>
      <c r="O57" s="93">
        <f>(O55/O54)*O56</f>
        <v>142837.37454740354</v>
      </c>
      <c r="P57" s="57"/>
      <c r="Q57" s="53"/>
      <c r="R57" s="47"/>
      <c r="S57" s="93">
        <f>(S55/S54)*S56</f>
        <v>111374.66638527186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>
        <v>0.60329999999999995</v>
      </c>
      <c r="D58" s="32"/>
      <c r="E58" s="68"/>
      <c r="F58" s="123"/>
      <c r="G58" s="126">
        <v>0.60670000000000002</v>
      </c>
      <c r="H58" s="32"/>
      <c r="I58" s="68"/>
      <c r="J58" s="123"/>
      <c r="K58" s="126">
        <v>0.6573</v>
      </c>
      <c r="L58" s="32"/>
      <c r="M58" s="68"/>
      <c r="N58" s="123"/>
      <c r="O58" s="126">
        <v>0.62890000000000001</v>
      </c>
      <c r="P58" s="32"/>
      <c r="Q58" s="68"/>
      <c r="R58" s="123"/>
      <c r="S58" s="126">
        <v>0.56999999999999995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13"/>
      <c r="C59" s="113"/>
      <c r="D59" s="113"/>
      <c r="E59" s="113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89019</v>
      </c>
      <c r="D61" s="36"/>
      <c r="E61" s="61"/>
      <c r="F61" s="47"/>
      <c r="G61" s="110">
        <v>87235</v>
      </c>
      <c r="H61" s="36"/>
      <c r="I61" s="61"/>
      <c r="J61" s="47"/>
      <c r="K61" s="110">
        <v>53110</v>
      </c>
      <c r="L61" s="36"/>
      <c r="M61" s="61"/>
      <c r="N61" s="47"/>
      <c r="O61" s="110">
        <v>40355</v>
      </c>
      <c r="P61" s="36"/>
      <c r="Q61" s="61"/>
      <c r="R61" s="47"/>
      <c r="S61" s="110">
        <v>48351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13091640</v>
      </c>
      <c r="D62" s="57"/>
      <c r="E62" s="53"/>
      <c r="F62" s="47"/>
      <c r="G62" s="113">
        <v>12435578</v>
      </c>
      <c r="H62" s="57"/>
      <c r="I62" s="53"/>
      <c r="J62" s="47"/>
      <c r="K62" s="113">
        <v>10643160</v>
      </c>
      <c r="L62" s="57"/>
      <c r="M62" s="53"/>
      <c r="N62" s="47"/>
      <c r="O62" s="113">
        <v>10791845</v>
      </c>
      <c r="P62" s="57"/>
      <c r="Q62" s="53"/>
      <c r="R62" s="47"/>
      <c r="S62" s="113">
        <v>10115872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42547</v>
      </c>
      <c r="D63" s="57"/>
      <c r="E63" s="53"/>
      <c r="F63" s="47"/>
      <c r="G63" s="113">
        <v>44442</v>
      </c>
      <c r="H63" s="57"/>
      <c r="I63" s="53"/>
      <c r="J63" s="47"/>
      <c r="K63" s="113">
        <v>28886</v>
      </c>
      <c r="L63" s="57"/>
      <c r="M63" s="53"/>
      <c r="N63" s="47"/>
      <c r="O63" s="113">
        <v>48614</v>
      </c>
      <c r="P63" s="57"/>
      <c r="Q63" s="53"/>
      <c r="R63" s="47"/>
      <c r="S63" s="113">
        <v>35685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1671184.2</v>
      </c>
      <c r="D64" s="57"/>
      <c r="E64" s="53"/>
      <c r="F64" s="47"/>
      <c r="G64" s="113">
        <f>88116253/60</f>
        <v>1468604.2166666666</v>
      </c>
      <c r="H64" s="57"/>
      <c r="I64" s="53"/>
      <c r="J64" s="47"/>
      <c r="K64" s="113">
        <f>81854570/60</f>
        <v>1364242.8333333333</v>
      </c>
      <c r="L64" s="57"/>
      <c r="M64" s="53"/>
      <c r="N64" s="47"/>
      <c r="O64" s="113">
        <f>81292237/60</f>
        <v>1354870.6166666667</v>
      </c>
      <c r="P64" s="57"/>
      <c r="Q64" s="53"/>
      <c r="R64" s="47"/>
      <c r="S64" s="113">
        <f>76535256/60</f>
        <v>1275587.6000000001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12</v>
      </c>
      <c r="C65" s="92">
        <f>(C63/C62)*C64</f>
        <v>5431.2426981951839</v>
      </c>
      <c r="D65" s="24"/>
      <c r="E65" s="24"/>
      <c r="F65" s="43"/>
      <c r="G65" s="92">
        <f>(G63/G62)*G64</f>
        <v>5248.466022013612</v>
      </c>
      <c r="H65" s="24"/>
      <c r="I65" s="24"/>
      <c r="J65" s="43"/>
      <c r="K65" s="92">
        <f>(K63/K62)*K64</f>
        <v>3702.6144945360834</v>
      </c>
      <c r="L65" s="35"/>
      <c r="M65" s="24"/>
      <c r="N65" s="47"/>
      <c r="O65" s="92">
        <f>(O63/O62)*O64</f>
        <v>6103.2826322684705</v>
      </c>
      <c r="P65" s="35"/>
      <c r="Q65" s="24"/>
      <c r="R65" s="47"/>
      <c r="S65" s="92">
        <f>(S63/S62)*S64</f>
        <v>4499.7943336965909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>
        <v>530232</v>
      </c>
      <c r="D68" s="36"/>
      <c r="E68" s="61"/>
      <c r="F68" s="47"/>
      <c r="G68" s="110">
        <v>550379</v>
      </c>
      <c r="H68" s="36"/>
      <c r="I68" s="61"/>
      <c r="J68" s="47"/>
      <c r="K68" s="110">
        <v>573768</v>
      </c>
      <c r="L68" s="36"/>
      <c r="M68" s="61"/>
      <c r="N68" s="47"/>
      <c r="O68" s="110">
        <v>618856</v>
      </c>
      <c r="P68" s="36"/>
      <c r="Q68" s="61"/>
      <c r="R68" s="47"/>
      <c r="S68" s="110">
        <v>689417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>
        <v>541000</v>
      </c>
      <c r="D69" s="35"/>
      <c r="E69" s="24"/>
      <c r="F69" s="47"/>
      <c r="G69" s="131">
        <v>562000</v>
      </c>
      <c r="H69" s="35"/>
      <c r="I69" s="24"/>
      <c r="J69" s="47"/>
      <c r="K69" s="131">
        <v>593000</v>
      </c>
      <c r="L69" s="35"/>
      <c r="M69" s="24"/>
      <c r="N69" s="47"/>
      <c r="O69" s="131">
        <v>628103</v>
      </c>
      <c r="P69" s="35"/>
      <c r="Q69" s="24"/>
      <c r="R69" s="47"/>
      <c r="S69" s="131">
        <v>661863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28" t="s">
        <v>187</v>
      </c>
      <c r="C72" s="365"/>
      <c r="D72" s="33"/>
      <c r="E72" s="63"/>
      <c r="F72" s="44"/>
      <c r="G72" s="365"/>
      <c r="H72" s="33"/>
      <c r="I72" s="63"/>
      <c r="J72" s="44"/>
      <c r="K72" s="367">
        <v>3961000</v>
      </c>
      <c r="L72" s="33"/>
      <c r="M72" s="63"/>
      <c r="N72" s="44"/>
      <c r="O72" s="367">
        <v>4223000</v>
      </c>
      <c r="P72" s="33"/>
      <c r="Q72" s="63"/>
      <c r="R72" s="44"/>
      <c r="S72" s="365"/>
      <c r="T72" s="33"/>
      <c r="U72" s="63"/>
      <c r="V72" s="44"/>
      <c r="W72" s="365"/>
      <c r="X72" s="33"/>
      <c r="Y72" s="63"/>
      <c r="Z72" s="44"/>
      <c r="AA72" s="365"/>
      <c r="AB72" s="33"/>
      <c r="AC72" s="63"/>
      <c r="AD72" s="44"/>
      <c r="AE72" s="365"/>
      <c r="AF72" s="33"/>
      <c r="AG72" s="63"/>
      <c r="AH72" s="44"/>
      <c r="AI72" s="365"/>
      <c r="AJ72" s="33"/>
      <c r="AK72" s="63"/>
      <c r="AL72" s="44"/>
      <c r="AM72" s="365"/>
      <c r="AN72" s="33"/>
      <c r="AO72" s="63"/>
      <c r="AP72" s="44"/>
      <c r="AQ72" s="365"/>
      <c r="AR72" s="33"/>
      <c r="AS72" s="63"/>
      <c r="AT72" s="44"/>
      <c r="AU72" s="365"/>
      <c r="AV72" s="33"/>
      <c r="AW72" s="63"/>
    </row>
    <row r="73" spans="2:49">
      <c r="B73" s="147" t="s">
        <v>186</v>
      </c>
      <c r="C73" s="364"/>
      <c r="D73" s="54"/>
      <c r="E73" s="69"/>
      <c r="F73" s="44"/>
      <c r="G73" s="364"/>
      <c r="H73" s="54"/>
      <c r="I73" s="69"/>
      <c r="J73" s="44"/>
      <c r="K73" s="368">
        <v>7634000</v>
      </c>
      <c r="L73" s="54"/>
      <c r="M73" s="69"/>
      <c r="N73" s="44"/>
      <c r="O73" s="368">
        <v>7395000</v>
      </c>
      <c r="P73" s="54"/>
      <c r="Q73" s="69"/>
      <c r="R73" s="44"/>
      <c r="S73" s="364"/>
      <c r="T73" s="54"/>
      <c r="U73" s="69"/>
      <c r="V73" s="44"/>
      <c r="W73" s="364"/>
      <c r="X73" s="54"/>
      <c r="Y73" s="69"/>
      <c r="Z73" s="44"/>
      <c r="AA73" s="364"/>
      <c r="AB73" s="54"/>
      <c r="AC73" s="69"/>
      <c r="AD73" s="44"/>
      <c r="AE73" s="364"/>
      <c r="AF73" s="54"/>
      <c r="AG73" s="69"/>
      <c r="AH73" s="44"/>
      <c r="AI73" s="364"/>
      <c r="AJ73" s="54"/>
      <c r="AK73" s="69"/>
      <c r="AL73" s="44"/>
      <c r="AM73" s="364"/>
      <c r="AN73" s="54"/>
      <c r="AO73" s="69"/>
      <c r="AP73" s="44"/>
      <c r="AQ73" s="364"/>
      <c r="AR73" s="54"/>
      <c r="AS73" s="69"/>
      <c r="AT73" s="44"/>
      <c r="AU73" s="364"/>
      <c r="AV73" s="54"/>
      <c r="AW73" s="69"/>
    </row>
    <row r="74" spans="2:49">
      <c r="B74" s="112" t="s">
        <v>38</v>
      </c>
      <c r="C74" s="124">
        <v>0.755</v>
      </c>
      <c r="D74" s="54"/>
      <c r="E74" s="69"/>
      <c r="F74" s="123"/>
      <c r="G74" s="124">
        <v>0.70199999999999996</v>
      </c>
      <c r="H74" s="54"/>
      <c r="I74" s="69"/>
      <c r="J74" s="123"/>
      <c r="K74" s="124">
        <v>0.76200000000000001</v>
      </c>
      <c r="L74" s="54"/>
      <c r="M74" s="69"/>
      <c r="N74" s="123"/>
      <c r="O74" s="124">
        <v>0.70599999999999996</v>
      </c>
      <c r="P74" s="54"/>
      <c r="Q74" s="69"/>
      <c r="R74" s="123"/>
      <c r="S74" s="124"/>
      <c r="T74" s="54"/>
      <c r="U74" s="69"/>
      <c r="V74" s="123"/>
      <c r="W74" s="124"/>
      <c r="X74" s="54"/>
      <c r="Y74" s="69"/>
      <c r="Z74" s="123"/>
      <c r="AA74" s="124"/>
      <c r="AB74" s="54"/>
      <c r="AC74" s="69"/>
      <c r="AD74" s="123"/>
      <c r="AE74" s="124"/>
      <c r="AF74" s="54"/>
      <c r="AG74" s="69"/>
      <c r="AH74" s="123"/>
      <c r="AI74" s="124"/>
      <c r="AJ74" s="54"/>
      <c r="AK74" s="69"/>
      <c r="AL74" s="123"/>
      <c r="AM74" s="124"/>
      <c r="AN74" s="54"/>
      <c r="AO74" s="69"/>
      <c r="AP74" s="123"/>
      <c r="AQ74" s="124"/>
      <c r="AR74" s="54"/>
      <c r="AS74" s="69"/>
      <c r="AT74" s="123"/>
      <c r="AU74" s="124"/>
      <c r="AV74" s="54"/>
      <c r="AW74" s="69"/>
    </row>
    <row r="75" spans="2:49">
      <c r="B75" s="112" t="s">
        <v>39</v>
      </c>
      <c r="C75" s="124">
        <f>1-C74</f>
        <v>0.245</v>
      </c>
      <c r="D75" s="54"/>
      <c r="E75" s="69"/>
      <c r="F75" s="123"/>
      <c r="G75" s="124">
        <f>1-G74</f>
        <v>0.29800000000000004</v>
      </c>
      <c r="H75" s="54"/>
      <c r="I75" s="69"/>
      <c r="J75" s="123"/>
      <c r="K75" s="124">
        <f>1-K74</f>
        <v>0.23799999999999999</v>
      </c>
      <c r="L75" s="54"/>
      <c r="M75" s="69"/>
      <c r="N75" s="123"/>
      <c r="O75" s="124">
        <f>1-O74</f>
        <v>0.29400000000000004</v>
      </c>
      <c r="P75" s="54"/>
      <c r="Q75" s="69"/>
      <c r="R75" s="123"/>
      <c r="S75" s="124"/>
      <c r="T75" s="54"/>
      <c r="U75" s="69"/>
      <c r="V75" s="123"/>
      <c r="W75" s="124"/>
      <c r="X75" s="54"/>
      <c r="Y75" s="69"/>
      <c r="Z75" s="123"/>
      <c r="AA75" s="124"/>
      <c r="AB75" s="54"/>
      <c r="AC75" s="69"/>
      <c r="AD75" s="123"/>
      <c r="AE75" s="124"/>
      <c r="AF75" s="54"/>
      <c r="AG75" s="69"/>
      <c r="AH75" s="123"/>
      <c r="AI75" s="124"/>
      <c r="AJ75" s="54"/>
      <c r="AK75" s="69"/>
      <c r="AL75" s="123"/>
      <c r="AM75" s="124"/>
      <c r="AN75" s="54"/>
      <c r="AO75" s="69"/>
      <c r="AP75" s="123"/>
      <c r="AQ75" s="124"/>
      <c r="AR75" s="54"/>
      <c r="AS75" s="69"/>
      <c r="AT75" s="123"/>
      <c r="AU75" s="124"/>
      <c r="AV75" s="54"/>
      <c r="AW75" s="69"/>
    </row>
    <row r="76" spans="2:49">
      <c r="B76" s="112" t="s">
        <v>40</v>
      </c>
      <c r="C76" s="124">
        <v>0.51500000000000001</v>
      </c>
      <c r="D76" s="54"/>
      <c r="E76" s="69"/>
      <c r="F76" s="123"/>
      <c r="G76" s="124">
        <v>0.49099999999999999</v>
      </c>
      <c r="H76" s="54"/>
      <c r="I76" s="69"/>
      <c r="J76" s="123"/>
      <c r="K76" s="124">
        <v>0.48499999999999999</v>
      </c>
      <c r="L76" s="54"/>
      <c r="M76" s="69"/>
      <c r="N76" s="123"/>
      <c r="O76" s="124">
        <v>0.56999999999999995</v>
      </c>
      <c r="P76" s="54"/>
      <c r="Q76" s="69"/>
      <c r="R76" s="123"/>
      <c r="S76" s="124"/>
      <c r="T76" s="54"/>
      <c r="U76" s="69"/>
      <c r="V76" s="123"/>
      <c r="W76" s="124"/>
      <c r="X76" s="54"/>
      <c r="Y76" s="69"/>
      <c r="Z76" s="123"/>
      <c r="AA76" s="124"/>
      <c r="AB76" s="54"/>
      <c r="AC76" s="69"/>
      <c r="AD76" s="123"/>
      <c r="AE76" s="124"/>
      <c r="AF76" s="54"/>
      <c r="AG76" s="69"/>
      <c r="AH76" s="123"/>
      <c r="AI76" s="124"/>
      <c r="AJ76" s="54"/>
      <c r="AK76" s="69"/>
      <c r="AL76" s="123"/>
      <c r="AM76" s="124"/>
      <c r="AN76" s="54"/>
      <c r="AO76" s="69"/>
      <c r="AP76" s="123"/>
      <c r="AQ76" s="124"/>
      <c r="AR76" s="54"/>
      <c r="AS76" s="69"/>
      <c r="AT76" s="123"/>
      <c r="AU76" s="124"/>
      <c r="AV76" s="54"/>
      <c r="AW76" s="69"/>
    </row>
    <row r="77" spans="2:49">
      <c r="B77" s="115" t="s">
        <v>41</v>
      </c>
      <c r="C77" s="126">
        <v>0.57999999999999996</v>
      </c>
      <c r="D77" s="32"/>
      <c r="E77" s="68"/>
      <c r="F77" s="123"/>
      <c r="G77" s="126">
        <v>0.56299999999999994</v>
      </c>
      <c r="H77" s="32"/>
      <c r="I77" s="68"/>
      <c r="J77" s="123"/>
      <c r="K77" s="126">
        <v>0.60699999999999998</v>
      </c>
      <c r="L77" s="32"/>
      <c r="M77" s="68"/>
      <c r="N77" s="123"/>
      <c r="O77" s="126">
        <v>0.58299999999999996</v>
      </c>
      <c r="P77" s="32"/>
      <c r="Q77" s="68"/>
      <c r="R77" s="123"/>
      <c r="S77" s="126"/>
      <c r="T77" s="32"/>
      <c r="U77" s="68"/>
      <c r="V77" s="123"/>
      <c r="W77" s="126"/>
      <c r="X77" s="32"/>
      <c r="Y77" s="68"/>
      <c r="Z77" s="123"/>
      <c r="AA77" s="126"/>
      <c r="AB77" s="32"/>
      <c r="AC77" s="68"/>
      <c r="AD77" s="123"/>
      <c r="AE77" s="126"/>
      <c r="AF77" s="32"/>
      <c r="AG77" s="68"/>
      <c r="AH77" s="123"/>
      <c r="AI77" s="126"/>
      <c r="AJ77" s="32"/>
      <c r="AK77" s="68"/>
      <c r="AL77" s="123"/>
      <c r="AM77" s="126"/>
      <c r="AN77" s="32"/>
      <c r="AO77" s="68"/>
      <c r="AP77" s="123"/>
      <c r="AQ77" s="126"/>
      <c r="AR77" s="32"/>
      <c r="AS77" s="68"/>
      <c r="AT77" s="123"/>
      <c r="AU77" s="126"/>
      <c r="AV77" s="32"/>
      <c r="AW77" s="68"/>
    </row>
    <row r="79" spans="2:49">
      <c r="B79" s="137" t="s">
        <v>42</v>
      </c>
      <c r="C79" s="140"/>
      <c r="D79" s="140"/>
      <c r="E79" s="59"/>
      <c r="G79" s="140"/>
      <c r="H79" s="140"/>
      <c r="I79" s="59"/>
      <c r="K79" s="140"/>
      <c r="L79" s="140"/>
      <c r="M79" s="59"/>
      <c r="O79" s="140"/>
      <c r="P79" s="140"/>
      <c r="Q79" s="59"/>
      <c r="S79" s="140"/>
      <c r="T79" s="140"/>
      <c r="U79" s="59"/>
      <c r="W79" s="140"/>
      <c r="X79" s="140"/>
      <c r="Y79" s="59"/>
      <c r="AA79" s="140"/>
      <c r="AB79" s="140"/>
      <c r="AC79" s="59"/>
      <c r="AE79" s="140"/>
      <c r="AF79" s="140"/>
      <c r="AG79" s="59"/>
      <c r="AI79" s="140"/>
      <c r="AJ79" s="140"/>
      <c r="AK79" s="59"/>
      <c r="AM79" s="140"/>
      <c r="AN79" s="140"/>
      <c r="AO79" s="59"/>
      <c r="AQ79" s="140"/>
      <c r="AR79" s="140"/>
      <c r="AS79" s="59"/>
      <c r="AU79" s="21"/>
      <c r="AV79" s="21"/>
      <c r="AW79" s="67"/>
    </row>
    <row r="80" spans="2:49">
      <c r="B80" s="109" t="s">
        <v>43</v>
      </c>
      <c r="C80" s="110">
        <v>5947</v>
      </c>
      <c r="D80" s="36"/>
      <c r="E80" s="61"/>
      <c r="F80" s="47"/>
      <c r="G80" s="141">
        <v>5285</v>
      </c>
      <c r="H80" s="31"/>
      <c r="I80" s="61"/>
      <c r="J80" s="40"/>
      <c r="K80" s="141">
        <v>11521</v>
      </c>
      <c r="L80" s="31"/>
      <c r="M80" s="61"/>
      <c r="N80" s="40"/>
      <c r="O80" s="141">
        <v>9910</v>
      </c>
      <c r="P80" s="31"/>
      <c r="Q80" s="61"/>
      <c r="R80" s="40"/>
      <c r="S80" s="141">
        <v>9642</v>
      </c>
      <c r="T80" s="31"/>
      <c r="U80" s="61"/>
      <c r="V80" s="40"/>
      <c r="W80" s="141"/>
      <c r="X80" s="31"/>
      <c r="Y80" s="61"/>
      <c r="Z80" s="40"/>
      <c r="AA80" s="141"/>
      <c r="AB80" s="31"/>
      <c r="AC80" s="61"/>
      <c r="AD80" s="40"/>
      <c r="AE80" s="141"/>
      <c r="AF80" s="31"/>
      <c r="AG80" s="61"/>
      <c r="AH80" s="40"/>
      <c r="AI80" s="141"/>
      <c r="AJ80" s="31"/>
      <c r="AK80" s="61"/>
      <c r="AL80" s="40"/>
      <c r="AM80" s="141"/>
      <c r="AN80" s="31"/>
      <c r="AO80" s="61"/>
      <c r="AP80" s="40"/>
      <c r="AQ80" s="141"/>
      <c r="AR80" s="31"/>
      <c r="AS80" s="61"/>
      <c r="AT80" s="40"/>
      <c r="AU80" s="143"/>
      <c r="AV80" s="52"/>
      <c r="AW80" s="53"/>
    </row>
    <row r="81" spans="2:49">
      <c r="B81" s="112" t="s">
        <v>44</v>
      </c>
      <c r="C81" s="113">
        <v>31116</v>
      </c>
      <c r="D81" s="57"/>
      <c r="E81" s="53"/>
      <c r="F81" s="47"/>
      <c r="G81" s="143">
        <v>24671</v>
      </c>
      <c r="H81" s="52"/>
      <c r="I81" s="53"/>
      <c r="J81" s="40"/>
      <c r="K81" s="143">
        <v>42565</v>
      </c>
      <c r="L81" s="52"/>
      <c r="M81" s="53"/>
      <c r="N81" s="40"/>
      <c r="O81" s="143">
        <v>45223</v>
      </c>
      <c r="P81" s="52"/>
      <c r="Q81" s="53"/>
      <c r="R81" s="40"/>
      <c r="S81" s="143">
        <v>38588</v>
      </c>
      <c r="T81" s="52"/>
      <c r="U81" s="53"/>
      <c r="V81" s="40"/>
      <c r="W81" s="143"/>
      <c r="X81" s="52"/>
      <c r="Y81" s="53"/>
      <c r="Z81" s="40"/>
      <c r="AA81" s="143"/>
      <c r="AB81" s="52"/>
      <c r="AC81" s="53"/>
      <c r="AD81" s="40"/>
      <c r="AE81" s="143"/>
      <c r="AF81" s="52"/>
      <c r="AG81" s="53"/>
      <c r="AH81" s="40"/>
      <c r="AI81" s="143"/>
      <c r="AJ81" s="52"/>
      <c r="AK81" s="53"/>
      <c r="AL81" s="40"/>
      <c r="AM81" s="143"/>
      <c r="AN81" s="52"/>
      <c r="AO81" s="53"/>
      <c r="AP81" s="40"/>
      <c r="AQ81" s="143"/>
      <c r="AR81" s="52"/>
      <c r="AS81" s="53"/>
      <c r="AT81" s="40"/>
      <c r="AU81" s="143"/>
      <c r="AV81" s="52"/>
      <c r="AW81" s="53"/>
    </row>
    <row r="82" spans="2:49">
      <c r="B82" s="115" t="s">
        <v>162</v>
      </c>
      <c r="C82" s="131">
        <v>1054125</v>
      </c>
      <c r="D82" s="35"/>
      <c r="E82" s="24"/>
      <c r="F82" s="47"/>
      <c r="G82" s="145">
        <v>1079549</v>
      </c>
      <c r="H82" s="30"/>
      <c r="I82" s="24"/>
      <c r="J82" s="40"/>
      <c r="K82" s="145">
        <v>1255521</v>
      </c>
      <c r="L82" s="30"/>
      <c r="M82" s="24"/>
      <c r="N82" s="40"/>
      <c r="O82" s="145">
        <v>1489137</v>
      </c>
      <c r="P82" s="30"/>
      <c r="Q82" s="24"/>
      <c r="R82" s="40"/>
      <c r="S82" s="145">
        <v>1452299</v>
      </c>
      <c r="T82" s="30"/>
      <c r="U82" s="24"/>
      <c r="V82" s="40"/>
      <c r="W82" s="145"/>
      <c r="X82" s="30"/>
      <c r="Y82" s="24"/>
      <c r="Z82" s="40"/>
      <c r="AA82" s="145"/>
      <c r="AB82" s="30"/>
      <c r="AC82" s="24"/>
      <c r="AD82" s="40"/>
      <c r="AE82" s="145"/>
      <c r="AF82" s="30"/>
      <c r="AG82" s="24"/>
      <c r="AH82" s="40"/>
      <c r="AI82" s="145"/>
      <c r="AJ82" s="30"/>
      <c r="AK82" s="24"/>
      <c r="AL82" s="40"/>
      <c r="AM82" s="145"/>
      <c r="AN82" s="30"/>
      <c r="AO82" s="24"/>
      <c r="AP82" s="40"/>
      <c r="AQ82" s="145"/>
      <c r="AR82" s="30"/>
      <c r="AS82" s="24"/>
      <c r="AT82" s="40"/>
      <c r="AU82" s="145"/>
      <c r="AV82" s="30"/>
      <c r="AW82" s="24"/>
    </row>
  </sheetData>
  <phoneticPr fontId="10" type="noConversion"/>
  <pageMargins left="0.75" right="0.75" top="1" bottom="1" header="0.5" footer="0.5"/>
  <rowBreaks count="1" manualBreakCount="1">
    <brk id="9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F6" activePane="bottomRight" state="frozenSplit"/>
      <selection activeCell="C25" sqref="C25"/>
      <selection pane="topRight" activeCell="C25" sqref="C25"/>
      <selection pane="bottomLeft" activeCell="C25" sqref="C25"/>
      <selection pane="bottomRight" activeCell="S58" sqref="S58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21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1.3074082530376709</v>
      </c>
      <c r="D8" s="177">
        <f>IF(ISERROR(D19/D18),"NM",D19/D18)</f>
        <v>1.204754468158945</v>
      </c>
      <c r="E8" s="177">
        <f>IF(ISERROR(C8-D8),"NM",C8-D8)</f>
        <v>0.1026537848787259</v>
      </c>
      <c r="F8" s="50"/>
      <c r="G8" s="177">
        <f>IF(ISERROR(G19/G18),"NM",G19/G18)</f>
        <v>1.3444311828122757</v>
      </c>
      <c r="H8" s="177">
        <f>IF(ISERROR(H19/H18),"NM",H19/H18)</f>
        <v>1.1992087388954549</v>
      </c>
      <c r="I8" s="177">
        <f>IF(ISERROR(G8-H8),"NM",G8-H8)</f>
        <v>0.14522244391682082</v>
      </c>
      <c r="J8" s="50"/>
      <c r="K8" s="177">
        <f>IF(ISERROR(K19/K18),"NM",K19/K18)</f>
        <v>1.3107270275357281</v>
      </c>
      <c r="L8" s="177">
        <f>IF(ISERROR(L19/L18),"NM",L19/L18)</f>
        <v>1.1936950984563872</v>
      </c>
      <c r="M8" s="177">
        <f>IF(ISERROR(K8-L8),"NM",K8-L8)</f>
        <v>0.1170319290793409</v>
      </c>
      <c r="N8" s="50"/>
      <c r="O8" s="177">
        <f>IF(ISERROR(O19/O18),"NM",O19/O18)</f>
        <v>1.3273985640862458</v>
      </c>
      <c r="P8" s="177">
        <f>IF(ISERROR(P19/P18),"NM",P19/P18)</f>
        <v>1.1882103832970248</v>
      </c>
      <c r="Q8" s="177">
        <f>IF(ISERROR(O8-P8),"NM",O8-P8)</f>
        <v>0.13918818078922102</v>
      </c>
      <c r="R8" s="50"/>
      <c r="S8" s="177">
        <f>IF(ISERROR(S19/S18),"NM",S19/S18)</f>
        <v>1.3595257735167776</v>
      </c>
      <c r="T8" s="177">
        <f>IF(ISERROR(T19/T18),"NM",T19/T18)</f>
        <v>1.1827514411464302</v>
      </c>
      <c r="U8" s="177">
        <f>IF(ISERROR(S8-T8),"NM",S8-T8)</f>
        <v>0.17677433237034745</v>
      </c>
      <c r="V8" s="50"/>
      <c r="W8" s="177" t="str">
        <f>IF(ISERROR(W19/W18),"NM",W19/W18)</f>
        <v>NM</v>
      </c>
      <c r="X8" s="177">
        <f>IF(ISERROR(X19/X18),"NM",X19/X18)</f>
        <v>1.1773151427392148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1.1718983929505273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1.1664981413015141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1.1611113918088976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1.1557352121585147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1.1503667421886219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1.1450032016744649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1.3880137934045442</v>
      </c>
      <c r="D9" s="177">
        <f>IF(ISERROR(D20/D19),"NM",D20/D19)</f>
        <v>1.3773800950597723</v>
      </c>
      <c r="E9" s="177">
        <f>IF(ISERROR(C9-D9),"NM",C9-D9)</f>
        <v>1.0633698344771902E-2</v>
      </c>
      <c r="F9" s="50"/>
      <c r="G9" s="177">
        <f>IF(ISERROR(G20/G19),"NM",G20/G19)</f>
        <v>1.3937659290302296</v>
      </c>
      <c r="H9" s="177">
        <f>IF(ISERROR(H20/H19),"NM",H20/H19)</f>
        <v>1.376143247371346</v>
      </c>
      <c r="I9" s="177">
        <f>IF(ISERROR(G9-H9),"NM",G9-H9)</f>
        <v>1.7622681658883588E-2</v>
      </c>
      <c r="J9" s="50"/>
      <c r="K9" s="177">
        <f>IF(ISERROR(K20/K19),"NM",K20/K19)</f>
        <v>1.3831637123045208</v>
      </c>
      <c r="L9" s="177">
        <f>IF(ISERROR(L20/L19),"NM",L20/L19)</f>
        <v>1.374940757519924</v>
      </c>
      <c r="M9" s="177">
        <f>IF(ISERROR(K9-L9),"NM",K9-L9)</f>
        <v>8.222954784596892E-3</v>
      </c>
      <c r="N9" s="50"/>
      <c r="O9" s="177">
        <f>IF(ISERROR(O20/O19),"NM",O20/O19)</f>
        <v>1.3656568475819435</v>
      </c>
      <c r="P9" s="177">
        <f>IF(ISERROR(P20/P19),"NM",P20/P19)</f>
        <v>1.3737721940988104</v>
      </c>
      <c r="Q9" s="177">
        <f>IF(ISERROR(O9-P9),"NM",O9-P9)</f>
        <v>-8.1153465168668504E-3</v>
      </c>
      <c r="R9" s="50"/>
      <c r="S9" s="177">
        <f>IF(ISERROR(S20/S19),"NM",S20/S19)</f>
        <v>1.3806856720920182</v>
      </c>
      <c r="T9" s="177">
        <f>IF(ISERROR(T20/T19),"NM",T20/T19)</f>
        <v>1.3726370823249487</v>
      </c>
      <c r="U9" s="177">
        <f>IF(ISERROR(S9-T9),"NM",S9-T9)</f>
        <v>8.0485897670694584E-3</v>
      </c>
      <c r="V9" s="50"/>
      <c r="W9" s="177" t="str">
        <f>IF(ISERROR(W20/W19),"NM",W20/W19)</f>
        <v>NM</v>
      </c>
      <c r="X9" s="177">
        <f>IF(ISERROR(X20/X19),"NM",X20/X19)</f>
        <v>1.3715349073251935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1.37046511745973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1.3694271276571865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1.3684203227376299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1.3674440607014016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1.366497675963628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1.3655804825162359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7.4616777277995455E-2</v>
      </c>
      <c r="D10" s="37"/>
      <c r="E10" s="37"/>
      <c r="F10" s="50"/>
      <c r="G10" s="177">
        <f>IF(ISERROR((G55+G63)/G19),"NM",(G55+G63)/G19)</f>
        <v>7.0495953617133789E-2</v>
      </c>
      <c r="H10" s="37"/>
      <c r="I10" s="37"/>
      <c r="J10" s="50"/>
      <c r="K10" s="177">
        <f>IF(ISERROR((K55+K63)/K19),"NM",(K55+K63)/K19)</f>
        <v>4.6684638714990088E-2</v>
      </c>
      <c r="L10" s="37"/>
      <c r="M10" s="37"/>
      <c r="N10" s="50"/>
      <c r="O10" s="177">
        <f>IF(ISERROR((O55+O63)/O19),"NM",(O55+O63)/O19)</f>
        <v>2.6687175158707544E-2</v>
      </c>
      <c r="P10" s="37"/>
      <c r="Q10" s="37"/>
      <c r="R10" s="50"/>
      <c r="S10" s="177">
        <f>IF(ISERROR((S55+S63)/S19),"NM",(S55+S63)/S19)</f>
        <v>2.9108439449795052E-2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0.28343743287675943</v>
      </c>
      <c r="D11" s="37"/>
      <c r="E11" s="37"/>
      <c r="F11" s="50"/>
      <c r="G11" s="177">
        <f>IF(ISERROR(((G57+G65)/G19)*60),"NM",((G57+G65)/G19)*60)</f>
        <v>0.30779542087353395</v>
      </c>
      <c r="H11" s="37"/>
      <c r="I11" s="37"/>
      <c r="J11" s="50"/>
      <c r="K11" s="177">
        <f>IF(ISERROR(((K57+K65)/K19)*60),"NM",((K57+K65)/K19)*60)</f>
        <v>0.22302864743234316</v>
      </c>
      <c r="L11" s="37"/>
      <c r="M11" s="37"/>
      <c r="N11" s="50"/>
      <c r="O11" s="177">
        <f>IF(ISERROR(((O57+O65)/O19)*60),"NM",((O57+O65)/O19)*60)</f>
        <v>0.1072748280407964</v>
      </c>
      <c r="P11" s="37"/>
      <c r="Q11" s="37"/>
      <c r="R11" s="50"/>
      <c r="S11" s="177">
        <f>IF(ISERROR(((S57+S65)/S19)*60),"NM",((S57+S65)/S19)*60)</f>
        <v>0.1181088251273376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3.7985751089298967</v>
      </c>
      <c r="D12" s="37"/>
      <c r="E12" s="37"/>
      <c r="F12" s="50"/>
      <c r="G12" s="177">
        <f>IF(ISERROR(((G57+G65)/(G55+G63))*60),"NM",((G57+G65)/(G55+G63))*60)</f>
        <v>4.3661430916330692</v>
      </c>
      <c r="H12" s="37"/>
      <c r="I12" s="37"/>
      <c r="J12" s="50"/>
      <c r="K12" s="177">
        <f>IF(ISERROR(((K57+K65)/(K55+K63))*60),"NM",((K57+K65)/(K55+K63))*60)</f>
        <v>4.7773454731851732</v>
      </c>
      <c r="L12" s="37"/>
      <c r="M12" s="37"/>
      <c r="N12" s="50"/>
      <c r="O12" s="177">
        <f>IF(ISERROR(((O57+O65)/(O55+O63))*60),"NM",((O57+O65)/(O55+O63))*60)</f>
        <v>4.0197146158346611</v>
      </c>
      <c r="P12" s="37"/>
      <c r="Q12" s="37"/>
      <c r="R12" s="50"/>
      <c r="S12" s="177">
        <f>IF(ISERROR(((S57+S65)/(S55+S63))*60),"NM",((S57+S65)/(S55+S63))*60)</f>
        <v>4.0575457619789779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0.40847293040837296</v>
      </c>
      <c r="D13" s="178">
        <f>IF(ISERROR(D29/D19),"NM",D29/D19)</f>
        <v>9.9999999999999978E-2</v>
      </c>
      <c r="E13" s="55">
        <f>IF(ISERROR(C13-D13),"NM",C13-D13)</f>
        <v>0.30847293040837298</v>
      </c>
      <c r="F13" s="49"/>
      <c r="G13" s="178">
        <f>IF(ISERROR(G29/G19),"NM",G29/G19)</f>
        <v>0.42902027147322291</v>
      </c>
      <c r="H13" s="178">
        <f>IF(ISERROR(H29/H19),"NM",H29/H19)</f>
        <v>0.10000000000000009</v>
      </c>
      <c r="I13" s="55">
        <f>IF(ISERROR(G13-H13),"NM",G13-H13)</f>
        <v>0.32902027147322283</v>
      </c>
      <c r="J13" s="49"/>
      <c r="K13" s="39">
        <f>IF(ISERROR(K29/K19),"NM",K29/K19)</f>
        <v>0.44632318654835235</v>
      </c>
      <c r="L13" s="178">
        <f>IF(ISERROR(L29/L19),"NM",L29/L19)</f>
        <v>9.9999999999999978E-2</v>
      </c>
      <c r="M13" s="55">
        <f>IF(ISERROR(K13-L13),"NM",K13-L13)</f>
        <v>0.34632318654835237</v>
      </c>
      <c r="N13" s="38"/>
      <c r="O13" s="39">
        <f>IF(ISERROR(O29/O19),"NM",O29/O19)</f>
        <v>0.49765435274990166</v>
      </c>
      <c r="P13" s="178">
        <f>IF(ISERROR(P29/P19),"NM",P29/P19)</f>
        <v>9.9999999999999978E-2</v>
      </c>
      <c r="Q13" s="55">
        <f>IF(ISERROR(O13-P13),"NM",O13-P13)</f>
        <v>0.39765435274990169</v>
      </c>
      <c r="R13" s="38"/>
      <c r="S13" s="39">
        <f>IF(ISERROR(S29/S19),"NM",S29/S19)</f>
        <v>0.48466458124051376</v>
      </c>
      <c r="T13" s="178">
        <f>IF(ISERROR(T29/T19),"NM",T29/T19)</f>
        <v>9.9999999999999978E-2</v>
      </c>
      <c r="U13" s="55">
        <f>IF(ISERROR(S13-T13),"NM",S13-T13)</f>
        <v>0.38466458124051378</v>
      </c>
      <c r="V13" s="38"/>
      <c r="W13" s="39" t="str">
        <f>IF(ISERROR(W29/W19),"NM",W29/W19)</f>
        <v>NM</v>
      </c>
      <c r="X13" s="178">
        <f>IF(ISERROR(X29/X19),"NM",X29/X19)</f>
        <v>9.9999999999999978E-2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9.9999999999999964E-2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0.10000000000000009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9.9999999999999992E-2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9.9999999999999978E-2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9.9999999999999978E-2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9.9999999999999978E-2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1086194</v>
      </c>
      <c r="D18" s="110">
        <v>1152600</v>
      </c>
      <c r="E18" s="93">
        <f>C18-D18</f>
        <v>-66406</v>
      </c>
      <c r="F18" s="47"/>
      <c r="G18" s="110">
        <v>1232461</v>
      </c>
      <c r="H18" s="110">
        <v>1204912</v>
      </c>
      <c r="I18" s="93">
        <f>G18-H18</f>
        <v>27549</v>
      </c>
      <c r="J18" s="47"/>
      <c r="K18" s="110">
        <v>1418557</v>
      </c>
      <c r="L18" s="110">
        <v>1260095.4900000002</v>
      </c>
      <c r="M18" s="93">
        <f>K18-L18</f>
        <v>158461.50999999978</v>
      </c>
      <c r="N18" s="47"/>
      <c r="O18" s="110">
        <v>1759855</v>
      </c>
      <c r="P18" s="110">
        <v>1318319.7598000003</v>
      </c>
      <c r="Q18" s="93">
        <f>O18-P18</f>
        <v>441535.24019999965</v>
      </c>
      <c r="R18" s="47"/>
      <c r="S18" s="110">
        <v>1542048</v>
      </c>
      <c r="T18" s="110">
        <v>1379764.5198209998</v>
      </c>
      <c r="U18" s="93">
        <f>S18-T18</f>
        <v>162283.48017900018</v>
      </c>
      <c r="V18" s="47"/>
      <c r="W18" s="110"/>
      <c r="X18" s="110">
        <v>1444620.56218642</v>
      </c>
      <c r="Y18" s="93">
        <f>W18-X18</f>
        <v>-1444620.56218642</v>
      </c>
      <c r="Z18" s="47"/>
      <c r="AA18" s="110"/>
      <c r="AB18" s="110">
        <v>1513090.4647235409</v>
      </c>
      <c r="AC18" s="93">
        <f>AA18-AB18</f>
        <v>-1513090.4647235409</v>
      </c>
      <c r="AD18" s="47"/>
      <c r="AE18" s="110"/>
      <c r="AF18" s="110">
        <v>1585389.3407228324</v>
      </c>
      <c r="AG18" s="93">
        <f>AE18-AF18</f>
        <v>-1585389.3407228324</v>
      </c>
      <c r="AH18" s="47"/>
      <c r="AI18" s="110"/>
      <c r="AJ18" s="110">
        <v>1661745.6374833821</v>
      </c>
      <c r="AK18" s="93">
        <f>AI18-AJ18</f>
        <v>-1661745.6374833821</v>
      </c>
      <c r="AL18" s="47"/>
      <c r="AM18" s="110"/>
      <c r="AN18" s="110">
        <v>1742401.9868759015</v>
      </c>
      <c r="AO18" s="93">
        <f>AM18-AN18</f>
        <v>-1742401.9868759015</v>
      </c>
      <c r="AP18" s="47"/>
      <c r="AQ18" s="110"/>
      <c r="AR18" s="110">
        <v>1827616.1113718292</v>
      </c>
      <c r="AS18" s="93">
        <f>AQ18-AR18</f>
        <v>-1827616.1113718292</v>
      </c>
      <c r="AT18" s="47"/>
      <c r="AU18" s="113"/>
      <c r="AV18" s="113">
        <v>1917661.7892188507</v>
      </c>
      <c r="AW18" s="93">
        <f>AU18-AV18</f>
        <v>-1917661.7892188507</v>
      </c>
    </row>
    <row r="19" spans="2:49">
      <c r="B19" s="112" t="s">
        <v>158</v>
      </c>
      <c r="C19" s="113">
        <v>1420099</v>
      </c>
      <c r="D19" s="113">
        <v>1388600</v>
      </c>
      <c r="E19" s="93">
        <f>C19-D19</f>
        <v>31499</v>
      </c>
      <c r="F19" s="47"/>
      <c r="G19" s="113">
        <v>1656959</v>
      </c>
      <c r="H19" s="113">
        <v>1444941.0000000002</v>
      </c>
      <c r="I19" s="93">
        <f>G19-H19</f>
        <v>212017.99999999977</v>
      </c>
      <c r="J19" s="47"/>
      <c r="K19" s="113">
        <v>1859341</v>
      </c>
      <c r="L19" s="113">
        <v>1504169.8099999998</v>
      </c>
      <c r="M19" s="93">
        <f>K19-L19</f>
        <v>355171.19000000018</v>
      </c>
      <c r="N19" s="47"/>
      <c r="O19" s="113">
        <v>2336029</v>
      </c>
      <c r="P19" s="113">
        <v>1566441.2271</v>
      </c>
      <c r="Q19" s="93">
        <f>O19-P19</f>
        <v>769587.77289999998</v>
      </c>
      <c r="R19" s="47"/>
      <c r="S19" s="113">
        <v>2096454</v>
      </c>
      <c r="T19" s="113">
        <v>1631918.4742609998</v>
      </c>
      <c r="U19" s="93">
        <f>S19-T19</f>
        <v>464535.52573900018</v>
      </c>
      <c r="V19" s="47"/>
      <c r="W19" s="113"/>
      <c r="X19" s="113">
        <v>1700773.6633745097</v>
      </c>
      <c r="Y19" s="93">
        <f>W19-X19</f>
        <v>-1700773.6633745097</v>
      </c>
      <c r="Z19" s="47"/>
      <c r="AA19" s="113"/>
      <c r="AB19" s="113">
        <v>1773188.2839982843</v>
      </c>
      <c r="AC19" s="93">
        <f>AA19-AB19</f>
        <v>-1773188.2839982843</v>
      </c>
      <c r="AD19" s="47"/>
      <c r="AE19" s="113"/>
      <c r="AF19" s="113">
        <v>1849353.7191924166</v>
      </c>
      <c r="AG19" s="93">
        <f>AE19-AF19</f>
        <v>-1849353.7191924166</v>
      </c>
      <c r="AH19" s="47"/>
      <c r="AI19" s="113"/>
      <c r="AJ19" s="113">
        <v>1929471.7899706936</v>
      </c>
      <c r="AK19" s="93">
        <f>AI19-AJ19</f>
        <v>-1929471.7899706936</v>
      </c>
      <c r="AL19" s="47"/>
      <c r="AM19" s="113"/>
      <c r="AN19" s="113">
        <v>2013755.3299674375</v>
      </c>
      <c r="AO19" s="93">
        <f>AM19-AN19</f>
        <v>-2013755.3299674375</v>
      </c>
      <c r="AP19" s="47"/>
      <c r="AQ19" s="113"/>
      <c r="AR19" s="113">
        <v>2102428.7920102486</v>
      </c>
      <c r="AS19" s="93">
        <f>AQ19-AR19</f>
        <v>-2102428.7920102486</v>
      </c>
      <c r="AT19" s="47"/>
      <c r="AU19" s="113"/>
      <c r="AV19" s="113">
        <v>2195728.8883843669</v>
      </c>
      <c r="AW19" s="93">
        <f>AU19-AV19</f>
        <v>-2195728.8883843669</v>
      </c>
    </row>
    <row r="20" spans="2:49">
      <c r="B20" s="112" t="s">
        <v>159</v>
      </c>
      <c r="C20" s="113">
        <v>1971117</v>
      </c>
      <c r="D20" s="113">
        <v>1912629.9999999998</v>
      </c>
      <c r="E20" s="93">
        <f>C20-D20</f>
        <v>58487.000000000233</v>
      </c>
      <c r="F20" s="47"/>
      <c r="G20" s="113">
        <v>2309413</v>
      </c>
      <c r="H20" s="113">
        <v>1988445.8000000003</v>
      </c>
      <c r="I20" s="93">
        <f>G20-H20</f>
        <v>320967.19999999972</v>
      </c>
      <c r="J20" s="47"/>
      <c r="K20" s="113">
        <v>2571773</v>
      </c>
      <c r="L20" s="113">
        <v>2068144.3779999998</v>
      </c>
      <c r="M20" s="93">
        <f>K20-L20</f>
        <v>503628.62200000021</v>
      </c>
      <c r="N20" s="47"/>
      <c r="O20" s="113">
        <v>3190214</v>
      </c>
      <c r="P20" s="113">
        <v>2151933.40148</v>
      </c>
      <c r="Q20" s="93">
        <f>O20-P20</f>
        <v>1038280.59852</v>
      </c>
      <c r="R20" s="47"/>
      <c r="S20" s="113">
        <v>2894544</v>
      </c>
      <c r="T20" s="113">
        <v>2240031.8131018006</v>
      </c>
      <c r="U20" s="93">
        <f>S20-T20</f>
        <v>654512.18689819938</v>
      </c>
      <c r="V20" s="47"/>
      <c r="W20" s="113"/>
      <c r="X20" s="113">
        <v>2332670.448777488</v>
      </c>
      <c r="Y20" s="93">
        <f>W20-X20</f>
        <v>-2332670.448777488</v>
      </c>
      <c r="Z20" s="47"/>
      <c r="AA20" s="113"/>
      <c r="AB20" s="113">
        <v>2430092.6899079257</v>
      </c>
      <c r="AC20" s="93">
        <f>AA20-AB20</f>
        <v>-2430092.6899079257</v>
      </c>
      <c r="AD20" s="47"/>
      <c r="AE20" s="113"/>
      <c r="AF20" s="113">
        <v>2532555.1516958061</v>
      </c>
      <c r="AG20" s="93">
        <f>AE20-AF20</f>
        <v>-2532555.1516958061</v>
      </c>
      <c r="AH20" s="47"/>
      <c r="AI20" s="113"/>
      <c r="AJ20" s="113">
        <v>2640328.4095448493</v>
      </c>
      <c r="AK20" s="93">
        <f>AI20-AJ20</f>
        <v>-2640328.4095448493</v>
      </c>
      <c r="AL20" s="47"/>
      <c r="AM20" s="113"/>
      <c r="AN20" s="113">
        <v>2753697.7656697636</v>
      </c>
      <c r="AO20" s="93">
        <f>AM20-AN20</f>
        <v>-2753697.7656697636</v>
      </c>
      <c r="AP20" s="47"/>
      <c r="AQ20" s="113"/>
      <c r="AR20" s="113">
        <v>2872964.0581610226</v>
      </c>
      <c r="AS20" s="93">
        <f>AQ20-AR20</f>
        <v>-2872964.0581610226</v>
      </c>
      <c r="AT20" s="47"/>
      <c r="AU20" s="113"/>
      <c r="AV20" s="113">
        <v>2998444.5148747619</v>
      </c>
      <c r="AW20" s="93">
        <f>AU20-AV20</f>
        <v>-2998444.5148747619</v>
      </c>
    </row>
    <row r="21" spans="2:49">
      <c r="B21" s="115" t="s">
        <v>163</v>
      </c>
      <c r="C21" s="167">
        <v>2.02</v>
      </c>
      <c r="D21" s="58"/>
      <c r="E21" s="74"/>
      <c r="F21" s="46"/>
      <c r="G21" s="167">
        <v>2.02</v>
      </c>
      <c r="H21" s="58"/>
      <c r="I21" s="74"/>
      <c r="J21" s="46"/>
      <c r="K21" s="167">
        <v>2</v>
      </c>
      <c r="L21" s="35"/>
      <c r="M21" s="74"/>
      <c r="N21" s="47"/>
      <c r="O21" s="167">
        <v>1.51</v>
      </c>
      <c r="P21" s="35"/>
      <c r="Q21" s="74"/>
      <c r="R21" s="47"/>
      <c r="S21" s="167">
        <v>1.56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840027</v>
      </c>
      <c r="D24" s="110">
        <v>1249740</v>
      </c>
      <c r="E24" s="93">
        <f>C24-D24</f>
        <v>-409713</v>
      </c>
      <c r="F24" s="47"/>
      <c r="G24" s="110">
        <f>G19-G29</f>
        <v>946090</v>
      </c>
      <c r="H24" s="110">
        <v>1300446.9000000001</v>
      </c>
      <c r="I24" s="93">
        <f>G24-H24</f>
        <v>-354356.90000000014</v>
      </c>
      <c r="J24" s="47"/>
      <c r="K24" s="110">
        <f>K19-K29</f>
        <v>1029474</v>
      </c>
      <c r="L24" s="110">
        <v>1353752.8289999999</v>
      </c>
      <c r="M24" s="93">
        <f>K24-L24</f>
        <v>-324278.82899999991</v>
      </c>
      <c r="N24" s="47"/>
      <c r="O24" s="110">
        <f>O19-O29</f>
        <v>1173494</v>
      </c>
      <c r="P24" s="110">
        <v>1409797.10439</v>
      </c>
      <c r="Q24" s="93">
        <f>O24-P24</f>
        <v>-236303.10438999999</v>
      </c>
      <c r="R24" s="47"/>
      <c r="S24" s="110">
        <f>S19-S29</f>
        <v>1080377</v>
      </c>
      <c r="T24" s="110">
        <v>1468726.6268348999</v>
      </c>
      <c r="U24" s="93">
        <f>S24-T24</f>
        <v>-388349.62683489989</v>
      </c>
      <c r="V24" s="47"/>
      <c r="W24" s="110"/>
      <c r="X24" s="110">
        <v>1530696.2970370587</v>
      </c>
      <c r="Y24" s="93">
        <f>W24-X24</f>
        <v>-1530696.2970370587</v>
      </c>
      <c r="Z24" s="47"/>
      <c r="AA24" s="110"/>
      <c r="AB24" s="110">
        <v>1595869.4555984559</v>
      </c>
      <c r="AC24" s="93">
        <f>AA24-AB24</f>
        <v>-1595869.4555984559</v>
      </c>
      <c r="AD24" s="47"/>
      <c r="AE24" s="110"/>
      <c r="AF24" s="110">
        <v>1664418.3472731749</v>
      </c>
      <c r="AG24" s="93">
        <f>AE24-AF24</f>
        <v>-1664418.3472731749</v>
      </c>
      <c r="AH24" s="47"/>
      <c r="AI24" s="110"/>
      <c r="AJ24" s="110">
        <v>1736524.6109736243</v>
      </c>
      <c r="AK24" s="93">
        <f>AI24-AJ24</f>
        <v>-1736524.6109736243</v>
      </c>
      <c r="AL24" s="47"/>
      <c r="AM24" s="110"/>
      <c r="AN24" s="110">
        <v>1812379.7969706939</v>
      </c>
      <c r="AO24" s="93">
        <f>AM24-AN24</f>
        <v>-1812379.7969706939</v>
      </c>
      <c r="AP24" s="47"/>
      <c r="AQ24" s="110"/>
      <c r="AR24" s="110">
        <v>1892185.9128092239</v>
      </c>
      <c r="AS24" s="93">
        <f>AQ24-AR24</f>
        <v>-1892185.9128092239</v>
      </c>
      <c r="AT24" s="47"/>
      <c r="AU24" s="113"/>
      <c r="AV24" s="113">
        <v>1976155.9995459302</v>
      </c>
      <c r="AW24" s="93">
        <f>AU24-AV24</f>
        <v>-1976155.9995459302</v>
      </c>
    </row>
    <row r="25" spans="2:49">
      <c r="B25" s="112" t="s">
        <v>162</v>
      </c>
      <c r="C25" s="113">
        <f>C20-C30</f>
        <v>1254623</v>
      </c>
      <c r="D25" s="113">
        <v>1721366.9999999998</v>
      </c>
      <c r="E25" s="93">
        <f>C25-D25</f>
        <v>-466743.99999999977</v>
      </c>
      <c r="F25" s="47"/>
      <c r="G25" s="113">
        <f>G20-G30</f>
        <v>1420694</v>
      </c>
      <c r="H25" s="113">
        <v>1789601.22</v>
      </c>
      <c r="I25" s="93">
        <f>G25-H25</f>
        <v>-368907.22</v>
      </c>
      <c r="J25" s="47"/>
      <c r="K25" s="113">
        <f>K20-K30</f>
        <v>1522857</v>
      </c>
      <c r="L25" s="113">
        <v>1861329.9401999998</v>
      </c>
      <c r="M25" s="93">
        <f>K25-L25</f>
        <v>-338472.94019999984</v>
      </c>
      <c r="N25" s="47"/>
      <c r="O25" s="113">
        <f>O20-O30</f>
        <v>1713555</v>
      </c>
      <c r="P25" s="113">
        <v>1936740.061332</v>
      </c>
      <c r="Q25" s="93">
        <f>O25-P25</f>
        <v>-223185.06133199995</v>
      </c>
      <c r="R25" s="47"/>
      <c r="S25" s="113">
        <f>S20-S30</f>
        <v>1607434</v>
      </c>
      <c r="T25" s="113">
        <v>2016028.6317916205</v>
      </c>
      <c r="U25" s="93">
        <f>S25-T25</f>
        <v>-408594.63179162052</v>
      </c>
      <c r="V25" s="47"/>
      <c r="W25" s="113"/>
      <c r="X25" s="113">
        <v>2099403.403899739</v>
      </c>
      <c r="Y25" s="93">
        <f>W25-X25</f>
        <v>-2099403.403899739</v>
      </c>
      <c r="Z25" s="47"/>
      <c r="AA25" s="113"/>
      <c r="AB25" s="113">
        <v>2187083.4209171333</v>
      </c>
      <c r="AC25" s="93">
        <f>AA25-AB25</f>
        <v>-2187083.4209171333</v>
      </c>
      <c r="AD25" s="47"/>
      <c r="AE25" s="113"/>
      <c r="AF25" s="113">
        <v>2279299.6365262251</v>
      </c>
      <c r="AG25" s="93">
        <f>AE25-AF25</f>
        <v>-2279299.6365262251</v>
      </c>
      <c r="AH25" s="47"/>
      <c r="AI25" s="113"/>
      <c r="AJ25" s="113">
        <v>2376295.5685903644</v>
      </c>
      <c r="AK25" s="93">
        <f>AI25-AJ25</f>
        <v>-2376295.5685903644</v>
      </c>
      <c r="AL25" s="47"/>
      <c r="AM25" s="113"/>
      <c r="AN25" s="113">
        <v>2478327.9891027873</v>
      </c>
      <c r="AO25" s="93">
        <f>AM25-AN25</f>
        <v>-2478327.9891027873</v>
      </c>
      <c r="AP25" s="47"/>
      <c r="AQ25" s="113"/>
      <c r="AR25" s="113">
        <v>2585667.6523449202</v>
      </c>
      <c r="AS25" s="93">
        <f>AQ25-AR25</f>
        <v>-2585667.6523449202</v>
      </c>
      <c r="AT25" s="47"/>
      <c r="AU25" s="113"/>
      <c r="AV25" s="113">
        <v>2698600.0633872859</v>
      </c>
      <c r="AW25" s="93">
        <f>AU25-AV25</f>
        <v>-2698600.0633872859</v>
      </c>
    </row>
    <row r="26" spans="2:49">
      <c r="B26" s="115" t="s">
        <v>163</v>
      </c>
      <c r="C26" s="168">
        <v>2.35</v>
      </c>
      <c r="D26" s="56"/>
      <c r="E26" s="71"/>
      <c r="F26" s="45"/>
      <c r="G26" s="167">
        <v>2.35</v>
      </c>
      <c r="H26" s="34"/>
      <c r="I26" s="71"/>
      <c r="J26" s="41"/>
      <c r="K26" s="167">
        <v>2.2200000000000002</v>
      </c>
      <c r="L26" s="34"/>
      <c r="M26" s="71"/>
      <c r="N26" s="41"/>
      <c r="O26" s="116">
        <v>2.1</v>
      </c>
      <c r="P26" s="34"/>
      <c r="Q26" s="71"/>
      <c r="R26" s="41"/>
      <c r="S26" s="116">
        <v>2.2000000000000002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18"/>
      <c r="P28" s="105"/>
      <c r="Q28" s="92"/>
      <c r="R28" s="47"/>
      <c r="S28" s="118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580072</v>
      </c>
      <c r="D29" s="110">
        <v>138859.99999999997</v>
      </c>
      <c r="E29" s="93">
        <f>C29-D29</f>
        <v>441212</v>
      </c>
      <c r="F29" s="47"/>
      <c r="G29" s="110">
        <v>710869</v>
      </c>
      <c r="H29" s="110">
        <v>144494.10000000015</v>
      </c>
      <c r="I29" s="93">
        <f>G29-H29</f>
        <v>566374.89999999991</v>
      </c>
      <c r="J29" s="47"/>
      <c r="K29" s="110">
        <v>829867</v>
      </c>
      <c r="L29" s="110">
        <v>150416.98099999994</v>
      </c>
      <c r="M29" s="93">
        <f>K29-L29</f>
        <v>679450.01900000009</v>
      </c>
      <c r="N29" s="47"/>
      <c r="O29" s="110">
        <v>1162535</v>
      </c>
      <c r="P29" s="110">
        <v>156644.12270999997</v>
      </c>
      <c r="Q29" s="93">
        <f>O29-P29</f>
        <v>1005890.87729</v>
      </c>
      <c r="R29" s="47"/>
      <c r="S29" s="110">
        <v>1016077</v>
      </c>
      <c r="T29" s="110">
        <v>163191.84742609994</v>
      </c>
      <c r="U29" s="93">
        <f>S29-T29</f>
        <v>852885.15257390006</v>
      </c>
      <c r="V29" s="47"/>
      <c r="W29" s="110"/>
      <c r="X29" s="110">
        <v>170077.36633745092</v>
      </c>
      <c r="Y29" s="93">
        <f>W29-X29</f>
        <v>-170077.36633745092</v>
      </c>
      <c r="Z29" s="47"/>
      <c r="AA29" s="110"/>
      <c r="AB29" s="110">
        <v>177318.82839982837</v>
      </c>
      <c r="AC29" s="93">
        <f>AA29-AB29</f>
        <v>-177318.82839982837</v>
      </c>
      <c r="AD29" s="47"/>
      <c r="AE29" s="110"/>
      <c r="AF29" s="110">
        <v>184935.37191924182</v>
      </c>
      <c r="AG29" s="93">
        <f>AE29-AF29</f>
        <v>-184935.37191924182</v>
      </c>
      <c r="AH29" s="47"/>
      <c r="AI29" s="110"/>
      <c r="AJ29" s="110">
        <v>192947.17899706934</v>
      </c>
      <c r="AK29" s="93">
        <f>AI29-AJ29</f>
        <v>-192947.17899706934</v>
      </c>
      <c r="AL29" s="47"/>
      <c r="AM29" s="110"/>
      <c r="AN29" s="110">
        <v>201375.53299674371</v>
      </c>
      <c r="AO29" s="93">
        <f>AM29-AN29</f>
        <v>-201375.53299674371</v>
      </c>
      <c r="AP29" s="47"/>
      <c r="AQ29" s="110"/>
      <c r="AR29" s="110">
        <v>210242.87920102483</v>
      </c>
      <c r="AS29" s="93">
        <f>AQ29-AR29</f>
        <v>-210242.87920102483</v>
      </c>
      <c r="AT29" s="47"/>
      <c r="AU29" s="113"/>
      <c r="AV29" s="113">
        <v>219572.88883843663</v>
      </c>
      <c r="AW29" s="93">
        <f>AU29-AV29</f>
        <v>-219572.88883843663</v>
      </c>
    </row>
    <row r="30" spans="2:49">
      <c r="B30" s="112" t="s">
        <v>162</v>
      </c>
      <c r="C30" s="113">
        <v>716494</v>
      </c>
      <c r="D30" s="47">
        <v>191262.99999999994</v>
      </c>
      <c r="E30" s="93">
        <f>C30-D30</f>
        <v>525231</v>
      </c>
      <c r="F30" s="47"/>
      <c r="G30" s="113">
        <v>888719</v>
      </c>
      <c r="H30" s="113">
        <v>198844.58000000019</v>
      </c>
      <c r="I30" s="93">
        <f>G30-H30</f>
        <v>689874.41999999981</v>
      </c>
      <c r="J30" s="47"/>
      <c r="K30" s="113">
        <v>1048916</v>
      </c>
      <c r="L30" s="113">
        <v>206814.43779999993</v>
      </c>
      <c r="M30" s="93">
        <f>K30-L30</f>
        <v>842101.56220000004</v>
      </c>
      <c r="N30" s="47"/>
      <c r="O30" s="113">
        <v>1476659</v>
      </c>
      <c r="P30" s="113">
        <v>215193.34014799999</v>
      </c>
      <c r="Q30" s="93">
        <f>O30-P30</f>
        <v>1261465.659852</v>
      </c>
      <c r="R30" s="47"/>
      <c r="S30" s="113">
        <v>1287110</v>
      </c>
      <c r="T30" s="113">
        <v>224003.18131017993</v>
      </c>
      <c r="U30" s="93">
        <f>S30-T30</f>
        <v>1063106.8186898201</v>
      </c>
      <c r="V30" s="47"/>
      <c r="W30" s="113"/>
      <c r="X30" s="113">
        <v>233267.04487774873</v>
      </c>
      <c r="Y30" s="93">
        <f>W30-X30</f>
        <v>-233267.04487774873</v>
      </c>
      <c r="Z30" s="47"/>
      <c r="AA30" s="113"/>
      <c r="AB30" s="113">
        <v>243009.26899079251</v>
      </c>
      <c r="AC30" s="93">
        <f>AA30-AB30</f>
        <v>-243009.26899079251</v>
      </c>
      <c r="AD30" s="47"/>
      <c r="AE30" s="113"/>
      <c r="AF30" s="113">
        <v>253255.51516958085</v>
      </c>
      <c r="AG30" s="93">
        <f>AE30-AF30</f>
        <v>-253255.51516958085</v>
      </c>
      <c r="AH30" s="47"/>
      <c r="AI30" s="113"/>
      <c r="AJ30" s="113">
        <v>264032.84095448488</v>
      </c>
      <c r="AK30" s="93">
        <f>AI30-AJ30</f>
        <v>-264032.84095448488</v>
      </c>
      <c r="AL30" s="47"/>
      <c r="AM30" s="113"/>
      <c r="AN30" s="113">
        <v>275369.77656697633</v>
      </c>
      <c r="AO30" s="93">
        <f>AM30-AN30</f>
        <v>-275369.77656697633</v>
      </c>
      <c r="AP30" s="47"/>
      <c r="AQ30" s="113"/>
      <c r="AR30" s="113">
        <v>287296.40581610223</v>
      </c>
      <c r="AS30" s="93">
        <f>AQ30-AR30</f>
        <v>-287296.40581610223</v>
      </c>
      <c r="AT30" s="47"/>
      <c r="AU30" s="113"/>
      <c r="AV30" s="113">
        <v>299844.45148747612</v>
      </c>
      <c r="AW30" s="93">
        <f>AU30-AV30</f>
        <v>-299844.45148747612</v>
      </c>
    </row>
    <row r="31" spans="2:49">
      <c r="B31" s="115" t="s">
        <v>163</v>
      </c>
      <c r="C31" s="168">
        <v>1.1399999999999999</v>
      </c>
      <c r="D31" s="56"/>
      <c r="E31" s="71"/>
      <c r="F31" s="45"/>
      <c r="G31" s="167">
        <v>1.2</v>
      </c>
      <c r="H31" s="58"/>
      <c r="I31" s="71"/>
      <c r="J31" s="46"/>
      <c r="K31" s="167">
        <v>1.25</v>
      </c>
      <c r="L31" s="34"/>
      <c r="M31" s="71"/>
      <c r="N31" s="41"/>
      <c r="O31" s="116">
        <v>1.2</v>
      </c>
      <c r="P31" s="34"/>
      <c r="Q31" s="71"/>
      <c r="R31" s="41"/>
      <c r="S31" s="116">
        <v>1.2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0.83220000000000005</v>
      </c>
      <c r="D34" s="33"/>
      <c r="E34" s="63"/>
      <c r="F34" s="123"/>
      <c r="G34" s="121">
        <v>0.83169999999999999</v>
      </c>
      <c r="H34" s="33"/>
      <c r="I34" s="63"/>
      <c r="J34" s="123"/>
      <c r="K34" s="121">
        <v>0.82950000000000002</v>
      </c>
      <c r="L34" s="33"/>
      <c r="M34" s="63"/>
      <c r="N34" s="123"/>
      <c r="O34" s="121">
        <v>0.83699999999999997</v>
      </c>
      <c r="P34" s="33"/>
      <c r="Q34" s="63"/>
      <c r="R34" s="123"/>
      <c r="S34" s="121">
        <v>0.83430000000000004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0.65900000000000003</v>
      </c>
      <c r="D35" s="54"/>
      <c r="E35" s="69"/>
      <c r="F35" s="123"/>
      <c r="G35" s="123">
        <v>0.61960000000000004</v>
      </c>
      <c r="H35" s="54"/>
      <c r="I35" s="69"/>
      <c r="J35" s="123"/>
      <c r="K35" s="124">
        <v>0.63229999999999997</v>
      </c>
      <c r="L35" s="54"/>
      <c r="M35" s="69"/>
      <c r="N35" s="123"/>
      <c r="O35" s="124">
        <v>0.62329999999999997</v>
      </c>
      <c r="P35" s="54"/>
      <c r="Q35" s="69"/>
      <c r="R35" s="123"/>
      <c r="S35" s="124">
        <v>0.58650000000000002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64">
        <f>1-C35</f>
        <v>0.34099999999999997</v>
      </c>
      <c r="D36" s="54"/>
      <c r="E36" s="69"/>
      <c r="F36" s="123"/>
      <c r="G36" s="124">
        <f>1-G35</f>
        <v>0.38039999999999996</v>
      </c>
      <c r="H36" s="54"/>
      <c r="I36" s="69"/>
      <c r="J36" s="123"/>
      <c r="K36" s="124">
        <f>1-K35</f>
        <v>0.36770000000000003</v>
      </c>
      <c r="L36" s="54"/>
      <c r="M36" s="69"/>
      <c r="N36" s="123"/>
      <c r="O36" s="124">
        <f>1-O35</f>
        <v>0.37670000000000003</v>
      </c>
      <c r="P36" s="54"/>
      <c r="Q36" s="69"/>
      <c r="R36" s="123"/>
      <c r="S36" s="124">
        <f>1-S35</f>
        <v>0.41349999999999998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4.2500000000000003E-2</v>
      </c>
      <c r="D37" s="54"/>
      <c r="E37" s="69"/>
      <c r="F37" s="123"/>
      <c r="G37" s="124">
        <v>8.3341965352133521E-2</v>
      </c>
      <c r="H37" s="54"/>
      <c r="I37" s="69"/>
      <c r="J37" s="123"/>
      <c r="K37" s="124">
        <v>4.8800000000000003E-2</v>
      </c>
      <c r="L37" s="54"/>
      <c r="M37" s="69"/>
      <c r="N37" s="123"/>
      <c r="O37" s="124">
        <f>111302/O19</f>
        <v>4.7645812616196118E-2</v>
      </c>
      <c r="P37" s="54"/>
      <c r="Q37" s="69"/>
      <c r="R37" s="123"/>
      <c r="S37" s="124">
        <v>0.06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0.87</v>
      </c>
      <c r="D38" s="54"/>
      <c r="E38" s="69"/>
      <c r="F38" s="123"/>
      <c r="G38" s="124">
        <v>0.87062323207755898</v>
      </c>
      <c r="H38" s="54"/>
      <c r="I38" s="69"/>
      <c r="J38" s="123"/>
      <c r="K38" s="124">
        <v>0.87062323207755898</v>
      </c>
      <c r="L38" s="54"/>
      <c r="M38" s="69"/>
      <c r="N38" s="123"/>
      <c r="O38" s="124">
        <f>1-O39</f>
        <v>0.86738863258974952</v>
      </c>
      <c r="P38" s="54"/>
      <c r="Q38" s="69"/>
      <c r="R38" s="123"/>
      <c r="S38" s="124">
        <f>1-S39</f>
        <v>0.86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0.13</v>
      </c>
      <c r="D39" s="32"/>
      <c r="E39" s="68"/>
      <c r="F39" s="123"/>
      <c r="G39" s="126">
        <v>0.12937676792244104</v>
      </c>
      <c r="H39" s="32"/>
      <c r="I39" s="68"/>
      <c r="J39" s="123"/>
      <c r="K39" s="126">
        <v>0.13109999999999999</v>
      </c>
      <c r="L39" s="32"/>
      <c r="M39" s="68"/>
      <c r="N39" s="123"/>
      <c r="O39" s="126">
        <f>309784/O19</f>
        <v>0.13261136741025048</v>
      </c>
      <c r="P39" s="32"/>
      <c r="Q39" s="68"/>
      <c r="R39" s="123"/>
      <c r="S39" s="126">
        <v>0.14000000000000001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0.25619999999999998</v>
      </c>
      <c r="D42" s="33"/>
      <c r="E42" s="63"/>
      <c r="F42" s="123"/>
      <c r="G42" s="121">
        <v>0.24690000000000001</v>
      </c>
      <c r="H42" s="33"/>
      <c r="I42" s="63"/>
      <c r="J42" s="123"/>
      <c r="K42" s="121">
        <v>0.2452</v>
      </c>
      <c r="L42" s="33"/>
      <c r="M42" s="63"/>
      <c r="N42" s="123"/>
      <c r="O42" s="121">
        <v>0.23</v>
      </c>
      <c r="P42" s="33"/>
      <c r="Q42" s="63"/>
      <c r="R42" s="123"/>
      <c r="S42" s="121">
        <v>0.19400000000000001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0.05</v>
      </c>
      <c r="D43" s="54"/>
      <c r="E43" s="69"/>
      <c r="F43" s="123"/>
      <c r="G43" s="124">
        <v>4.879E-2</v>
      </c>
      <c r="H43" s="54"/>
      <c r="I43" s="69"/>
      <c r="J43" s="123"/>
      <c r="K43" s="124">
        <v>3.7999999999999999E-2</v>
      </c>
      <c r="L43" s="54"/>
      <c r="M43" s="69"/>
      <c r="N43" s="123"/>
      <c r="O43" s="124">
        <v>0.04</v>
      </c>
      <c r="P43" s="54"/>
      <c r="Q43" s="69"/>
      <c r="R43" s="123"/>
      <c r="S43" s="124">
        <v>1.6299999999999999E-2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0.17699999999999999</v>
      </c>
      <c r="D44" s="54"/>
      <c r="E44" s="69"/>
      <c r="F44" s="123"/>
      <c r="G44" s="124">
        <v>0.155</v>
      </c>
      <c r="H44" s="54"/>
      <c r="I44" s="69"/>
      <c r="J44" s="123"/>
      <c r="K44" s="124">
        <v>0.16639999999999999</v>
      </c>
      <c r="L44" s="54"/>
      <c r="M44" s="69"/>
      <c r="N44" s="123"/>
      <c r="O44" s="124">
        <v>0.13500000000000001</v>
      </c>
      <c r="P44" s="54"/>
      <c r="Q44" s="69"/>
      <c r="R44" s="123"/>
      <c r="S44" s="124">
        <v>0.18779999999999999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0.35</v>
      </c>
      <c r="D45" s="54"/>
      <c r="E45" s="69"/>
      <c r="F45" s="123"/>
      <c r="G45" s="124">
        <v>0.40089999999999998</v>
      </c>
      <c r="H45" s="54"/>
      <c r="I45" s="69"/>
      <c r="J45" s="123"/>
      <c r="K45" s="124">
        <v>0.4</v>
      </c>
      <c r="L45" s="54"/>
      <c r="M45" s="69"/>
      <c r="N45" s="123"/>
      <c r="O45" s="124">
        <v>0.47</v>
      </c>
      <c r="P45" s="54"/>
      <c r="Q45" s="69"/>
      <c r="R45" s="123"/>
      <c r="S45" s="124">
        <v>0.47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>
        <v>9.6799999999999997E-2</v>
      </c>
      <c r="D46" s="54"/>
      <c r="E46" s="69"/>
      <c r="F46" s="123"/>
      <c r="G46" s="124">
        <v>6.2799999999999995E-2</v>
      </c>
      <c r="H46" s="54"/>
      <c r="I46" s="69"/>
      <c r="J46" s="123"/>
      <c r="K46" s="124">
        <v>4.9000000000000002E-2</v>
      </c>
      <c r="L46" s="54"/>
      <c r="M46" s="69"/>
      <c r="N46" s="123"/>
      <c r="O46" s="124">
        <v>5.9400000000000001E-2</v>
      </c>
      <c r="P46" s="54"/>
      <c r="Q46" s="69"/>
      <c r="R46" s="123"/>
      <c r="S46" s="124">
        <v>6.5000000000000002E-2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0</v>
      </c>
      <c r="D48" s="54"/>
      <c r="E48" s="69"/>
      <c r="F48" s="123"/>
      <c r="G48" s="124">
        <v>0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7.0000000000000062E-2</v>
      </c>
      <c r="D51" s="32"/>
      <c r="E51" s="68"/>
      <c r="F51" s="123"/>
      <c r="G51" s="126">
        <f>1-SUM(G42:G50)</f>
        <v>8.5609999999999964E-2</v>
      </c>
      <c r="H51" s="32"/>
      <c r="I51" s="68"/>
      <c r="J51" s="123"/>
      <c r="K51" s="126">
        <f>1-SUM(K42:K50)</f>
        <v>0.10139999999999993</v>
      </c>
      <c r="L51" s="32"/>
      <c r="M51" s="68"/>
      <c r="N51" s="123"/>
      <c r="O51" s="126">
        <f>1-SUM(O42:O50)</f>
        <v>6.5599999999999992E-2</v>
      </c>
      <c r="P51" s="32"/>
      <c r="Q51" s="68"/>
      <c r="R51" s="123"/>
      <c r="S51" s="126">
        <f>1-SUM(S42:S50)</f>
        <v>6.6899999999999959E-2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10">
        <v>7657</v>
      </c>
      <c r="D54" s="110">
        <v>277720</v>
      </c>
      <c r="E54" s="93">
        <f>C54-D54</f>
        <v>-270063</v>
      </c>
      <c r="F54" s="47"/>
      <c r="G54" s="110">
        <v>35229</v>
      </c>
      <c r="H54" s="110">
        <v>288988.20000000013</v>
      </c>
      <c r="I54" s="93">
        <f>G54-H54</f>
        <v>-253759.20000000013</v>
      </c>
      <c r="J54" s="47"/>
      <c r="K54" s="110">
        <v>14611</v>
      </c>
      <c r="L54" s="110">
        <v>300833.962</v>
      </c>
      <c r="M54" s="93">
        <f>K54-L54</f>
        <v>-286222.962</v>
      </c>
      <c r="N54" s="47"/>
      <c r="O54" s="110">
        <v>15657</v>
      </c>
      <c r="P54" s="110">
        <v>313288.24541999999</v>
      </c>
      <c r="Q54" s="93">
        <f>O54-P54</f>
        <v>-297631.24541999999</v>
      </c>
      <c r="R54" s="47"/>
      <c r="S54" s="110">
        <v>25021</v>
      </c>
      <c r="T54" s="110">
        <v>326383.69485219999</v>
      </c>
      <c r="U54" s="93">
        <f>S54-T54</f>
        <v>-301362.69485219999</v>
      </c>
      <c r="V54" s="47"/>
      <c r="W54" s="110"/>
      <c r="X54" s="110">
        <v>340154.73267490196</v>
      </c>
      <c r="Y54" s="93">
        <f>W54-X54</f>
        <v>-340154.73267490196</v>
      </c>
      <c r="Z54" s="47"/>
      <c r="AA54" s="110"/>
      <c r="AB54" s="110">
        <v>354637.65679965686</v>
      </c>
      <c r="AC54" s="93">
        <f>AA54-AB54</f>
        <v>-354637.65679965686</v>
      </c>
      <c r="AD54" s="47"/>
      <c r="AE54" s="110"/>
      <c r="AF54" s="110">
        <v>369870.74383848335</v>
      </c>
      <c r="AG54" s="93">
        <f>AE54-AF54</f>
        <v>-369870.74383848335</v>
      </c>
      <c r="AH54" s="47"/>
      <c r="AI54" s="110"/>
      <c r="AJ54" s="110">
        <v>385894.35799413873</v>
      </c>
      <c r="AK54" s="93">
        <f>AI54-AJ54</f>
        <v>-385894.35799413873</v>
      </c>
      <c r="AL54" s="47"/>
      <c r="AM54" s="110"/>
      <c r="AN54" s="110">
        <v>402751.06599348754</v>
      </c>
      <c r="AO54" s="93">
        <f>AM54-AN54</f>
        <v>-402751.06599348754</v>
      </c>
      <c r="AP54" s="47"/>
      <c r="AQ54" s="110"/>
      <c r="AR54" s="110">
        <v>420485.75840204977</v>
      </c>
      <c r="AS54" s="93">
        <f>AQ54-AR54</f>
        <v>-420485.75840204977</v>
      </c>
      <c r="AT54" s="47"/>
      <c r="AU54" s="113"/>
      <c r="AV54" s="110">
        <v>439145.77767687337</v>
      </c>
      <c r="AW54" s="93">
        <f>AU54-AV54</f>
        <v>-439145.77767687337</v>
      </c>
    </row>
    <row r="55" spans="2:49">
      <c r="B55" s="112" t="s">
        <v>30</v>
      </c>
      <c r="C55" s="113">
        <f>(Noisey_Global!C54/Noisey_Global!C53)*Noisey_USA!C54</f>
        <v>4945.2107957040762</v>
      </c>
      <c r="D55" s="57"/>
      <c r="E55" s="53"/>
      <c r="F55" s="47"/>
      <c r="G55" s="113">
        <f>(Noisey_Global!D54/Noisey_Global!D53)*Noisey_USA!G54</f>
        <v>27764.904809492371</v>
      </c>
      <c r="H55" s="57"/>
      <c r="I55" s="53"/>
      <c r="J55" s="47"/>
      <c r="K55" s="93">
        <f>(Noisey_Global!E54/Noisey_Global!E53)*Noisey_USA!K54</f>
        <v>10887.662832968388</v>
      </c>
      <c r="L55" s="57"/>
      <c r="M55" s="53"/>
      <c r="N55" s="47"/>
      <c r="O55" s="93">
        <f>(Noisey_Global!F54/Noisey_Global!F53)*Noisey_USA!O54</f>
        <v>10938.015098820424</v>
      </c>
      <c r="P55" s="57"/>
      <c r="Q55" s="53"/>
      <c r="R55" s="47"/>
      <c r="S55" s="113">
        <f>Noisey_Global!G54/Noisey_Global!G53*Noisey_USA!S54</f>
        <v>16670.504318280633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>
        <v>276.69</v>
      </c>
      <c r="D56" s="57"/>
      <c r="E56" s="53"/>
      <c r="F56" s="47"/>
      <c r="G56" s="113">
        <v>1988</v>
      </c>
      <c r="H56" s="57"/>
      <c r="I56" s="53"/>
      <c r="J56" s="47"/>
      <c r="K56" s="113">
        <v>936.15</v>
      </c>
      <c r="L56" s="57"/>
      <c r="M56" s="53"/>
      <c r="N56" s="47"/>
      <c r="O56" s="113">
        <v>811.18</v>
      </c>
      <c r="P56" s="57"/>
      <c r="Q56" s="53"/>
      <c r="R56" s="47"/>
      <c r="S56" s="113">
        <v>1570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>
        <f>(C55/C54)*C56</f>
        <v>178.69797245179063</v>
      </c>
      <c r="D57" s="53"/>
      <c r="E57" s="53"/>
      <c r="F57" s="43"/>
      <c r="G57" s="93">
        <f>(G55/G54)*G56</f>
        <v>1566.7952755193403</v>
      </c>
      <c r="H57" s="53"/>
      <c r="I57" s="53"/>
      <c r="J57" s="43"/>
      <c r="K57" s="93">
        <f>(Noisey_Global!E56/Noisey_Global!E55)*Noisey_USA!K56</f>
        <v>697.58986798188744</v>
      </c>
      <c r="L57" s="57"/>
      <c r="M57" s="53"/>
      <c r="N57" s="47"/>
      <c r="O57" s="93">
        <f>(Noisey_Global!F56/Noisey_Global!F55)*Noisey_USA!O56</f>
        <v>566.69215608744662</v>
      </c>
      <c r="P57" s="57"/>
      <c r="Q57" s="53"/>
      <c r="R57" s="47"/>
      <c r="S57" s="93">
        <f>(Noisey_Global!G56/Noisey_Global!G55)*Noisey_USA!S56</f>
        <v>1046.029006822293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>
        <v>0.61329999999999996</v>
      </c>
      <c r="D58" s="32"/>
      <c r="E58" s="68"/>
      <c r="F58" s="123"/>
      <c r="G58" s="126">
        <v>0.67969999999999997</v>
      </c>
      <c r="H58" s="32"/>
      <c r="I58" s="68"/>
      <c r="J58" s="123"/>
      <c r="K58" s="126">
        <v>0.66779999999999995</v>
      </c>
      <c r="L58" s="32"/>
      <c r="M58" s="68"/>
      <c r="N58" s="123"/>
      <c r="O58" s="126">
        <v>0.51149999999999995</v>
      </c>
      <c r="P58" s="32"/>
      <c r="Q58" s="68"/>
      <c r="R58" s="123"/>
      <c r="S58" s="126">
        <v>0.6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10"/>
      <c r="D59" s="110"/>
      <c r="E59" s="110"/>
      <c r="F59" s="110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13340</v>
      </c>
      <c r="D61" s="36"/>
      <c r="E61" s="61"/>
      <c r="F61" s="47"/>
      <c r="G61" s="110">
        <v>12596</v>
      </c>
      <c r="H61" s="36"/>
      <c r="I61" s="61"/>
      <c r="J61" s="47"/>
      <c r="K61" s="110">
        <v>12456</v>
      </c>
      <c r="L61" s="36"/>
      <c r="M61" s="61"/>
      <c r="N61" s="47"/>
      <c r="O61" s="110">
        <v>8563</v>
      </c>
      <c r="P61" s="36"/>
      <c r="Q61" s="61"/>
      <c r="R61" s="47"/>
      <c r="S61" s="110">
        <v>12464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3479647</v>
      </c>
      <c r="D62" s="57"/>
      <c r="E62" s="53"/>
      <c r="F62" s="47"/>
      <c r="G62" s="113">
        <v>4176167</v>
      </c>
      <c r="H62" s="57"/>
      <c r="I62" s="53"/>
      <c r="J62" s="47"/>
      <c r="K62" s="113">
        <v>5067117</v>
      </c>
      <c r="L62" s="57"/>
      <c r="M62" s="53"/>
      <c r="N62" s="47"/>
      <c r="O62" s="113">
        <v>3838874</v>
      </c>
      <c r="P62" s="57"/>
      <c r="Q62" s="53"/>
      <c r="R62" s="47"/>
      <c r="S62" s="113">
        <v>4080920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101018</v>
      </c>
      <c r="D63" s="57"/>
      <c r="E63" s="53"/>
      <c r="F63" s="47"/>
      <c r="G63" s="113">
        <v>89044</v>
      </c>
      <c r="H63" s="57"/>
      <c r="I63" s="53"/>
      <c r="J63" s="47"/>
      <c r="K63" s="113">
        <v>75915</v>
      </c>
      <c r="L63" s="57"/>
      <c r="M63" s="53"/>
      <c r="N63" s="47"/>
      <c r="O63" s="113">
        <v>51404</v>
      </c>
      <c r="P63" s="57"/>
      <c r="Q63" s="53"/>
      <c r="R63" s="47"/>
      <c r="S63" s="113">
        <v>44354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224923.88</v>
      </c>
      <c r="D64" s="57"/>
      <c r="E64" s="53"/>
      <c r="F64" s="47"/>
      <c r="G64" s="113">
        <f>19510260/60</f>
        <v>325171</v>
      </c>
      <c r="H64" s="57"/>
      <c r="I64" s="53"/>
      <c r="J64" s="47"/>
      <c r="K64" s="113">
        <f>24885436/60</f>
        <v>414757.26666666666</v>
      </c>
      <c r="L64" s="57"/>
      <c r="M64" s="53"/>
      <c r="N64" s="47"/>
      <c r="O64" s="113">
        <f>16175456/60</f>
        <v>269590.93333333335</v>
      </c>
      <c r="P64" s="57"/>
      <c r="Q64" s="53"/>
      <c r="R64" s="47"/>
      <c r="S64" s="113">
        <f>17007481/60</f>
        <v>283458.01666666666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>
        <f>(C63/C62)*C64</f>
        <v>6529.7889440624294</v>
      </c>
      <c r="D65" s="24"/>
      <c r="E65" s="24"/>
      <c r="F65" s="43"/>
      <c r="G65" s="92">
        <f>(G63/G62)*G64</f>
        <v>6933.2779374004922</v>
      </c>
      <c r="H65" s="24"/>
      <c r="I65" s="24"/>
      <c r="J65" s="43"/>
      <c r="K65" s="92">
        <f>(K63/K62)*K64</f>
        <v>6213.8486044431183</v>
      </c>
      <c r="L65" s="35"/>
      <c r="M65" s="24"/>
      <c r="N65" s="47"/>
      <c r="O65" s="92">
        <f>(O63/O62)*O64</f>
        <v>3609.9263318011131</v>
      </c>
      <c r="P65" s="35"/>
      <c r="Q65" s="24"/>
      <c r="R65" s="47"/>
      <c r="S65" s="92">
        <f>(S63/S62)*S64</f>
        <v>3080.7996410694973</v>
      </c>
      <c r="T65" s="35"/>
      <c r="U65" s="24"/>
      <c r="V65" s="47"/>
      <c r="W65" s="92" t="e">
        <f>(W63/W62)*W64</f>
        <v>#DIV/0!</v>
      </c>
      <c r="X65" s="35"/>
      <c r="Y65" s="24"/>
      <c r="Z65" s="47"/>
      <c r="AA65" s="92" t="e">
        <f>(AA63/AA62)*AA64</f>
        <v>#DIV/0!</v>
      </c>
      <c r="AB65" s="35"/>
      <c r="AC65" s="24"/>
      <c r="AD65" s="47"/>
      <c r="AE65" s="92" t="e">
        <f>(AE63/AE62)*AE64</f>
        <v>#DIV/0!</v>
      </c>
      <c r="AF65" s="35"/>
      <c r="AG65" s="24"/>
      <c r="AH65" s="47"/>
      <c r="AI65" s="92" t="e">
        <f>(AI63/AI62)*AI64</f>
        <v>#DIV/0!</v>
      </c>
      <c r="AJ65" s="35"/>
      <c r="AK65" s="24"/>
      <c r="AL65" s="47"/>
      <c r="AM65" s="92" t="e">
        <f>(AM63/AM62)*AM64</f>
        <v>#DIV/0!</v>
      </c>
      <c r="AN65" s="35"/>
      <c r="AO65" s="24"/>
      <c r="AP65" s="47"/>
      <c r="AQ65" s="92" t="e">
        <f>(AQ63/AQ62)*AQ64</f>
        <v>#DIV/0!</v>
      </c>
      <c r="AR65" s="35"/>
      <c r="AS65" s="24"/>
      <c r="AT65" s="47"/>
      <c r="AU65" s="92" t="e">
        <f>(AU63/AU62)*AU64</f>
        <v>#DIV/0!</v>
      </c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>
        <v>135669</v>
      </c>
      <c r="D68" s="36"/>
      <c r="E68" s="61"/>
      <c r="F68" s="47"/>
      <c r="G68" s="110">
        <v>137496</v>
      </c>
      <c r="H68" s="36"/>
      <c r="I68" s="61"/>
      <c r="J68" s="47"/>
      <c r="K68" s="110">
        <v>143592</v>
      </c>
      <c r="L68" s="36"/>
      <c r="M68" s="61"/>
      <c r="N68" s="47"/>
      <c r="O68" s="110">
        <v>146305</v>
      </c>
      <c r="P68" s="36"/>
      <c r="Q68" s="61"/>
      <c r="R68" s="47"/>
      <c r="S68" s="110"/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>
        <v>72000</v>
      </c>
      <c r="D69" s="35"/>
      <c r="E69" s="24"/>
      <c r="F69" s="47"/>
      <c r="G69" s="131">
        <v>77900</v>
      </c>
      <c r="H69" s="35"/>
      <c r="I69" s="24"/>
      <c r="J69" s="47"/>
      <c r="K69" s="131">
        <v>83800</v>
      </c>
      <c r="L69" s="35"/>
      <c r="M69" s="24"/>
      <c r="N69" s="47"/>
      <c r="O69" s="131">
        <v>90600</v>
      </c>
      <c r="P69" s="35"/>
      <c r="Q69" s="24"/>
      <c r="R69" s="47"/>
      <c r="S69" s="131">
        <v>98200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3"/>
      <c r="L70" s="113"/>
      <c r="M70" s="113"/>
      <c r="N70" s="113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09" t="s">
        <v>38</v>
      </c>
      <c r="C72" s="152">
        <v>0</v>
      </c>
      <c r="D72" s="33"/>
      <c r="E72" s="63"/>
      <c r="F72" s="123"/>
      <c r="G72" s="152">
        <v>0</v>
      </c>
      <c r="H72" s="33"/>
      <c r="I72" s="63"/>
      <c r="J72" s="123"/>
      <c r="K72" s="152">
        <v>0</v>
      </c>
      <c r="L72" s="33"/>
      <c r="M72" s="63"/>
      <c r="N72" s="123"/>
      <c r="O72" s="152">
        <v>0</v>
      </c>
      <c r="P72" s="33"/>
      <c r="Q72" s="63"/>
      <c r="R72" s="123"/>
      <c r="S72" s="152">
        <v>0</v>
      </c>
      <c r="T72" s="33"/>
      <c r="U72" s="63"/>
      <c r="V72" s="123"/>
      <c r="W72" s="152">
        <v>0</v>
      </c>
      <c r="X72" s="33"/>
      <c r="Y72" s="63"/>
      <c r="Z72" s="123"/>
      <c r="AA72" s="152">
        <v>0</v>
      </c>
      <c r="AB72" s="33"/>
      <c r="AC72" s="63"/>
      <c r="AD72" s="123"/>
      <c r="AE72" s="152">
        <v>0</v>
      </c>
      <c r="AF72" s="33"/>
      <c r="AG72" s="63"/>
      <c r="AH72" s="123"/>
      <c r="AI72" s="152">
        <v>0</v>
      </c>
      <c r="AJ72" s="33"/>
      <c r="AK72" s="63"/>
      <c r="AL72" s="123"/>
      <c r="AM72" s="152">
        <v>0</v>
      </c>
      <c r="AN72" s="33"/>
      <c r="AO72" s="63"/>
      <c r="AP72" s="123"/>
      <c r="AQ72" s="152">
        <v>0</v>
      </c>
      <c r="AR72" s="33"/>
      <c r="AS72" s="63"/>
      <c r="AT72" s="123"/>
      <c r="AU72" s="152">
        <v>0</v>
      </c>
      <c r="AV72" s="54"/>
      <c r="AW72" s="69"/>
    </row>
    <row r="73" spans="2:49">
      <c r="B73" s="112" t="s">
        <v>39</v>
      </c>
      <c r="C73" s="154">
        <v>0</v>
      </c>
      <c r="D73" s="54"/>
      <c r="E73" s="69"/>
      <c r="F73" s="123"/>
      <c r="G73" s="154">
        <v>0</v>
      </c>
      <c r="H73" s="54"/>
      <c r="I73" s="69"/>
      <c r="J73" s="123"/>
      <c r="K73" s="154">
        <v>0</v>
      </c>
      <c r="L73" s="54"/>
      <c r="M73" s="69"/>
      <c r="N73" s="123"/>
      <c r="O73" s="154">
        <v>0</v>
      </c>
      <c r="P73" s="54"/>
      <c r="Q73" s="69"/>
      <c r="R73" s="123"/>
      <c r="S73" s="154">
        <v>0</v>
      </c>
      <c r="T73" s="54"/>
      <c r="U73" s="69"/>
      <c r="V73" s="123"/>
      <c r="W73" s="154">
        <v>0</v>
      </c>
      <c r="X73" s="54"/>
      <c r="Y73" s="69"/>
      <c r="Z73" s="123"/>
      <c r="AA73" s="154">
        <v>0</v>
      </c>
      <c r="AB73" s="54"/>
      <c r="AC73" s="69"/>
      <c r="AD73" s="123"/>
      <c r="AE73" s="154">
        <v>0</v>
      </c>
      <c r="AF73" s="54"/>
      <c r="AG73" s="69"/>
      <c r="AH73" s="123"/>
      <c r="AI73" s="154">
        <v>0</v>
      </c>
      <c r="AJ73" s="54"/>
      <c r="AK73" s="69"/>
      <c r="AL73" s="123"/>
      <c r="AM73" s="154">
        <v>0</v>
      </c>
      <c r="AN73" s="54"/>
      <c r="AO73" s="69"/>
      <c r="AP73" s="123"/>
      <c r="AQ73" s="154">
        <v>0</v>
      </c>
      <c r="AR73" s="54"/>
      <c r="AS73" s="69"/>
      <c r="AT73" s="123"/>
      <c r="AU73" s="154">
        <v>0</v>
      </c>
      <c r="AV73" s="54"/>
      <c r="AW73" s="69"/>
    </row>
    <row r="74" spans="2:49">
      <c r="B74" s="112" t="s">
        <v>40</v>
      </c>
      <c r="C74" s="154">
        <v>0</v>
      </c>
      <c r="D74" s="54"/>
      <c r="E74" s="69"/>
      <c r="F74" s="123"/>
      <c r="G74" s="154">
        <v>0</v>
      </c>
      <c r="H74" s="54"/>
      <c r="I74" s="69"/>
      <c r="J74" s="123"/>
      <c r="K74" s="154">
        <v>0</v>
      </c>
      <c r="L74" s="54"/>
      <c r="M74" s="69"/>
      <c r="N74" s="123"/>
      <c r="O74" s="154">
        <v>0</v>
      </c>
      <c r="P74" s="54"/>
      <c r="Q74" s="69"/>
      <c r="R74" s="123"/>
      <c r="S74" s="154">
        <v>0</v>
      </c>
      <c r="T74" s="54"/>
      <c r="U74" s="69"/>
      <c r="V74" s="123"/>
      <c r="W74" s="154">
        <v>0</v>
      </c>
      <c r="X74" s="54"/>
      <c r="Y74" s="69"/>
      <c r="Z74" s="123"/>
      <c r="AA74" s="154">
        <v>0</v>
      </c>
      <c r="AB74" s="54"/>
      <c r="AC74" s="69"/>
      <c r="AD74" s="123"/>
      <c r="AE74" s="154">
        <v>0</v>
      </c>
      <c r="AF74" s="54"/>
      <c r="AG74" s="69"/>
      <c r="AH74" s="123"/>
      <c r="AI74" s="154">
        <v>0</v>
      </c>
      <c r="AJ74" s="54"/>
      <c r="AK74" s="69"/>
      <c r="AL74" s="123"/>
      <c r="AM74" s="154">
        <v>0</v>
      </c>
      <c r="AN74" s="54"/>
      <c r="AO74" s="69"/>
      <c r="AP74" s="123"/>
      <c r="AQ74" s="154">
        <v>0</v>
      </c>
      <c r="AR74" s="54"/>
      <c r="AS74" s="69"/>
      <c r="AT74" s="123"/>
      <c r="AU74" s="154">
        <v>0</v>
      </c>
      <c r="AV74" s="54"/>
      <c r="AW74" s="69"/>
    </row>
    <row r="75" spans="2:49">
      <c r="B75" s="115" t="s">
        <v>41</v>
      </c>
      <c r="C75" s="156">
        <v>0</v>
      </c>
      <c r="D75" s="32"/>
      <c r="E75" s="68"/>
      <c r="F75" s="123"/>
      <c r="G75" s="156">
        <v>0</v>
      </c>
      <c r="H75" s="32"/>
      <c r="I75" s="68"/>
      <c r="J75" s="123"/>
      <c r="K75" s="156">
        <v>0</v>
      </c>
      <c r="L75" s="32"/>
      <c r="M75" s="68"/>
      <c r="N75" s="123"/>
      <c r="O75" s="156">
        <v>0</v>
      </c>
      <c r="P75" s="32"/>
      <c r="Q75" s="68"/>
      <c r="R75" s="123"/>
      <c r="S75" s="156">
        <v>0</v>
      </c>
      <c r="T75" s="32"/>
      <c r="U75" s="68"/>
      <c r="V75" s="123"/>
      <c r="W75" s="156">
        <v>0</v>
      </c>
      <c r="X75" s="32"/>
      <c r="Y75" s="68"/>
      <c r="Z75" s="123"/>
      <c r="AA75" s="156">
        <v>0</v>
      </c>
      <c r="AB75" s="32"/>
      <c r="AC75" s="68"/>
      <c r="AD75" s="123"/>
      <c r="AE75" s="156">
        <v>0</v>
      </c>
      <c r="AF75" s="32"/>
      <c r="AG75" s="68"/>
      <c r="AH75" s="123"/>
      <c r="AI75" s="156">
        <v>0</v>
      </c>
      <c r="AJ75" s="32"/>
      <c r="AK75" s="68"/>
      <c r="AL75" s="123"/>
      <c r="AM75" s="156">
        <v>0</v>
      </c>
      <c r="AN75" s="32"/>
      <c r="AO75" s="68"/>
      <c r="AP75" s="123"/>
      <c r="AQ75" s="156">
        <v>0</v>
      </c>
      <c r="AR75" s="32"/>
      <c r="AS75" s="68"/>
      <c r="AT75" s="123"/>
      <c r="AU75" s="156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21"/>
      <c r="AV77" s="21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41"/>
      <c r="T78" s="31"/>
      <c r="U78" s="61"/>
      <c r="V78" s="40"/>
      <c r="W78" s="141"/>
      <c r="X78" s="31"/>
      <c r="Y78" s="61"/>
      <c r="Z78" s="40"/>
      <c r="AA78" s="141"/>
      <c r="AB78" s="31"/>
      <c r="AC78" s="61"/>
      <c r="AD78" s="40"/>
      <c r="AE78" s="141"/>
      <c r="AF78" s="31"/>
      <c r="AG78" s="61"/>
      <c r="AH78" s="40"/>
      <c r="AI78" s="141"/>
      <c r="AJ78" s="31"/>
      <c r="AK78" s="61"/>
      <c r="AL78" s="40"/>
      <c r="AM78" s="141"/>
      <c r="AN78" s="31"/>
      <c r="AO78" s="61"/>
      <c r="AP78" s="40"/>
      <c r="AQ78" s="141"/>
      <c r="AR78" s="31"/>
      <c r="AS78" s="61"/>
      <c r="AT78" s="40"/>
      <c r="AU78" s="143"/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43"/>
      <c r="T79" s="52"/>
      <c r="U79" s="53"/>
      <c r="V79" s="40"/>
      <c r="W79" s="143"/>
      <c r="X79" s="52"/>
      <c r="Y79" s="53"/>
      <c r="Z79" s="40"/>
      <c r="AA79" s="143"/>
      <c r="AB79" s="52"/>
      <c r="AC79" s="53"/>
      <c r="AD79" s="40"/>
      <c r="AE79" s="143"/>
      <c r="AF79" s="52"/>
      <c r="AG79" s="53"/>
      <c r="AH79" s="40"/>
      <c r="AI79" s="143"/>
      <c r="AJ79" s="52"/>
      <c r="AK79" s="53"/>
      <c r="AL79" s="40"/>
      <c r="AM79" s="143"/>
      <c r="AN79" s="52"/>
      <c r="AO79" s="53"/>
      <c r="AP79" s="40"/>
      <c r="AQ79" s="143"/>
      <c r="AR79" s="52"/>
      <c r="AS79" s="53"/>
      <c r="AT79" s="40"/>
      <c r="AU79" s="143"/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45"/>
      <c r="T80" s="30"/>
      <c r="U80" s="24"/>
      <c r="V80" s="40"/>
      <c r="W80" s="145"/>
      <c r="X80" s="30"/>
      <c r="Y80" s="24"/>
      <c r="Z80" s="40"/>
      <c r="AA80" s="145"/>
      <c r="AB80" s="30"/>
      <c r="AC80" s="24"/>
      <c r="AD80" s="40"/>
      <c r="AE80" s="145"/>
      <c r="AF80" s="30"/>
      <c r="AG80" s="24"/>
      <c r="AH80" s="40"/>
      <c r="AI80" s="145"/>
      <c r="AJ80" s="30"/>
      <c r="AK80" s="24"/>
      <c r="AL80" s="40"/>
      <c r="AM80" s="145"/>
      <c r="AN80" s="30"/>
      <c r="AO80" s="24"/>
      <c r="AP80" s="40"/>
      <c r="AQ80" s="145"/>
      <c r="AR80" s="30"/>
      <c r="AS80" s="24"/>
      <c r="AT80" s="40"/>
      <c r="AU80" s="145"/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H6" activePane="bottomRight" state="frozenSplit"/>
      <selection activeCell="C25" sqref="C25"/>
      <selection pane="topRight" activeCell="C25" sqref="C25"/>
      <selection pane="bottomLeft" activeCell="C25" sqref="C25"/>
      <selection pane="bottomRight" activeCell="S65" sqref="S65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182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 ht="15" thickTop="1">
      <c r="B8" s="98" t="s">
        <v>3</v>
      </c>
      <c r="C8" s="177" t="str">
        <f>IF(ISERROR(C19/C18),"NM",C19/C18)</f>
        <v>NM</v>
      </c>
      <c r="D8" s="177" t="str">
        <f>IF(ISERROR(D19/D18),"NM",D19/D18)</f>
        <v>NM</v>
      </c>
      <c r="E8" s="177" t="str">
        <f>IF(ISERROR(C8-D8),"NM",C8-D8)</f>
        <v>NM</v>
      </c>
      <c r="F8" s="50"/>
      <c r="G8" s="177" t="str">
        <f>IF(ISERROR(G19/G18),"NM",G19/G18)</f>
        <v>NM</v>
      </c>
      <c r="H8" s="177" t="str">
        <f>IF(ISERROR(H19/H18),"NM",H19/H18)</f>
        <v>NM</v>
      </c>
      <c r="I8" s="177" t="str">
        <f>IF(ISERROR(G8-H8),"NM",G8-H8)</f>
        <v>NM</v>
      </c>
      <c r="J8" s="50"/>
      <c r="K8" s="177">
        <f>IF(ISERROR(K19/K18),"NM",K19/K18)</f>
        <v>1.5348183350646605</v>
      </c>
      <c r="L8" s="177" t="str">
        <f>IF(ISERROR(L19/L18),"NM",L19/L18)</f>
        <v>NM</v>
      </c>
      <c r="M8" s="177" t="str">
        <f>IF(ISERROR(K8-L8),"NM",K8-L8)</f>
        <v>NM</v>
      </c>
      <c r="N8" s="50"/>
      <c r="O8" s="177">
        <f>IF(ISERROR(O19/O18),"NM",O19/O18)</f>
        <v>1.4788448869311475</v>
      </c>
      <c r="P8" s="177" t="str">
        <f>IF(ISERROR(P19/P18),"NM",P19/P18)</f>
        <v>NM</v>
      </c>
      <c r="Q8" s="177" t="str">
        <f>IF(ISERROR(O8-P8),"NM",O8-P8)</f>
        <v>NM</v>
      </c>
      <c r="R8" s="50"/>
      <c r="S8" s="177">
        <f>IF(ISERROR(S19/S18),"NM",S19/S18)</f>
        <v>1.5332624545444717</v>
      </c>
      <c r="T8" s="177" t="str">
        <f>IF(ISERROR(T19/T18),"NM",T19/T18)</f>
        <v>NM</v>
      </c>
      <c r="U8" s="177" t="str">
        <f>IF(ISERROR(S8-T8),"NM",S8-T8)</f>
        <v>NM</v>
      </c>
      <c r="V8" s="50"/>
      <c r="W8" s="177" t="str">
        <f>IF(ISERROR(W19/W18),"NM",W19/W18)</f>
        <v>NM</v>
      </c>
      <c r="X8" s="177" t="str">
        <f>IF(ISERROR(X19/X18),"NM",X19/X18)</f>
        <v>NM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 t="str">
        <f>IF(ISERROR(AB19/AB18),"NM",AB19/AB18)</f>
        <v>NM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 t="str">
        <f>IF(ISERROR(AF19/AF18),"NM",AF19/AF18)</f>
        <v>NM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 t="str">
        <f>IF(ISERROR(AJ19/AJ18),"NM",AJ19/AJ18)</f>
        <v>NM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 t="str">
        <f>IF(ISERROR(AN19/AN18),"NM",AN19/AN18)</f>
        <v>NM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 t="str">
        <f>IF(ISERROR(AR19/AR18),"NM",AR19/AR18)</f>
        <v>NM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 t="str">
        <f>IF(ISERROR(AV19/AV18),"NM",AV19/AV18)</f>
        <v>NM</v>
      </c>
      <c r="AW8" s="177" t="str">
        <f>IF(ISERROR(AU8-AV8),"NM",AU8-AV8)</f>
        <v>NM</v>
      </c>
    </row>
    <row r="9" spans="2:49">
      <c r="B9" s="98" t="s">
        <v>4</v>
      </c>
      <c r="C9" s="177" t="str">
        <f>IF(ISERROR(C20/C19),"NM",C20/C19)</f>
        <v>NM</v>
      </c>
      <c r="D9" s="177" t="str">
        <f>IF(ISERROR(D20/D19),"NM",D20/D19)</f>
        <v>NM</v>
      </c>
      <c r="E9" s="177" t="str">
        <f>IF(ISERROR(C9-D9),"NM",C9-D9)</f>
        <v>NM</v>
      </c>
      <c r="F9" s="50"/>
      <c r="G9" s="177" t="str">
        <f>IF(ISERROR(G20/G19),"NM",G20/G19)</f>
        <v>NM</v>
      </c>
      <c r="H9" s="177" t="str">
        <f>IF(ISERROR(H20/H19),"NM",H20/H19)</f>
        <v>NM</v>
      </c>
      <c r="I9" s="177" t="str">
        <f>IF(ISERROR(G9-H9),"NM",G9-H9)</f>
        <v>NM</v>
      </c>
      <c r="J9" s="50"/>
      <c r="K9" s="177">
        <f>IF(ISERROR(K20/K19),"NM",K20/K19)</f>
        <v>1.6107391526371675</v>
      </c>
      <c r="L9" s="177" t="str">
        <f>IF(ISERROR(L20/L19),"NM",L20/L19)</f>
        <v>NM</v>
      </c>
      <c r="M9" s="177" t="str">
        <f>IF(ISERROR(K9-L9),"NM",K9-L9)</f>
        <v>NM</v>
      </c>
      <c r="N9" s="50"/>
      <c r="O9" s="177">
        <f>IF(ISERROR(O20/O19),"NM",O20/O19)</f>
        <v>1.4614161803881771</v>
      </c>
      <c r="P9" s="177" t="str">
        <f>IF(ISERROR(P20/P19),"NM",P20/P19)</f>
        <v>NM</v>
      </c>
      <c r="Q9" s="177" t="str">
        <f>IF(ISERROR(O9-P9),"NM",O9-P9)</f>
        <v>NM</v>
      </c>
      <c r="R9" s="50"/>
      <c r="S9" s="177">
        <f>IF(ISERROR(S20/S19),"NM",S20/S19)</f>
        <v>1.4507973997303452</v>
      </c>
      <c r="T9" s="177" t="str">
        <f>IF(ISERROR(T20/T19),"NM",T20/T19)</f>
        <v>NM</v>
      </c>
      <c r="U9" s="177" t="str">
        <f>IF(ISERROR(S9-T9),"NM",S9-T9)</f>
        <v>NM</v>
      </c>
      <c r="V9" s="50"/>
      <c r="W9" s="177" t="str">
        <f>IF(ISERROR(W20/W19),"NM",W20/W19)</f>
        <v>NM</v>
      </c>
      <c r="X9" s="177" t="str">
        <f>IF(ISERROR(X20/X19),"NM",X20/X19)</f>
        <v>NM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 t="str">
        <f>IF(ISERROR(AB20/AB19),"NM",AB20/AB19)</f>
        <v>NM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 t="str">
        <f>IF(ISERROR(AF20/AF19),"NM",AF20/AF19)</f>
        <v>NM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 t="str">
        <f>IF(ISERROR(AJ20/AJ19),"NM",AJ20/AJ19)</f>
        <v>NM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 t="str">
        <f>IF(ISERROR(AN20/AN19),"NM",AN20/AN19)</f>
        <v>NM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 t="str">
        <f>IF(ISERROR(AR20/AR19),"NM",AR20/AR19)</f>
        <v>NM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 t="str">
        <f>IF(ISERROR(AV20/AV19),"NM",AV20/AV19)</f>
        <v>NM</v>
      </c>
      <c r="AW9" s="177" t="str">
        <f>IF(ISERROR(AU9-AV9),"NM",AU9-AV9)</f>
        <v>NM</v>
      </c>
    </row>
    <row r="10" spans="2:49">
      <c r="B10" s="98" t="s">
        <v>5</v>
      </c>
      <c r="C10" s="177" t="str">
        <f>IF(ISERROR((C55+C63)/C19),"NM",(C55+C63)/C19)</f>
        <v>NM</v>
      </c>
      <c r="D10" s="37"/>
      <c r="E10" s="37"/>
      <c r="F10" s="50"/>
      <c r="G10" s="177" t="str">
        <f>IF(ISERROR((G55+G63)/G19),"NM",(G55+G63)/G19)</f>
        <v>NM</v>
      </c>
      <c r="H10" s="37"/>
      <c r="I10" s="37"/>
      <c r="J10" s="50"/>
      <c r="K10" s="177">
        <f>IF(ISERROR((K55+K63)/K19),"NM",(K55+K63)/K19)</f>
        <v>0.486433872898277</v>
      </c>
      <c r="L10" s="37"/>
      <c r="M10" s="37"/>
      <c r="N10" s="50"/>
      <c r="O10" s="177">
        <f>IF(ISERROR((O55+O63)/O19),"NM",(O55+O63)/O19)</f>
        <v>0.20312797317011291</v>
      </c>
      <c r="P10" s="37"/>
      <c r="Q10" s="37"/>
      <c r="R10" s="50"/>
      <c r="S10" s="177">
        <f>IF(ISERROR((S55+S63)/S19),"NM",(S55+S63)/S19)</f>
        <v>0.19623639738167814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 t="str">
        <f>IF(ISERROR(((C57+C65)/C19)*60),"NM",((C57+C65)/C19)*60)</f>
        <v>NM</v>
      </c>
      <c r="D11" s="37"/>
      <c r="E11" s="37"/>
      <c r="F11" s="50"/>
      <c r="G11" s="177" t="str">
        <f>IF(ISERROR(((G57+G65)/G19)*60),"NM",((G57+G65)/G19)*60)</f>
        <v>NM</v>
      </c>
      <c r="H11" s="37"/>
      <c r="I11" s="37"/>
      <c r="J11" s="50"/>
      <c r="K11" s="177">
        <f>IF(ISERROR(((K57+K65)/K19)*60),"NM",((K57+K65)/K19)*60)</f>
        <v>3.0561873075270247</v>
      </c>
      <c r="L11" s="37"/>
      <c r="M11" s="37"/>
      <c r="N11" s="50"/>
      <c r="O11" s="177">
        <f>IF(ISERROR(((O57+O65)/O19)*60),"NM",((O57+O65)/O19)*60)</f>
        <v>1.3906553101630375</v>
      </c>
      <c r="P11" s="37"/>
      <c r="Q11" s="37"/>
      <c r="R11" s="50"/>
      <c r="S11" s="177">
        <f>IF(ISERROR(((S57+S65)/S19)*60),"NM",((S57+S65)/S19)*60)</f>
        <v>1.357680731776981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 t="str">
        <f>IF(ISERROR(((C57+C65)/(C55+C63))*60),"NM",((C57+C65)/(C55+C63))*60)</f>
        <v>NM</v>
      </c>
      <c r="D12" s="37"/>
      <c r="E12" s="37"/>
      <c r="F12" s="50"/>
      <c r="G12" s="177" t="str">
        <f>IF(ISERROR(((G57+G65)/(G55+G63))*60),"NM",((G57+G65)/(G55+G63))*60)</f>
        <v>NM</v>
      </c>
      <c r="H12" s="37"/>
      <c r="I12" s="37"/>
      <c r="J12" s="50"/>
      <c r="K12" s="177">
        <f>IF(ISERROR(((K57+K65)/(K55+K63))*60),"NM",((K57+K65)/(K55+K63))*60)</f>
        <v>6.2828422891638018</v>
      </c>
      <c r="L12" s="37"/>
      <c r="M12" s="37"/>
      <c r="N12" s="50"/>
      <c r="O12" s="177">
        <f>IF(ISERROR(((O57+O65)/(O55+O63))*60),"NM",((O57+O65)/(O55+O63))*60)</f>
        <v>6.8462028565529476</v>
      </c>
      <c r="P12" s="37"/>
      <c r="Q12" s="37"/>
      <c r="R12" s="50"/>
      <c r="S12" s="177">
        <f>IF(ISERROR(((S57+S65)/(S55+S63))*60),"NM",((S57+S65)/(S55+S63))*60)</f>
        <v>6.9185979252172238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 t="str">
        <f>IF(ISERROR(C29/C19),"NM",C29/C19)</f>
        <v>NM</v>
      </c>
      <c r="D13" s="178" t="str">
        <f>IF(ISERROR(D29/D19),"NM",D29/D19)</f>
        <v>NM</v>
      </c>
      <c r="E13" s="178" t="str">
        <f>IF(ISERROR(C13-D13),"NM",C13-D13)</f>
        <v>NM</v>
      </c>
      <c r="F13" s="49"/>
      <c r="G13" s="178" t="str">
        <f>IF(ISERROR(G29/G19),"NM",G29/G19)</f>
        <v>NM</v>
      </c>
      <c r="H13" s="178" t="str">
        <f>IF(ISERROR(H29/H19),"NM",H29/H19)</f>
        <v>NM</v>
      </c>
      <c r="I13" s="178" t="str">
        <f>IF(ISERROR(G13-H13),"NM",G13-H13)</f>
        <v>NM</v>
      </c>
      <c r="J13" s="49"/>
      <c r="K13" s="178">
        <f>IF(ISERROR(K29/K19),"NM",K29/K19)</f>
        <v>0.40719726137693085</v>
      </c>
      <c r="L13" s="178" t="str">
        <f>IF(ISERROR(L29/L19),"NM",L29/L19)</f>
        <v>NM</v>
      </c>
      <c r="M13" s="178" t="str">
        <f>IF(ISERROR(K13-L13),"NM",K13-L13)</f>
        <v>NM</v>
      </c>
      <c r="N13" s="38"/>
      <c r="O13" s="39">
        <f>IF(ISERROR(O29/O19),"NM",O29/O19)</f>
        <v>0.4889784583914753</v>
      </c>
      <c r="P13" s="178" t="str">
        <f>IF(ISERROR(P29/P19),"NM",P29/P19)</f>
        <v>NM</v>
      </c>
      <c r="Q13" s="178" t="str">
        <f>IF(ISERROR(O13-P13),"NM",O13-P13)</f>
        <v>NM</v>
      </c>
      <c r="R13" s="38"/>
      <c r="S13" s="39">
        <f>IF(ISERROR(S29/S19),"NM",S29/S19)</f>
        <v>0.48877519551854015</v>
      </c>
      <c r="T13" s="178" t="str">
        <f>IF(ISERROR(T29/T19),"NM",T29/T19)</f>
        <v>NM</v>
      </c>
      <c r="U13" s="178" t="str">
        <f>IF(ISERROR(S13-T13),"NM",S13-T13)</f>
        <v>NM</v>
      </c>
      <c r="V13" s="38"/>
      <c r="W13" s="39" t="str">
        <f>IF(ISERROR(W29/W19),"NM",W29/W19)</f>
        <v>NM</v>
      </c>
      <c r="X13" s="178" t="str">
        <f>IF(ISERROR(X29/X19),"NM",X29/X19)</f>
        <v>NM</v>
      </c>
      <c r="Y13" s="178" t="str">
        <f>IF(ISERROR(W13-X13),"NM",W13-X13)</f>
        <v>NM</v>
      </c>
      <c r="Z13" s="38"/>
      <c r="AA13" s="39" t="str">
        <f>IF(ISERROR(AA29/AA19),"NM",AA29/AA19)</f>
        <v>NM</v>
      </c>
      <c r="AB13" s="178" t="str">
        <f>IF(ISERROR(AB29/AB19),"NM",AB29/AB19)</f>
        <v>NM</v>
      </c>
      <c r="AC13" s="178" t="str">
        <f>IF(ISERROR(AA13-AB13),"NM",AA13-AB13)</f>
        <v>NM</v>
      </c>
      <c r="AD13" s="38"/>
      <c r="AE13" s="39" t="str">
        <f>IF(ISERROR(AE29/AE19),"NM",AE29/AE19)</f>
        <v>NM</v>
      </c>
      <c r="AF13" s="178" t="str">
        <f>IF(ISERROR(AF29/AF19),"NM",AF29/AF19)</f>
        <v>NM</v>
      </c>
      <c r="AG13" s="178" t="str">
        <f>IF(ISERROR(AE13-AF13),"NM",AE13-AF13)</f>
        <v>NM</v>
      </c>
      <c r="AH13" s="38"/>
      <c r="AI13" s="39" t="str">
        <f>IF(ISERROR(AI29/AI19),"NM",AI29/AI19)</f>
        <v>NM</v>
      </c>
      <c r="AJ13" s="178" t="str">
        <f>IF(ISERROR(AJ29/AJ19),"NM",AJ29/AJ19)</f>
        <v>NM</v>
      </c>
      <c r="AK13" s="178" t="str">
        <f>IF(ISERROR(AI13-AJ13),"NM",AI13-AJ13)</f>
        <v>NM</v>
      </c>
      <c r="AL13" s="38"/>
      <c r="AM13" s="39" t="str">
        <f>IF(ISERROR(AM29/AM19),"NM",AM29/AM19)</f>
        <v>NM</v>
      </c>
      <c r="AN13" s="178" t="str">
        <f>IF(ISERROR(AN29/AN19),"NM",AN29/AN19)</f>
        <v>NM</v>
      </c>
      <c r="AO13" s="178" t="str">
        <f>IF(ISERROR(AM13-AN13),"NM",AM13-AN13)</f>
        <v>NM</v>
      </c>
      <c r="AP13" s="38"/>
      <c r="AQ13" s="39" t="str">
        <f>IF(ISERROR(AQ29/AQ19),"NM",AQ29/AQ19)</f>
        <v>NM</v>
      </c>
      <c r="AR13" s="178" t="str">
        <f>IF(ISERROR(AR29/AR19),"NM",AR29/AR19)</f>
        <v>NM</v>
      </c>
      <c r="AS13" s="178" t="str">
        <f>IF(ISERROR(AQ13-AR13),"NM",AQ13-AR13)</f>
        <v>NM</v>
      </c>
      <c r="AT13" s="38"/>
      <c r="AU13" s="39" t="str">
        <f>IF(ISERROR(AU29/AU19),"NM",AU29/AU19)</f>
        <v>NM</v>
      </c>
      <c r="AV13" s="178" t="str">
        <f>IF(ISERROR(AV29/AV19),"NM",AV29/AV19)</f>
        <v>NM</v>
      </c>
      <c r="AW13" s="178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/>
      <c r="D18" s="110"/>
      <c r="E18" s="93">
        <f>C18-D18</f>
        <v>0</v>
      </c>
      <c r="F18" s="47"/>
      <c r="G18" s="110"/>
      <c r="H18" s="110"/>
      <c r="I18" s="93">
        <f>G18-H18</f>
        <v>0</v>
      </c>
      <c r="J18" s="47"/>
      <c r="K18" s="110">
        <v>482289</v>
      </c>
      <c r="L18" s="110"/>
      <c r="M18" s="93">
        <f>K18-L18</f>
        <v>482289</v>
      </c>
      <c r="N18" s="47"/>
      <c r="O18" s="110">
        <v>1364611</v>
      </c>
      <c r="P18" s="110"/>
      <c r="Q18" s="93">
        <f>O18-P18</f>
        <v>1364611</v>
      </c>
      <c r="R18" s="47"/>
      <c r="S18" s="110">
        <v>1387345</v>
      </c>
      <c r="T18" s="110"/>
      <c r="U18" s="93">
        <f>S18-T18</f>
        <v>1387345</v>
      </c>
      <c r="V18" s="47"/>
      <c r="W18" s="110"/>
      <c r="X18" s="110"/>
      <c r="Y18" s="93">
        <f>W18-X18</f>
        <v>0</v>
      </c>
      <c r="Z18" s="47"/>
      <c r="AA18" s="110"/>
      <c r="AB18" s="110"/>
      <c r="AC18" s="93">
        <f>AA18-AB18</f>
        <v>0</v>
      </c>
      <c r="AD18" s="47"/>
      <c r="AE18" s="110"/>
      <c r="AF18" s="110"/>
      <c r="AG18" s="93">
        <f>AE18-AF18</f>
        <v>0</v>
      </c>
      <c r="AH18" s="47"/>
      <c r="AI18" s="110"/>
      <c r="AJ18" s="110"/>
      <c r="AK18" s="93">
        <f>AI18-AJ18</f>
        <v>0</v>
      </c>
      <c r="AL18" s="47"/>
      <c r="AM18" s="110"/>
      <c r="AN18" s="110"/>
      <c r="AO18" s="93">
        <f>AM18-AN18</f>
        <v>0</v>
      </c>
      <c r="AP18" s="47"/>
      <c r="AQ18" s="110"/>
      <c r="AR18" s="110"/>
      <c r="AS18" s="93">
        <f>AQ18-AR18</f>
        <v>0</v>
      </c>
      <c r="AT18" s="47"/>
      <c r="AU18" s="113"/>
      <c r="AV18" s="110"/>
      <c r="AW18" s="93">
        <f>AU18-AV18</f>
        <v>0</v>
      </c>
    </row>
    <row r="19" spans="2:49">
      <c r="B19" s="112" t="s">
        <v>158</v>
      </c>
      <c r="C19" s="113"/>
      <c r="D19" s="113"/>
      <c r="E19" s="93">
        <f>C19-D19</f>
        <v>0</v>
      </c>
      <c r="F19" s="47"/>
      <c r="G19" s="113"/>
      <c r="H19" s="113"/>
      <c r="I19" s="93">
        <f>G19-H19</f>
        <v>0</v>
      </c>
      <c r="J19" s="47"/>
      <c r="K19" s="113">
        <v>740226</v>
      </c>
      <c r="L19" s="113"/>
      <c r="M19" s="93">
        <f>K19-L19</f>
        <v>740226</v>
      </c>
      <c r="N19" s="47"/>
      <c r="O19" s="113">
        <v>2018048</v>
      </c>
      <c r="P19" s="113"/>
      <c r="Q19" s="93">
        <f>O19-P19</f>
        <v>2018048</v>
      </c>
      <c r="R19" s="47"/>
      <c r="S19" s="113">
        <v>2127164</v>
      </c>
      <c r="T19" s="113"/>
      <c r="U19" s="93">
        <f>S19-T19</f>
        <v>2127164</v>
      </c>
      <c r="V19" s="47"/>
      <c r="W19" s="113"/>
      <c r="X19" s="113"/>
      <c r="Y19" s="93">
        <f>W19-X19</f>
        <v>0</v>
      </c>
      <c r="Z19" s="47"/>
      <c r="AA19" s="113"/>
      <c r="AB19" s="113"/>
      <c r="AC19" s="93">
        <f>AA19-AB19</f>
        <v>0</v>
      </c>
      <c r="AD19" s="47"/>
      <c r="AE19" s="113"/>
      <c r="AF19" s="113"/>
      <c r="AG19" s="93">
        <f>AE19-AF19</f>
        <v>0</v>
      </c>
      <c r="AH19" s="47"/>
      <c r="AI19" s="113"/>
      <c r="AJ19" s="113"/>
      <c r="AK19" s="93">
        <f>AI19-AJ19</f>
        <v>0</v>
      </c>
      <c r="AL19" s="47"/>
      <c r="AM19" s="113"/>
      <c r="AN19" s="113"/>
      <c r="AO19" s="93">
        <f>AM19-AN19</f>
        <v>0</v>
      </c>
      <c r="AP19" s="47"/>
      <c r="AQ19" s="113"/>
      <c r="AR19" s="113"/>
      <c r="AS19" s="93">
        <f>AQ19-AR19</f>
        <v>0</v>
      </c>
      <c r="AT19" s="47"/>
      <c r="AU19" s="113"/>
      <c r="AV19" s="113"/>
      <c r="AW19" s="93">
        <f>AU19-AV19</f>
        <v>0</v>
      </c>
    </row>
    <row r="20" spans="2:49">
      <c r="B20" s="112" t="s">
        <v>159</v>
      </c>
      <c r="C20" s="113"/>
      <c r="D20" s="113"/>
      <c r="E20" s="93">
        <f>C20-D20</f>
        <v>0</v>
      </c>
      <c r="F20" s="47"/>
      <c r="G20" s="113"/>
      <c r="H20" s="113"/>
      <c r="I20" s="93">
        <f>G20-H20</f>
        <v>0</v>
      </c>
      <c r="J20" s="47"/>
      <c r="K20" s="113">
        <v>1192311</v>
      </c>
      <c r="L20" s="113"/>
      <c r="M20" s="93">
        <f>K20-L20</f>
        <v>1192311</v>
      </c>
      <c r="N20" s="47"/>
      <c r="O20" s="113">
        <v>2949208</v>
      </c>
      <c r="P20" s="113"/>
      <c r="Q20" s="93">
        <f>O20-P20</f>
        <v>2949208</v>
      </c>
      <c r="R20" s="47"/>
      <c r="S20" s="113">
        <v>3086084</v>
      </c>
      <c r="T20" s="113"/>
      <c r="U20" s="93">
        <f>S20-T20</f>
        <v>3086084</v>
      </c>
      <c r="V20" s="47"/>
      <c r="W20" s="113"/>
      <c r="X20" s="113"/>
      <c r="Y20" s="93">
        <f>W20-X20</f>
        <v>0</v>
      </c>
      <c r="Z20" s="47"/>
      <c r="AA20" s="113"/>
      <c r="AB20" s="113"/>
      <c r="AC20" s="93">
        <f>AA20-AB20</f>
        <v>0</v>
      </c>
      <c r="AD20" s="47"/>
      <c r="AE20" s="113"/>
      <c r="AF20" s="113"/>
      <c r="AG20" s="93">
        <f>AE20-AF20</f>
        <v>0</v>
      </c>
      <c r="AH20" s="47"/>
      <c r="AI20" s="113"/>
      <c r="AJ20" s="113"/>
      <c r="AK20" s="93">
        <f>AI20-AJ20</f>
        <v>0</v>
      </c>
      <c r="AL20" s="47"/>
      <c r="AM20" s="113"/>
      <c r="AN20" s="113"/>
      <c r="AO20" s="93">
        <f>AM20-AN20</f>
        <v>0</v>
      </c>
      <c r="AP20" s="47"/>
      <c r="AQ20" s="113"/>
      <c r="AR20" s="113"/>
      <c r="AS20" s="93">
        <f>AQ20-AR20</f>
        <v>0</v>
      </c>
      <c r="AT20" s="47"/>
      <c r="AU20" s="113"/>
      <c r="AV20" s="113"/>
      <c r="AW20" s="93">
        <f>AU20-AV20</f>
        <v>0</v>
      </c>
    </row>
    <row r="21" spans="2:49">
      <c r="B21" s="115" t="s">
        <v>163</v>
      </c>
      <c r="C21" s="167"/>
      <c r="D21" s="58"/>
      <c r="E21" s="74"/>
      <c r="F21" s="46"/>
      <c r="G21" s="167"/>
      <c r="H21" s="58"/>
      <c r="I21" s="74"/>
      <c r="J21" s="46"/>
      <c r="K21" s="167">
        <v>2.52</v>
      </c>
      <c r="L21" s="35"/>
      <c r="M21" s="74"/>
      <c r="N21" s="47"/>
      <c r="O21" s="167">
        <v>2.0699999999999998</v>
      </c>
      <c r="P21" s="35"/>
      <c r="Q21" s="74"/>
      <c r="R21" s="47"/>
      <c r="S21" s="167">
        <v>2.17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05"/>
      <c r="AW23" s="92"/>
    </row>
    <row r="24" spans="2:49">
      <c r="B24" s="109" t="s">
        <v>161</v>
      </c>
      <c r="C24" s="110"/>
      <c r="D24" s="110"/>
      <c r="E24" s="93">
        <f>C24-D24</f>
        <v>0</v>
      </c>
      <c r="F24" s="47"/>
      <c r="G24" s="110"/>
      <c r="H24" s="110"/>
      <c r="I24" s="93">
        <f>G24-H24</f>
        <v>0</v>
      </c>
      <c r="J24" s="47"/>
      <c r="K24" s="110">
        <f>K19-K29</f>
        <v>438808</v>
      </c>
      <c r="L24" s="110"/>
      <c r="M24" s="93">
        <f>K24-L24</f>
        <v>438808</v>
      </c>
      <c r="N24" s="47"/>
      <c r="O24" s="110">
        <f>O19-O29</f>
        <v>1031266</v>
      </c>
      <c r="P24" s="110"/>
      <c r="Q24" s="93">
        <f>O24-P24</f>
        <v>1031266</v>
      </c>
      <c r="R24" s="47"/>
      <c r="S24" s="110">
        <f>S19-S29</f>
        <v>1087459</v>
      </c>
      <c r="T24" s="110"/>
      <c r="U24" s="93">
        <f>S24-T24</f>
        <v>1087459</v>
      </c>
      <c r="V24" s="47"/>
      <c r="W24" s="110"/>
      <c r="X24" s="110"/>
      <c r="Y24" s="93">
        <f>W24-X24</f>
        <v>0</v>
      </c>
      <c r="Z24" s="47"/>
      <c r="AA24" s="110"/>
      <c r="AB24" s="110"/>
      <c r="AC24" s="93">
        <f>AA24-AB24</f>
        <v>0</v>
      </c>
      <c r="AD24" s="47"/>
      <c r="AE24" s="110"/>
      <c r="AF24" s="110"/>
      <c r="AG24" s="93">
        <f>AE24-AF24</f>
        <v>0</v>
      </c>
      <c r="AH24" s="47"/>
      <c r="AI24" s="110"/>
      <c r="AJ24" s="110"/>
      <c r="AK24" s="93">
        <f>AI24-AJ24</f>
        <v>0</v>
      </c>
      <c r="AL24" s="47"/>
      <c r="AM24" s="110"/>
      <c r="AN24" s="110"/>
      <c r="AO24" s="93">
        <f>AM24-AN24</f>
        <v>0</v>
      </c>
      <c r="AP24" s="47"/>
      <c r="AQ24" s="110"/>
      <c r="AR24" s="110"/>
      <c r="AS24" s="93">
        <f>AQ24-AR24</f>
        <v>0</v>
      </c>
      <c r="AT24" s="47"/>
      <c r="AU24" s="113"/>
      <c r="AV24" s="110"/>
      <c r="AW24" s="93">
        <f>AU24-AV24</f>
        <v>0</v>
      </c>
    </row>
    <row r="25" spans="2:49">
      <c r="B25" s="112" t="s">
        <v>162</v>
      </c>
      <c r="C25" s="113"/>
      <c r="D25" s="113"/>
      <c r="E25" s="93">
        <f>C25-D25</f>
        <v>0</v>
      </c>
      <c r="F25" s="47"/>
      <c r="G25" s="113"/>
      <c r="H25" s="113"/>
      <c r="I25" s="93">
        <f>G25-H25</f>
        <v>0</v>
      </c>
      <c r="J25" s="47"/>
      <c r="K25" s="113">
        <f>K20-K30</f>
        <v>802140</v>
      </c>
      <c r="L25" s="113"/>
      <c r="M25" s="93">
        <f>K25-L25</f>
        <v>802140</v>
      </c>
      <c r="N25" s="47"/>
      <c r="O25" s="113">
        <f>O20-O30</f>
        <v>1718680</v>
      </c>
      <c r="P25" s="113"/>
      <c r="Q25" s="93">
        <f>O25-P25</f>
        <v>1718680</v>
      </c>
      <c r="R25" s="47"/>
      <c r="S25" s="113">
        <f>S20-S30</f>
        <v>1805161</v>
      </c>
      <c r="T25" s="113"/>
      <c r="U25" s="93">
        <f>S25-T25</f>
        <v>1805161</v>
      </c>
      <c r="V25" s="47"/>
      <c r="W25" s="113"/>
      <c r="X25" s="113"/>
      <c r="Y25" s="93">
        <f>W25-X25</f>
        <v>0</v>
      </c>
      <c r="Z25" s="47"/>
      <c r="AA25" s="113"/>
      <c r="AB25" s="113"/>
      <c r="AC25" s="93">
        <f>AA25-AB25</f>
        <v>0</v>
      </c>
      <c r="AD25" s="47"/>
      <c r="AE25" s="113"/>
      <c r="AF25" s="113"/>
      <c r="AG25" s="93">
        <f>AE25-AF25</f>
        <v>0</v>
      </c>
      <c r="AH25" s="47"/>
      <c r="AI25" s="113"/>
      <c r="AJ25" s="113"/>
      <c r="AK25" s="93">
        <f>AI25-AJ25</f>
        <v>0</v>
      </c>
      <c r="AL25" s="47"/>
      <c r="AM25" s="113"/>
      <c r="AN25" s="113"/>
      <c r="AO25" s="93">
        <f>AM25-AN25</f>
        <v>0</v>
      </c>
      <c r="AP25" s="47"/>
      <c r="AQ25" s="113"/>
      <c r="AR25" s="113"/>
      <c r="AS25" s="93">
        <f>AQ25-AR25</f>
        <v>0</v>
      </c>
      <c r="AT25" s="47"/>
      <c r="AU25" s="113"/>
      <c r="AV25" s="113"/>
      <c r="AW25" s="93">
        <f>AU25-AV25</f>
        <v>0</v>
      </c>
    </row>
    <row r="26" spans="2:49">
      <c r="B26" s="115" t="s">
        <v>163</v>
      </c>
      <c r="C26" s="168"/>
      <c r="D26" s="56"/>
      <c r="E26" s="71"/>
      <c r="F26" s="45"/>
      <c r="G26" s="116"/>
      <c r="H26" s="34"/>
      <c r="I26" s="71"/>
      <c r="J26" s="41"/>
      <c r="K26" s="167">
        <v>3.5</v>
      </c>
      <c r="L26" s="34"/>
      <c r="M26" s="71"/>
      <c r="N26" s="41"/>
      <c r="O26" s="116">
        <v>3</v>
      </c>
      <c r="P26" s="34"/>
      <c r="Q26" s="71"/>
      <c r="R26" s="41"/>
      <c r="S26" s="116">
        <v>3.2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05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05"/>
      <c r="AS28" s="92"/>
      <c r="AT28" s="123"/>
      <c r="AU28" s="131"/>
      <c r="AV28" s="105"/>
      <c r="AW28" s="92"/>
    </row>
    <row r="29" spans="2:49">
      <c r="B29" s="109" t="s">
        <v>161</v>
      </c>
      <c r="C29" s="110"/>
      <c r="D29" s="110"/>
      <c r="E29" s="93">
        <f>C29-D29</f>
        <v>0</v>
      </c>
      <c r="F29" s="47"/>
      <c r="G29" s="110"/>
      <c r="H29" s="110"/>
      <c r="I29" s="93">
        <f>G29-H29</f>
        <v>0</v>
      </c>
      <c r="J29" s="47"/>
      <c r="K29" s="110">
        <v>301418</v>
      </c>
      <c r="L29" s="110"/>
      <c r="M29" s="93">
        <f>K29-L29</f>
        <v>301418</v>
      </c>
      <c r="N29" s="47"/>
      <c r="O29" s="110">
        <v>986782</v>
      </c>
      <c r="P29" s="110"/>
      <c r="Q29" s="93">
        <f>O29-P29</f>
        <v>986782</v>
      </c>
      <c r="R29" s="47"/>
      <c r="S29" s="110">
        <v>1039705</v>
      </c>
      <c r="T29" s="110"/>
      <c r="U29" s="93">
        <f>S29-T29</f>
        <v>1039705</v>
      </c>
      <c r="V29" s="47"/>
      <c r="W29" s="110"/>
      <c r="X29" s="110"/>
      <c r="Y29" s="93">
        <f>W29-X29</f>
        <v>0</v>
      </c>
      <c r="Z29" s="47"/>
      <c r="AA29" s="110"/>
      <c r="AB29" s="110"/>
      <c r="AC29" s="93">
        <f>AA29-AB29</f>
        <v>0</v>
      </c>
      <c r="AD29" s="47"/>
      <c r="AE29" s="110"/>
      <c r="AF29" s="110"/>
      <c r="AG29" s="93">
        <f>AE29-AF29</f>
        <v>0</v>
      </c>
      <c r="AH29" s="47"/>
      <c r="AI29" s="110"/>
      <c r="AJ29" s="110"/>
      <c r="AK29" s="93">
        <f>AI29-AJ29</f>
        <v>0</v>
      </c>
      <c r="AL29" s="47"/>
      <c r="AM29" s="110"/>
      <c r="AN29" s="110"/>
      <c r="AO29" s="93">
        <f>AM29-AN29</f>
        <v>0</v>
      </c>
      <c r="AP29" s="47"/>
      <c r="AQ29" s="110"/>
      <c r="AR29" s="110"/>
      <c r="AS29" s="93">
        <f>AQ29-AR29</f>
        <v>0</v>
      </c>
      <c r="AT29" s="47"/>
      <c r="AU29" s="113"/>
      <c r="AV29" s="110"/>
      <c r="AW29" s="93">
        <f>AU29-AV29</f>
        <v>0</v>
      </c>
    </row>
    <row r="30" spans="2:49">
      <c r="B30" s="112" t="s">
        <v>162</v>
      </c>
      <c r="C30" s="113"/>
      <c r="D30" s="47"/>
      <c r="E30" s="93">
        <f>C30-D30</f>
        <v>0</v>
      </c>
      <c r="F30" s="47"/>
      <c r="G30" s="113"/>
      <c r="H30" s="113"/>
      <c r="I30" s="93">
        <f>G30-H30</f>
        <v>0</v>
      </c>
      <c r="J30" s="47"/>
      <c r="K30" s="113">
        <v>390171</v>
      </c>
      <c r="L30" s="113"/>
      <c r="M30" s="93">
        <f>K30-L30</f>
        <v>390171</v>
      </c>
      <c r="N30" s="47"/>
      <c r="O30" s="113">
        <v>1230528</v>
      </c>
      <c r="P30" s="113"/>
      <c r="Q30" s="93">
        <f>O30-P30</f>
        <v>1230528</v>
      </c>
      <c r="R30" s="47"/>
      <c r="S30" s="113">
        <v>1280923</v>
      </c>
      <c r="T30" s="113"/>
      <c r="U30" s="93">
        <f>S30-T30</f>
        <v>1280923</v>
      </c>
      <c r="V30" s="47"/>
      <c r="W30" s="113"/>
      <c r="X30" s="113"/>
      <c r="Y30" s="93">
        <f>W30-X30</f>
        <v>0</v>
      </c>
      <c r="Z30" s="47"/>
      <c r="AA30" s="113"/>
      <c r="AB30" s="113"/>
      <c r="AC30" s="93">
        <f>AA30-AB30</f>
        <v>0</v>
      </c>
      <c r="AD30" s="47"/>
      <c r="AE30" s="113"/>
      <c r="AF30" s="113"/>
      <c r="AG30" s="93">
        <f>AE30-AF30</f>
        <v>0</v>
      </c>
      <c r="AH30" s="47"/>
      <c r="AI30" s="113"/>
      <c r="AJ30" s="113"/>
      <c r="AK30" s="93">
        <f>AI30-AJ30</f>
        <v>0</v>
      </c>
      <c r="AL30" s="47"/>
      <c r="AM30" s="113"/>
      <c r="AN30" s="113"/>
      <c r="AO30" s="93">
        <f>AM30-AN30</f>
        <v>0</v>
      </c>
      <c r="AP30" s="47"/>
      <c r="AQ30" s="113"/>
      <c r="AR30" s="113"/>
      <c r="AS30" s="93">
        <f>AQ30-AR30</f>
        <v>0</v>
      </c>
      <c r="AT30" s="47"/>
      <c r="AU30" s="113"/>
      <c r="AV30" s="113"/>
      <c r="AW30" s="93">
        <f>AU30-AV30</f>
        <v>0</v>
      </c>
    </row>
    <row r="31" spans="2:49">
      <c r="B31" s="115" t="s">
        <v>163</v>
      </c>
      <c r="C31" s="168"/>
      <c r="D31" s="56"/>
      <c r="E31" s="71"/>
      <c r="F31" s="45"/>
      <c r="G31" s="167"/>
      <c r="H31" s="58"/>
      <c r="I31" s="71"/>
      <c r="J31" s="46"/>
      <c r="K31" s="167">
        <v>1.34</v>
      </c>
      <c r="L31" s="34"/>
      <c r="M31" s="71"/>
      <c r="N31" s="41"/>
      <c r="O31" s="116">
        <v>1.1000000000000001</v>
      </c>
      <c r="P31" s="34"/>
      <c r="Q31" s="71"/>
      <c r="R31" s="41"/>
      <c r="S31" s="116">
        <v>1.0900000000000001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119"/>
      <c r="AW33" s="75"/>
    </row>
    <row r="34" spans="2:49">
      <c r="B34" s="109" t="s">
        <v>166</v>
      </c>
      <c r="C34" s="121"/>
      <c r="D34" s="33"/>
      <c r="E34" s="63"/>
      <c r="F34" s="123"/>
      <c r="G34" s="121"/>
      <c r="H34" s="33"/>
      <c r="I34" s="63"/>
      <c r="J34" s="123"/>
      <c r="K34" s="121">
        <v>0.68269999999999997</v>
      </c>
      <c r="L34" s="33"/>
      <c r="M34" s="63"/>
      <c r="N34" s="123"/>
      <c r="O34" s="121">
        <v>0.7823</v>
      </c>
      <c r="P34" s="33"/>
      <c r="Q34" s="63"/>
      <c r="R34" s="123"/>
      <c r="S34" s="121">
        <v>0.7883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33"/>
      <c r="AW34" s="69"/>
    </row>
    <row r="35" spans="2:49">
      <c r="B35" s="112" t="s">
        <v>167</v>
      </c>
      <c r="C35" s="123"/>
      <c r="D35" s="54"/>
      <c r="E35" s="69"/>
      <c r="F35" s="123"/>
      <c r="G35" s="123"/>
      <c r="H35" s="54"/>
      <c r="I35" s="69"/>
      <c r="J35" s="123"/>
      <c r="K35" s="124">
        <v>0.63349999999999995</v>
      </c>
      <c r="L35" s="54"/>
      <c r="M35" s="69"/>
      <c r="N35" s="123"/>
      <c r="O35" s="124">
        <v>0.62</v>
      </c>
      <c r="P35" s="54"/>
      <c r="Q35" s="69"/>
      <c r="R35" s="123"/>
      <c r="S35" s="124">
        <v>0.54579999999999995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/>
      <c r="D36" s="54"/>
      <c r="E36" s="69"/>
      <c r="F36" s="123"/>
      <c r="G36" s="124"/>
      <c r="H36" s="54"/>
      <c r="I36" s="69"/>
      <c r="J36" s="123"/>
      <c r="K36" s="124">
        <f>1-K35</f>
        <v>0.36650000000000005</v>
      </c>
      <c r="L36" s="54"/>
      <c r="M36" s="69"/>
      <c r="N36" s="123"/>
      <c r="O36" s="124">
        <f>1-O35</f>
        <v>0.38</v>
      </c>
      <c r="P36" s="54"/>
      <c r="Q36" s="69"/>
      <c r="R36" s="123"/>
      <c r="S36" s="124">
        <f>1-S35</f>
        <v>0.45420000000000005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/>
      <c r="D37" s="54"/>
      <c r="E37" s="69"/>
      <c r="F37" s="123"/>
      <c r="G37" s="124"/>
      <c r="H37" s="54"/>
      <c r="I37" s="69"/>
      <c r="J37" s="123"/>
      <c r="K37" s="124">
        <v>3.3000000000000002E-2</v>
      </c>
      <c r="L37" s="54"/>
      <c r="M37" s="69"/>
      <c r="N37" s="123"/>
      <c r="O37" s="124">
        <f>76402/O19</f>
        <v>3.7859357160979323E-2</v>
      </c>
      <c r="P37" s="54"/>
      <c r="Q37" s="69"/>
      <c r="R37" s="123"/>
      <c r="S37" s="124">
        <v>0.06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/>
      <c r="D38" s="54"/>
      <c r="E38" s="69"/>
      <c r="F38" s="123"/>
      <c r="G38" s="124"/>
      <c r="H38" s="54"/>
      <c r="I38" s="69"/>
      <c r="J38" s="123"/>
      <c r="K38" s="124">
        <f>1-K39</f>
        <v>0.78</v>
      </c>
      <c r="L38" s="54"/>
      <c r="M38" s="69"/>
      <c r="N38" s="123"/>
      <c r="O38" s="124">
        <f>1-O39</f>
        <v>0.83296779858556391</v>
      </c>
      <c r="P38" s="54"/>
      <c r="Q38" s="69"/>
      <c r="R38" s="123"/>
      <c r="S38" s="124">
        <f>1-S39</f>
        <v>0.83499999999999996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/>
      <c r="D39" s="32"/>
      <c r="E39" s="68"/>
      <c r="F39" s="123"/>
      <c r="G39" s="126"/>
      <c r="H39" s="32"/>
      <c r="I39" s="68"/>
      <c r="J39" s="123"/>
      <c r="K39" s="126">
        <v>0.22</v>
      </c>
      <c r="L39" s="32"/>
      <c r="M39" s="68"/>
      <c r="N39" s="123"/>
      <c r="O39" s="126">
        <f>337079/O19</f>
        <v>0.16703220141443612</v>
      </c>
      <c r="P39" s="32"/>
      <c r="Q39" s="68"/>
      <c r="R39" s="123"/>
      <c r="S39" s="126">
        <v>0.16500000000000001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119"/>
      <c r="AW41" s="75"/>
    </row>
    <row r="42" spans="2:49">
      <c r="B42" s="128" t="s">
        <v>194</v>
      </c>
      <c r="C42" s="121"/>
      <c r="D42" s="33"/>
      <c r="E42" s="63"/>
      <c r="F42" s="123"/>
      <c r="G42" s="121"/>
      <c r="H42" s="33"/>
      <c r="I42" s="63"/>
      <c r="J42" s="123"/>
      <c r="K42" s="121">
        <v>0.31459999999999999</v>
      </c>
      <c r="L42" s="33"/>
      <c r="M42" s="63"/>
      <c r="N42" s="123"/>
      <c r="O42" s="121">
        <v>0.16850000000000001</v>
      </c>
      <c r="P42" s="33"/>
      <c r="Q42" s="63"/>
      <c r="R42" s="123"/>
      <c r="S42" s="121">
        <v>0.13139999999999999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33"/>
      <c r="AW42" s="69"/>
    </row>
    <row r="43" spans="2:49">
      <c r="B43" s="147" t="s">
        <v>47</v>
      </c>
      <c r="C43" s="165"/>
      <c r="D43" s="54"/>
      <c r="E43" s="69"/>
      <c r="F43" s="123"/>
      <c r="G43" s="124"/>
      <c r="H43" s="54"/>
      <c r="I43" s="69"/>
      <c r="J43" s="123"/>
      <c r="K43" s="124">
        <v>1.2999999999999999E-2</v>
      </c>
      <c r="L43" s="54"/>
      <c r="M43" s="69"/>
      <c r="N43" s="123"/>
      <c r="O43" s="124">
        <v>1.4E-2</v>
      </c>
      <c r="P43" s="54"/>
      <c r="Q43" s="69"/>
      <c r="R43" s="123"/>
      <c r="S43" s="124">
        <v>0.01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/>
      <c r="D44" s="54"/>
      <c r="E44" s="69"/>
      <c r="F44" s="123"/>
      <c r="G44" s="124"/>
      <c r="H44" s="54"/>
      <c r="I44" s="69"/>
      <c r="J44" s="123"/>
      <c r="K44" s="124">
        <v>0.06</v>
      </c>
      <c r="L44" s="54"/>
      <c r="M44" s="69"/>
      <c r="N44" s="123"/>
      <c r="O44" s="124">
        <v>6.5000000000000002E-2</v>
      </c>
      <c r="P44" s="54"/>
      <c r="Q44" s="69"/>
      <c r="R44" s="123"/>
      <c r="S44" s="124">
        <v>0.08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/>
      <c r="D45" s="54"/>
      <c r="E45" s="69"/>
      <c r="F45" s="123"/>
      <c r="G45" s="124"/>
      <c r="H45" s="54"/>
      <c r="I45" s="69"/>
      <c r="J45" s="123"/>
      <c r="K45" s="124">
        <v>0.53</v>
      </c>
      <c r="L45" s="54"/>
      <c r="M45" s="69"/>
      <c r="N45" s="123"/>
      <c r="O45" s="124">
        <v>0.60499999999999998</v>
      </c>
      <c r="P45" s="54"/>
      <c r="Q45" s="69"/>
      <c r="R45" s="123"/>
      <c r="S45" s="124">
        <v>0.65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/>
      <c r="D46" s="54"/>
      <c r="E46" s="69"/>
      <c r="F46" s="123"/>
      <c r="G46" s="124"/>
      <c r="H46" s="54"/>
      <c r="I46" s="69"/>
      <c r="J46" s="123"/>
      <c r="K46" s="124">
        <v>0</v>
      </c>
      <c r="L46" s="54"/>
      <c r="M46" s="69"/>
      <c r="N46" s="123"/>
      <c r="O46" s="124">
        <v>4.1000000000000002E-2</v>
      </c>
      <c r="P46" s="54"/>
      <c r="Q46" s="69"/>
      <c r="R46" s="123"/>
      <c r="S46" s="124">
        <v>7.0000000000000007E-2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/>
      <c r="D47" s="54"/>
      <c r="E47" s="69"/>
      <c r="F47" s="123"/>
      <c r="G47" s="124"/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/>
      <c r="D48" s="54"/>
      <c r="E48" s="69"/>
      <c r="F48" s="123"/>
      <c r="G48" s="124"/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/>
      <c r="D49" s="54"/>
      <c r="E49" s="69"/>
      <c r="F49" s="123"/>
      <c r="G49" s="124"/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/>
      <c r="D50" s="54"/>
      <c r="E50" s="69"/>
      <c r="F50" s="123"/>
      <c r="G50" s="124"/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/>
      <c r="D51" s="32"/>
      <c r="E51" s="68"/>
      <c r="F51" s="123"/>
      <c r="G51" s="126"/>
      <c r="H51" s="32"/>
      <c r="I51" s="68"/>
      <c r="J51" s="123"/>
      <c r="K51" s="126">
        <f>1-SUM(K42:K50)</f>
        <v>8.2400000000000029E-2</v>
      </c>
      <c r="L51" s="32"/>
      <c r="M51" s="68"/>
      <c r="N51" s="123"/>
      <c r="O51" s="126">
        <f>1-SUM(O42:O50)</f>
        <v>0.10649999999999993</v>
      </c>
      <c r="P51" s="32"/>
      <c r="Q51" s="68"/>
      <c r="R51" s="123"/>
      <c r="S51" s="126">
        <f>1-SUM(S42:S50)</f>
        <v>5.8599999999999985E-2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130"/>
      <c r="AW53" s="67"/>
    </row>
    <row r="54" spans="2:49">
      <c r="B54" s="109" t="s">
        <v>29</v>
      </c>
      <c r="C54" s="148"/>
      <c r="D54" s="110"/>
      <c r="E54" s="93">
        <f>C54-D54</f>
        <v>0</v>
      </c>
      <c r="F54" s="47"/>
      <c r="G54" s="110"/>
      <c r="H54" s="110"/>
      <c r="I54" s="93">
        <f>G54-H54</f>
        <v>0</v>
      </c>
      <c r="J54" s="47"/>
      <c r="K54" s="110">
        <v>0</v>
      </c>
      <c r="L54" s="110"/>
      <c r="M54" s="93">
        <f>K54-L54</f>
        <v>0</v>
      </c>
      <c r="N54" s="47"/>
      <c r="O54" s="110">
        <v>0</v>
      </c>
      <c r="P54" s="110"/>
      <c r="Q54" s="93">
        <f>O54-P54</f>
        <v>0</v>
      </c>
      <c r="R54" s="47"/>
      <c r="S54" s="110">
        <v>0</v>
      </c>
      <c r="T54" s="110"/>
      <c r="U54" s="93">
        <f>S54-T54</f>
        <v>0</v>
      </c>
      <c r="V54" s="47"/>
      <c r="W54" s="110"/>
      <c r="X54" s="110"/>
      <c r="Y54" s="93">
        <f>W54-X54</f>
        <v>0</v>
      </c>
      <c r="Z54" s="47"/>
      <c r="AA54" s="110"/>
      <c r="AB54" s="110"/>
      <c r="AC54" s="93">
        <f>AA54-AB54</f>
        <v>0</v>
      </c>
      <c r="AD54" s="47"/>
      <c r="AE54" s="110"/>
      <c r="AF54" s="110"/>
      <c r="AG54" s="93">
        <f>AE54-AF54</f>
        <v>0</v>
      </c>
      <c r="AH54" s="47"/>
      <c r="AI54" s="110"/>
      <c r="AJ54" s="110"/>
      <c r="AK54" s="93">
        <f>AI54-AJ54</f>
        <v>0</v>
      </c>
      <c r="AL54" s="47"/>
      <c r="AM54" s="110"/>
      <c r="AN54" s="110"/>
      <c r="AO54" s="93">
        <f>AM54-AN54</f>
        <v>0</v>
      </c>
      <c r="AP54" s="47"/>
      <c r="AQ54" s="110"/>
      <c r="AR54" s="110"/>
      <c r="AS54" s="93">
        <f>AQ54-AR54</f>
        <v>0</v>
      </c>
      <c r="AT54" s="47"/>
      <c r="AU54" s="113"/>
      <c r="AV54" s="110"/>
      <c r="AW54" s="93">
        <f>AU54-AV54</f>
        <v>0</v>
      </c>
    </row>
    <row r="55" spans="2:49">
      <c r="B55" s="112" t="s">
        <v>30</v>
      </c>
      <c r="C55" s="113"/>
      <c r="D55" s="57"/>
      <c r="E55" s="53"/>
      <c r="F55" s="47"/>
      <c r="G55" s="113"/>
      <c r="H55" s="57"/>
      <c r="I55" s="53"/>
      <c r="J55" s="47"/>
      <c r="K55" s="113">
        <v>0</v>
      </c>
      <c r="L55" s="57"/>
      <c r="M55" s="53"/>
      <c r="N55" s="47"/>
      <c r="O55" s="113">
        <v>0</v>
      </c>
      <c r="P55" s="57"/>
      <c r="Q55" s="53"/>
      <c r="R55" s="47"/>
      <c r="S55" s="113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/>
      <c r="D56" s="57"/>
      <c r="E56" s="53"/>
      <c r="F56" s="47"/>
      <c r="G56" s="113"/>
      <c r="H56" s="57"/>
      <c r="I56" s="53"/>
      <c r="J56" s="47"/>
      <c r="K56" s="113">
        <v>0</v>
      </c>
      <c r="L56" s="57"/>
      <c r="M56" s="53"/>
      <c r="N56" s="47"/>
      <c r="O56" s="113">
        <v>0</v>
      </c>
      <c r="P56" s="57"/>
      <c r="Q56" s="53"/>
      <c r="R56" s="47"/>
      <c r="S56" s="113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/>
      <c r="D57" s="53"/>
      <c r="E57" s="53"/>
      <c r="F57" s="43"/>
      <c r="G57" s="93"/>
      <c r="H57" s="53"/>
      <c r="I57" s="53"/>
      <c r="J57" s="43"/>
      <c r="K57" s="113">
        <v>0</v>
      </c>
      <c r="L57" s="57"/>
      <c r="M57" s="53"/>
      <c r="N57" s="47"/>
      <c r="O57" s="113">
        <v>0</v>
      </c>
      <c r="P57" s="57"/>
      <c r="Q57" s="53"/>
      <c r="R57" s="47"/>
      <c r="S57" s="113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/>
      <c r="D58" s="32"/>
      <c r="E58" s="68"/>
      <c r="F58" s="123"/>
      <c r="G58" s="126"/>
      <c r="H58" s="32"/>
      <c r="I58" s="68"/>
      <c r="J58" s="123"/>
      <c r="K58" s="126">
        <v>0</v>
      </c>
      <c r="L58" s="32"/>
      <c r="M58" s="68"/>
      <c r="N58" s="123"/>
      <c r="O58" s="126">
        <v>0</v>
      </c>
      <c r="P58" s="32"/>
      <c r="Q58" s="68"/>
      <c r="R58" s="123"/>
      <c r="S58" s="126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34"/>
      <c r="D59" s="134"/>
      <c r="E59" s="66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134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135"/>
      <c r="AW60" s="65"/>
    </row>
    <row r="61" spans="2:49">
      <c r="B61" s="109" t="s">
        <v>45</v>
      </c>
      <c r="C61" s="110"/>
      <c r="D61" s="36"/>
      <c r="E61" s="61"/>
      <c r="F61" s="47"/>
      <c r="G61" s="110"/>
      <c r="H61" s="36"/>
      <c r="I61" s="61"/>
      <c r="J61" s="47"/>
      <c r="K61" s="110">
        <v>35400</v>
      </c>
      <c r="L61" s="36"/>
      <c r="M61" s="61"/>
      <c r="N61" s="47"/>
      <c r="O61" s="110">
        <v>41009</v>
      </c>
      <c r="P61" s="36"/>
      <c r="Q61" s="61"/>
      <c r="R61" s="47"/>
      <c r="S61" s="110">
        <v>37705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36"/>
      <c r="AW61" s="53"/>
    </row>
    <row r="62" spans="2:49">
      <c r="B62" s="112" t="s">
        <v>29</v>
      </c>
      <c r="C62" s="113"/>
      <c r="D62" s="57"/>
      <c r="E62" s="53"/>
      <c r="F62" s="47"/>
      <c r="G62" s="113"/>
      <c r="H62" s="57"/>
      <c r="I62" s="53"/>
      <c r="J62" s="47"/>
      <c r="K62" s="113">
        <v>4247717</v>
      </c>
      <c r="L62" s="57"/>
      <c r="M62" s="53"/>
      <c r="N62" s="47"/>
      <c r="O62" s="113">
        <v>6034826</v>
      </c>
      <c r="P62" s="57"/>
      <c r="Q62" s="53"/>
      <c r="R62" s="47"/>
      <c r="S62" s="113">
        <v>6552204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/>
      <c r="D63" s="57"/>
      <c r="E63" s="53"/>
      <c r="F63" s="47"/>
      <c r="G63" s="113"/>
      <c r="H63" s="57"/>
      <c r="I63" s="53"/>
      <c r="J63" s="47"/>
      <c r="K63" s="113">
        <v>360071</v>
      </c>
      <c r="L63" s="57"/>
      <c r="M63" s="53"/>
      <c r="N63" s="47"/>
      <c r="O63" s="113">
        <v>409922</v>
      </c>
      <c r="P63" s="57"/>
      <c r="Q63" s="53"/>
      <c r="R63" s="47"/>
      <c r="S63" s="113">
        <v>417427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/>
      <c r="D64" s="57"/>
      <c r="E64" s="53"/>
      <c r="F64" s="47"/>
      <c r="G64" s="113"/>
      <c r="H64" s="57"/>
      <c r="I64" s="53"/>
      <c r="J64" s="47"/>
      <c r="K64" s="113">
        <f>26687736/60</f>
        <v>444795.6</v>
      </c>
      <c r="L64" s="57"/>
      <c r="M64" s="53"/>
      <c r="N64" s="47"/>
      <c r="O64" s="113">
        <f>41315643/60</f>
        <v>688594.05</v>
      </c>
      <c r="P64" s="57"/>
      <c r="Q64" s="53"/>
      <c r="R64" s="47"/>
      <c r="S64" s="113">
        <f>45332065/60</f>
        <v>755534.41666666663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/>
      <c r="D65" s="24"/>
      <c r="E65" s="24"/>
      <c r="F65" s="43"/>
      <c r="G65" s="92"/>
      <c r="H65" s="24"/>
      <c r="I65" s="24"/>
      <c r="J65" s="43"/>
      <c r="K65" s="131">
        <f>(K63/K62)*K64</f>
        <v>37704.488431691658</v>
      </c>
      <c r="L65" s="35"/>
      <c r="M65" s="24"/>
      <c r="N65" s="47"/>
      <c r="O65" s="131">
        <f>(O63/O62)*O64</f>
        <v>46773.486122731621</v>
      </c>
      <c r="P65" s="35"/>
      <c r="Q65" s="24"/>
      <c r="R65" s="47"/>
      <c r="S65" s="131">
        <f>(S63/S62)*S64</f>
        <v>48133.492935494171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136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138"/>
      <c r="AW67" s="65"/>
    </row>
    <row r="68" spans="2:49">
      <c r="B68" s="109" t="s">
        <v>35</v>
      </c>
      <c r="C68" s="110"/>
      <c r="D68" s="36"/>
      <c r="E68" s="61"/>
      <c r="F68" s="47"/>
      <c r="G68" s="110"/>
      <c r="H68" s="36"/>
      <c r="I68" s="61"/>
      <c r="J68" s="47"/>
      <c r="K68" s="110">
        <v>53420</v>
      </c>
      <c r="L68" s="36"/>
      <c r="M68" s="61"/>
      <c r="N68" s="47"/>
      <c r="O68" s="110">
        <v>157408</v>
      </c>
      <c r="P68" s="36"/>
      <c r="Q68" s="61"/>
      <c r="R68" s="47"/>
      <c r="S68" s="110">
        <v>304252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36"/>
      <c r="AW68" s="53"/>
    </row>
    <row r="69" spans="2:49">
      <c r="B69" s="115" t="s">
        <v>36</v>
      </c>
      <c r="C69" s="131"/>
      <c r="D69" s="35"/>
      <c r="E69" s="24"/>
      <c r="F69" s="47"/>
      <c r="G69" s="131"/>
      <c r="H69" s="35"/>
      <c r="I69" s="24"/>
      <c r="J69" s="47"/>
      <c r="K69" s="131">
        <v>45300</v>
      </c>
      <c r="L69" s="35"/>
      <c r="M69" s="24"/>
      <c r="N69" s="47"/>
      <c r="O69" s="131">
        <v>63325</v>
      </c>
      <c r="P69" s="35"/>
      <c r="Q69" s="24"/>
      <c r="R69" s="47"/>
      <c r="S69" s="131">
        <v>91261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139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33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21"/>
      <c r="AV77" s="140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41"/>
      <c r="T78" s="31"/>
      <c r="U78" s="61"/>
      <c r="V78" s="40"/>
      <c r="W78" s="141"/>
      <c r="X78" s="31"/>
      <c r="Y78" s="61"/>
      <c r="Z78" s="40"/>
      <c r="AA78" s="141"/>
      <c r="AB78" s="31"/>
      <c r="AC78" s="61"/>
      <c r="AD78" s="40"/>
      <c r="AE78" s="141"/>
      <c r="AF78" s="31"/>
      <c r="AG78" s="61"/>
      <c r="AH78" s="40"/>
      <c r="AI78" s="141"/>
      <c r="AJ78" s="31"/>
      <c r="AK78" s="61"/>
      <c r="AL78" s="40"/>
      <c r="AM78" s="141"/>
      <c r="AN78" s="31"/>
      <c r="AO78" s="61"/>
      <c r="AP78" s="40"/>
      <c r="AQ78" s="141"/>
      <c r="AR78" s="31"/>
      <c r="AS78" s="61"/>
      <c r="AT78" s="40"/>
      <c r="AU78" s="143"/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43"/>
      <c r="T79" s="52"/>
      <c r="U79" s="53"/>
      <c r="V79" s="40"/>
      <c r="W79" s="143"/>
      <c r="X79" s="52"/>
      <c r="Y79" s="53"/>
      <c r="Z79" s="40"/>
      <c r="AA79" s="143"/>
      <c r="AB79" s="52"/>
      <c r="AC79" s="53"/>
      <c r="AD79" s="40"/>
      <c r="AE79" s="143"/>
      <c r="AF79" s="52"/>
      <c r="AG79" s="53"/>
      <c r="AH79" s="40"/>
      <c r="AI79" s="143"/>
      <c r="AJ79" s="52"/>
      <c r="AK79" s="53"/>
      <c r="AL79" s="40"/>
      <c r="AM79" s="143"/>
      <c r="AN79" s="52"/>
      <c r="AO79" s="53"/>
      <c r="AP79" s="40"/>
      <c r="AQ79" s="143"/>
      <c r="AR79" s="52"/>
      <c r="AS79" s="53"/>
      <c r="AT79" s="40"/>
      <c r="AU79" s="143"/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45"/>
      <c r="T80" s="30"/>
      <c r="U80" s="24"/>
      <c r="V80" s="40"/>
      <c r="W80" s="145"/>
      <c r="X80" s="30"/>
      <c r="Y80" s="24"/>
      <c r="Z80" s="40"/>
      <c r="AA80" s="145"/>
      <c r="AB80" s="30"/>
      <c r="AC80" s="24"/>
      <c r="AD80" s="40"/>
      <c r="AE80" s="145"/>
      <c r="AF80" s="30"/>
      <c r="AG80" s="24"/>
      <c r="AH80" s="40"/>
      <c r="AI80" s="145"/>
      <c r="AJ80" s="30"/>
      <c r="AK80" s="24"/>
      <c r="AL80" s="40"/>
      <c r="AM80" s="145"/>
      <c r="AN80" s="30"/>
      <c r="AO80" s="24"/>
      <c r="AP80" s="40"/>
      <c r="AQ80" s="145"/>
      <c r="AR80" s="30"/>
      <c r="AS80" s="24"/>
      <c r="AT80" s="40"/>
      <c r="AU80" s="145"/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1"/>
  <sheetViews>
    <sheetView workbookViewId="0">
      <pane xSplit="2" ySplit="5" topLeftCell="J6" activePane="bottomRight" state="frozenSplit"/>
      <selection activeCell="C25" sqref="C25"/>
      <selection pane="topRight" activeCell="C25" sqref="C25"/>
      <selection pane="bottomLeft" activeCell="C25" sqref="C25"/>
      <selection pane="bottomRight" activeCell="S18" sqref="S18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22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1.2034212348409612</v>
      </c>
      <c r="D8" s="177">
        <f>IF(ISERROR(D19/D18),"NM",D19/D18)</f>
        <v>1.046727319586837</v>
      </c>
      <c r="E8" s="177">
        <f>IF(ISERROR(C8-D8),"NM",C8-D8)</f>
        <v>0.15669391525412424</v>
      </c>
      <c r="F8" s="50"/>
      <c r="G8" s="177">
        <f>IF(ISERROR(G19/G18),"NM",G19/G18)</f>
        <v>1.2208233309642842</v>
      </c>
      <c r="H8" s="177">
        <f>IF(ISERROR(H19/H18),"NM",H19/H18)</f>
        <v>1.0455689880719787</v>
      </c>
      <c r="I8" s="177">
        <f>IF(ISERROR(G8-H8),"NM",G8-H8)</f>
        <v>0.17525434289230546</v>
      </c>
      <c r="J8" s="50"/>
      <c r="K8" s="177">
        <f>IF(ISERROR(K19/K18),"NM",K19/K18)</f>
        <v>1.2689139882825886</v>
      </c>
      <c r="L8" s="177">
        <f>IF(ISERROR(L19/L18),"NM",L19/L18)</f>
        <v>1.0427341496646632</v>
      </c>
      <c r="M8" s="177">
        <f>IF(ISERROR(K8-L8),"NM",K8-L8)</f>
        <v>0.22617983861792545</v>
      </c>
      <c r="N8" s="50"/>
      <c r="O8" s="177">
        <f>IF(ISERROR(O19/O18),"NM",O19/O18)</f>
        <v>1.2585703880181474</v>
      </c>
      <c r="P8" s="177">
        <f>IF(ISERROR(P19/P18),"NM",P19/P18)</f>
        <v>1.0387949013332107</v>
      </c>
      <c r="Q8" s="177">
        <f>IF(ISERROR(O8-P8),"NM",O8-P8)</f>
        <v>0.21977548668493663</v>
      </c>
      <c r="R8" s="50"/>
      <c r="S8" s="177">
        <f>IF(ISERROR(S19/S18),"NM",S19/S18)</f>
        <v>1.2311930586336934</v>
      </c>
      <c r="T8" s="177">
        <f>IF(ISERROR(T19/T18),"NM",T19/T18)</f>
        <v>1.0360900221493383</v>
      </c>
      <c r="U8" s="177">
        <f>IF(ISERROR(S8-T8),"NM",S8-T8)</f>
        <v>0.19510303648435512</v>
      </c>
      <c r="V8" s="50"/>
      <c r="W8" s="177" t="str">
        <f>IF(ISERROR(W19/W18),"NM",W19/W18)</f>
        <v>NM</v>
      </c>
      <c r="X8" s="177">
        <f>IF(ISERROR(X19/X18),"NM",X19/X18)</f>
        <v>1.0323553427376502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1.0297469429218193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1.0261838990059788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1.0236429213865808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1.0202211694476444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1.0177222190050725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1.0144138081160263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1.39269156786027</v>
      </c>
      <c r="D9" s="177">
        <f>IF(ISERROR(D20/D19),"NM",D20/D19)</f>
        <v>1.9192433175624749E-2</v>
      </c>
      <c r="E9" s="177">
        <f>IF(ISERROR(C9-D9),"NM",C9-D9)</f>
        <v>1.3734991346846452</v>
      </c>
      <c r="F9" s="50"/>
      <c r="G9" s="177">
        <f>IF(ISERROR(G20/G19),"NM",G20/G19)</f>
        <v>1.4126135118624503</v>
      </c>
      <c r="H9" s="177">
        <f>IF(ISERROR(H20/H19),"NM",H20/H19)</f>
        <v>2.5208240906273868E-2</v>
      </c>
      <c r="I9" s="177">
        <f>IF(ISERROR(G9-H9),"NM",G9-H9)</f>
        <v>1.3874052709561764</v>
      </c>
      <c r="J9" s="50"/>
      <c r="K9" s="177">
        <f>IF(ISERROR(K20/K19),"NM",K20/K19)</f>
        <v>1.3565691396497974</v>
      </c>
      <c r="L9" s="177">
        <f>IF(ISERROR(L20/L19),"NM",L20/L19)</f>
        <v>3.026692211173429E-2</v>
      </c>
      <c r="M9" s="177">
        <f>IF(ISERROR(K9-L9),"NM",K9-L9)</f>
        <v>1.3263022175380632</v>
      </c>
      <c r="N9" s="50"/>
      <c r="O9" s="177">
        <f>IF(ISERROR(O20/O19),"NM",O20/O19)</f>
        <v>1.3644631213558234</v>
      </c>
      <c r="P9" s="177">
        <f>IF(ISERROR(P20/P19),"NM",P20/P19)</f>
        <v>0.28529280694469544</v>
      </c>
      <c r="Q9" s="177">
        <f>IF(ISERROR(O9-P9),"NM",O9-P9)</f>
        <v>1.079170314411128</v>
      </c>
      <c r="R9" s="50"/>
      <c r="S9" s="177">
        <f>IF(ISERROR(S20/S19),"NM",S20/S19)</f>
        <v>1.3651675699753176</v>
      </c>
      <c r="T9" s="177">
        <f>IF(ISERROR(T20/T19),"NM",T20/T19)</f>
        <v>0</v>
      </c>
      <c r="U9" s="177">
        <f>IF(ISERROR(S9-T9),"NM",S9-T9)</f>
        <v>1.3651675699753176</v>
      </c>
      <c r="V9" s="50"/>
      <c r="W9" s="177" t="str">
        <f>IF(ISERROR(W20/W19),"NM",W20/W19)</f>
        <v>NM</v>
      </c>
      <c r="X9" s="177">
        <f>IF(ISERROR(X20/X19),"NM",X20/X19)</f>
        <v>0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0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0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0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0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0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0</v>
      </c>
      <c r="AW9" s="177" t="str">
        <f>IF(ISERROR(AU9-AV9),"NM",AU9-AV9)</f>
        <v>NM</v>
      </c>
    </row>
    <row r="10" spans="2:49">
      <c r="B10" s="98" t="s">
        <v>5</v>
      </c>
      <c r="C10" s="177">
        <f>IF(ISERROR((C56+C64)/C19),"NM",(C56+C64)/C19)</f>
        <v>1.1417890303940042E-2</v>
      </c>
      <c r="D10" s="37"/>
      <c r="E10" s="37"/>
      <c r="F10" s="50"/>
      <c r="G10" s="177">
        <f>IF(ISERROR((G56+G64)/G19),"NM",(G56+G64)/G19)</f>
        <v>8.2759358520085331E-3</v>
      </c>
      <c r="H10" s="37"/>
      <c r="I10" s="37"/>
      <c r="J10" s="50"/>
      <c r="K10" s="177">
        <f>IF(ISERROR((K56+K64)/K19),"NM",(K56+K64)/K19)</f>
        <v>1.4927361833421467E-2</v>
      </c>
      <c r="L10" s="37"/>
      <c r="M10" s="37"/>
      <c r="N10" s="50"/>
      <c r="O10" s="177">
        <f>IF(ISERROR((O56+O64)/O19),"NM",(O56+O64)/O19)</f>
        <v>1.3993889038329261E-2</v>
      </c>
      <c r="P10" s="37"/>
      <c r="Q10" s="37"/>
      <c r="R10" s="50"/>
      <c r="S10" s="177">
        <f>IF(ISERROR((S56+S64)/S19),"NM",(S56+S64)/S19)</f>
        <v>2.0841900884726254E-2</v>
      </c>
      <c r="T10" s="37"/>
      <c r="U10" s="37"/>
      <c r="V10" s="50"/>
      <c r="W10" s="177" t="str">
        <f>IF(ISERROR((W56+W64)/W19),"NM",(W56+W64)/W19)</f>
        <v>NM</v>
      </c>
      <c r="X10" s="37"/>
      <c r="Y10" s="37"/>
      <c r="Z10" s="50"/>
      <c r="AA10" s="177" t="str">
        <f>IF(ISERROR((AA56+AA64)/AA19),"NM",(AA56+AA64)/AA19)</f>
        <v>NM</v>
      </c>
      <c r="AB10" s="37"/>
      <c r="AC10" s="37"/>
      <c r="AD10" s="50"/>
      <c r="AE10" s="177" t="str">
        <f>IF(ISERROR((AE56+AE64)/AE19),"NM",(AE56+AE64)/AE19)</f>
        <v>NM</v>
      </c>
      <c r="AF10" s="37"/>
      <c r="AG10" s="37"/>
      <c r="AH10" s="50"/>
      <c r="AI10" s="177" t="str">
        <f>IF(ISERROR((AI56+AI64)/AI19),"NM",(AI56+AI64)/AI19)</f>
        <v>NM</v>
      </c>
      <c r="AJ10" s="37"/>
      <c r="AK10" s="37"/>
      <c r="AL10" s="50"/>
      <c r="AM10" s="177" t="str">
        <f>IF(ISERROR((AM56+AM64)/AM19),"NM",(AM56+AM64)/AM19)</f>
        <v>NM</v>
      </c>
      <c r="AN10" s="37"/>
      <c r="AO10" s="37"/>
      <c r="AP10" s="50"/>
      <c r="AQ10" s="177" t="str">
        <f>IF(ISERROR((AQ56+AQ64)/AQ19),"NM",(AQ56+AQ64)/AQ19)</f>
        <v>NM</v>
      </c>
      <c r="AR10" s="37"/>
      <c r="AS10" s="37"/>
      <c r="AT10" s="50"/>
      <c r="AU10" s="177" t="str">
        <f>IF(ISERROR((AU56+AU64)/AU19),"NM",(AU56+AU64)/AU19)</f>
        <v>NM</v>
      </c>
      <c r="AV10" s="37"/>
      <c r="AW10" s="37"/>
    </row>
    <row r="11" spans="2:49">
      <c r="B11" s="98" t="s">
        <v>6</v>
      </c>
      <c r="C11" s="177">
        <f>IF(ISERROR(((C58+C66)/C19)*60),"NM",((C58+C66)/C19)*60)</f>
        <v>8.2028659310420332E-2</v>
      </c>
      <c r="D11" s="37"/>
      <c r="E11" s="37"/>
      <c r="F11" s="50"/>
      <c r="G11" s="177">
        <f>IF(ISERROR(((G58+G66)/G19)*60),"NM",((G58+G66)/G19)*60)</f>
        <v>6.0338885052248221E-2</v>
      </c>
      <c r="H11" s="37"/>
      <c r="I11" s="37"/>
      <c r="J11" s="50"/>
      <c r="K11" s="177">
        <f>IF(ISERROR(((K58+K66)/K19)*60),"NM",((K58+K66)/K19)*60)</f>
        <v>0.11597371305824844</v>
      </c>
      <c r="L11" s="37"/>
      <c r="M11" s="37"/>
      <c r="N11" s="50"/>
      <c r="O11" s="177">
        <f>IF(ISERROR(((O58+O66)/O19)*60),"NM",((O58+O66)/O19)*60)</f>
        <v>0.10618543863827291</v>
      </c>
      <c r="P11" s="37"/>
      <c r="Q11" s="37"/>
      <c r="R11" s="50"/>
      <c r="S11" s="177">
        <f>IF(ISERROR(((S58+S66)/S19)*60),"NM",((S58+S66)/S19)*60)</f>
        <v>0.13905184582276015</v>
      </c>
      <c r="T11" s="37"/>
      <c r="U11" s="37"/>
      <c r="V11" s="50"/>
      <c r="W11" s="177" t="str">
        <f>IF(ISERROR(((W58+W66)/W19)*60),"NM",((W58+W66)/W19)*60)</f>
        <v>NM</v>
      </c>
      <c r="X11" s="37"/>
      <c r="Y11" s="37"/>
      <c r="Z11" s="50"/>
      <c r="AA11" s="177" t="str">
        <f>IF(ISERROR(((AA58+AA66)/AA19)*60),"NM",((AA58+AA66)/AA19)*60)</f>
        <v>NM</v>
      </c>
      <c r="AB11" s="37"/>
      <c r="AC11" s="37"/>
      <c r="AD11" s="50"/>
      <c r="AE11" s="177" t="str">
        <f>IF(ISERROR(((AE58+AE66)/AE19)*60),"NM",((AE58+AE66)/AE19)*60)</f>
        <v>NM</v>
      </c>
      <c r="AF11" s="37"/>
      <c r="AG11" s="37"/>
      <c r="AH11" s="50"/>
      <c r="AI11" s="177" t="str">
        <f>IF(ISERROR(((AI58+AI66)/AI19)*60),"NM",((AI58+AI66)/AI19)*60)</f>
        <v>NM</v>
      </c>
      <c r="AJ11" s="37"/>
      <c r="AK11" s="37"/>
      <c r="AL11" s="50"/>
      <c r="AM11" s="177" t="str">
        <f>IF(ISERROR(((AM58+AM66)/AM19)*60),"NM",((AM58+AM66)/AM19)*60)</f>
        <v>NM</v>
      </c>
      <c r="AN11" s="37"/>
      <c r="AO11" s="37"/>
      <c r="AP11" s="50"/>
      <c r="AQ11" s="177" t="str">
        <f>IF(ISERROR(((AQ58+AQ66)/AQ19)*60),"NM",((AQ58+AQ66)/AQ19)*60)</f>
        <v>NM</v>
      </c>
      <c r="AR11" s="37"/>
      <c r="AS11" s="37"/>
      <c r="AT11" s="50"/>
      <c r="AU11" s="177" t="str">
        <f>IF(ISERROR(((AU58+AU66)/AU19)*60),"NM",((AU58+AU66)/AU19)*60)</f>
        <v>NM</v>
      </c>
      <c r="AV11" s="37"/>
      <c r="AW11" s="37"/>
    </row>
    <row r="12" spans="2:49">
      <c r="B12" s="98" t="s">
        <v>7</v>
      </c>
      <c r="C12" s="177">
        <f>IF(ISERROR(((C58+C66)/(C56+C64))*60),"NM",((C58+C66)/(C56+C64))*60)</f>
        <v>7.1842220521346407</v>
      </c>
      <c r="D12" s="37"/>
      <c r="E12" s="37"/>
      <c r="F12" s="50"/>
      <c r="G12" s="177">
        <f>IF(ISERROR(((G58+G66)/(G56+G64))*60),"NM",((G58+G66)/(G56+G64))*60)</f>
        <v>7.2908836089642044</v>
      </c>
      <c r="H12" s="37"/>
      <c r="I12" s="37"/>
      <c r="J12" s="50"/>
      <c r="K12" s="177">
        <f>IF(ISERROR(((K58+K66)/(K56+K64))*60),"NM",((K58+K66)/(K56+K64))*60)</f>
        <v>7.7692035841584719</v>
      </c>
      <c r="L12" s="37"/>
      <c r="M12" s="37"/>
      <c r="N12" s="50"/>
      <c r="O12" s="177">
        <f>IF(ISERROR(((O58+O66)/(O56+O64))*60),"NM",((O58+O66)/(O56+O64))*60)</f>
        <v>7.58798632370394</v>
      </c>
      <c r="P12" s="37"/>
      <c r="Q12" s="37"/>
      <c r="R12" s="50"/>
      <c r="S12" s="177">
        <f>IF(ISERROR(((S58+S66)/(S56+S64))*60),"NM",((S58+S66)/(S56+S64))*60)</f>
        <v>6.6717448946637434</v>
      </c>
      <c r="T12" s="37"/>
      <c r="U12" s="37"/>
      <c r="V12" s="50"/>
      <c r="W12" s="177" t="str">
        <f>IF(ISERROR(((W58+W66)/(W56+W64))*60),"NM",((W58+W66)/(W56+W64))*60)</f>
        <v>NM</v>
      </c>
      <c r="X12" s="37"/>
      <c r="Y12" s="37"/>
      <c r="Z12" s="50"/>
      <c r="AA12" s="177" t="str">
        <f>IF(ISERROR(((AA58+AA66)/(AA56+AA64))*60),"NM",((AA58+AA66)/(AA56+AA64))*60)</f>
        <v>NM</v>
      </c>
      <c r="AB12" s="37"/>
      <c r="AC12" s="37"/>
      <c r="AD12" s="50"/>
      <c r="AE12" s="177" t="str">
        <f>IF(ISERROR(((AE58+AE66)/(AE56+AE64))*60),"NM",((AE58+AE66)/(AE56+AE64))*60)</f>
        <v>NM</v>
      </c>
      <c r="AF12" s="37"/>
      <c r="AG12" s="37"/>
      <c r="AH12" s="50"/>
      <c r="AI12" s="177" t="str">
        <f>IF(ISERROR(((AI58+AI66)/(AI56+AI64))*60),"NM",((AI58+AI66)/(AI56+AI64))*60)</f>
        <v>NM</v>
      </c>
      <c r="AJ12" s="37"/>
      <c r="AK12" s="37"/>
      <c r="AL12" s="50"/>
      <c r="AM12" s="177" t="str">
        <f>IF(ISERROR(((AM58+AM66)/(AM56+AM64))*60),"NM",((AM58+AM66)/(AM56+AM64))*60)</f>
        <v>NM</v>
      </c>
      <c r="AN12" s="37"/>
      <c r="AO12" s="37"/>
      <c r="AP12" s="50"/>
      <c r="AQ12" s="177" t="str">
        <f>IF(ISERROR(((AQ58+AQ66)/(AQ56+AQ64))*60),"NM",((AQ58+AQ66)/(AQ56+AQ64))*60)</f>
        <v>NM</v>
      </c>
      <c r="AR12" s="37"/>
      <c r="AS12" s="37"/>
      <c r="AT12" s="50"/>
      <c r="AU12" s="177" t="str">
        <f>IF(ISERROR(((AU58+AU66)/(AU56+AU64))*60),"NM",((AU58+AU66)/(AU56+AU64))*60)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0.34737547975724209</v>
      </c>
      <c r="D13" s="178">
        <f>IF(ISERROR(D29/D19),"NM",D29/D19)</f>
        <v>0.20000000000000007</v>
      </c>
      <c r="E13" s="55">
        <f>IF(ISERROR(C13-D13),"NM",C13-D13)</f>
        <v>0.14737547975724202</v>
      </c>
      <c r="F13" s="49"/>
      <c r="G13" s="178">
        <f>IF(ISERROR(G29/G19),"NM",G29/G19)</f>
        <v>0.33544855690490677</v>
      </c>
      <c r="H13" s="178">
        <f>IF(ISERROR(H29/H19),"NM",H29/H19)</f>
        <v>0.19999999999999996</v>
      </c>
      <c r="I13" s="55">
        <f>IF(ISERROR(G13-H13),"NM",G13-H13)</f>
        <v>0.13544855690490681</v>
      </c>
      <c r="J13" s="49"/>
      <c r="K13" s="39">
        <f>IF(ISERROR(K29/K19),"NM",K29/K19)</f>
        <v>0.34145262057138576</v>
      </c>
      <c r="L13" s="178">
        <f>IF(ISERROR(L29/L19),"NM",L29/L19)</f>
        <v>0.19999999999999996</v>
      </c>
      <c r="M13" s="55">
        <f>IF(ISERROR(K13-L13),"NM",K13-L13)</f>
        <v>0.1414526205713858</v>
      </c>
      <c r="N13" s="38"/>
      <c r="O13" s="39">
        <f>IF(ISERROR(O29/O19),"NM",O29/O19)</f>
        <v>0.34730715765039605</v>
      </c>
      <c r="P13" s="178">
        <f>IF(ISERROR(P29/P19),"NM",P29/P19)</f>
        <v>0.19999999999999996</v>
      </c>
      <c r="Q13" s="55">
        <f>IF(ISERROR(O13-P13),"NM",O13-P13)</f>
        <v>0.14730715765039609</v>
      </c>
      <c r="R13" s="38"/>
      <c r="S13" s="39">
        <f>IF(ISERROR(S29/S19),"NM",S29/S19)</f>
        <v>0.35226345203816534</v>
      </c>
      <c r="T13" s="178">
        <f>IF(ISERROR(T29/T19),"NM",T29/T19)</f>
        <v>0.19999999999999996</v>
      </c>
      <c r="U13" s="55">
        <f>IF(ISERROR(S13-T13),"NM",S13-T13)</f>
        <v>0.15226345203816538</v>
      </c>
      <c r="V13" s="38"/>
      <c r="W13" s="39" t="str">
        <f>IF(ISERROR(W29/W19),"NM",W29/W19)</f>
        <v>NM</v>
      </c>
      <c r="X13" s="178">
        <f>IF(ISERROR(X29/X19),"NM",X29/X19)</f>
        <v>0.19999999999999996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0.19999999999999996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0.19999999999999996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0.20000000000000007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0.19999999999999993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0.20000000000000004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0.19999999999999996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1649346</v>
      </c>
      <c r="D18" s="110">
        <v>1836200</v>
      </c>
      <c r="E18" s="93">
        <f>C18-D18</f>
        <v>-186854</v>
      </c>
      <c r="F18" s="47"/>
      <c r="G18" s="110">
        <v>1311356</v>
      </c>
      <c r="H18" s="110">
        <v>1781915</v>
      </c>
      <c r="I18" s="93">
        <f>G18-H18</f>
        <v>-470559</v>
      </c>
      <c r="J18" s="47"/>
      <c r="K18" s="110">
        <v>1324866</v>
      </c>
      <c r="L18" s="110">
        <v>1907912</v>
      </c>
      <c r="M18" s="93">
        <f>K18-L18</f>
        <v>-583046</v>
      </c>
      <c r="N18" s="47"/>
      <c r="O18" s="110">
        <v>1267183</v>
      </c>
      <c r="P18" s="110">
        <v>2025262</v>
      </c>
      <c r="Q18" s="93">
        <f>O18-P18</f>
        <v>-758079</v>
      </c>
      <c r="R18" s="47"/>
      <c r="S18" s="110">
        <v>1327462</v>
      </c>
      <c r="T18" s="110">
        <v>2168642</v>
      </c>
      <c r="U18" s="93">
        <f>S18-T18</f>
        <v>-841180</v>
      </c>
      <c r="V18" s="47"/>
      <c r="W18" s="110"/>
      <c r="X18" s="110">
        <v>2304788</v>
      </c>
      <c r="Y18" s="93">
        <f>W18-X18</f>
        <v>-2304788</v>
      </c>
      <c r="Z18" s="47"/>
      <c r="AA18" s="110"/>
      <c r="AB18" s="110">
        <v>2468498</v>
      </c>
      <c r="AC18" s="93">
        <f>AA18-AB18</f>
        <v>-2468498</v>
      </c>
      <c r="AD18" s="47"/>
      <c r="AE18" s="110"/>
      <c r="AF18" s="110">
        <v>2626634</v>
      </c>
      <c r="AG18" s="93">
        <f>AE18-AF18</f>
        <v>-2626634</v>
      </c>
      <c r="AH18" s="47"/>
      <c r="AI18" s="110"/>
      <c r="AJ18" s="110">
        <v>2814135</v>
      </c>
      <c r="AK18" s="93">
        <f>AI18-AJ18</f>
        <v>-2814135</v>
      </c>
      <c r="AL18" s="47"/>
      <c r="AM18" s="110"/>
      <c r="AN18" s="110">
        <v>2998015</v>
      </c>
      <c r="AO18" s="93">
        <f>AM18-AN18</f>
        <v>-2998015</v>
      </c>
      <c r="AP18" s="47"/>
      <c r="AQ18" s="110"/>
      <c r="AR18" s="110">
        <v>3213376</v>
      </c>
      <c r="AS18" s="93">
        <f>AQ18-AR18</f>
        <v>-3213376</v>
      </c>
      <c r="AT18" s="47"/>
      <c r="AU18" s="113"/>
      <c r="AV18" s="113">
        <v>3427414</v>
      </c>
      <c r="AW18" s="93">
        <f>AU18-AV18</f>
        <v>-3427414</v>
      </c>
    </row>
    <row r="19" spans="2:49">
      <c r="B19" s="112" t="s">
        <v>158</v>
      </c>
      <c r="C19" s="113">
        <v>1984858</v>
      </c>
      <c r="D19" s="113">
        <v>1922000.7042253499</v>
      </c>
      <c r="E19" s="93">
        <f>C19-D19</f>
        <v>62857.295774650062</v>
      </c>
      <c r="F19" s="47"/>
      <c r="G19" s="113">
        <v>1600934</v>
      </c>
      <c r="H19" s="113">
        <v>1863115.06338028</v>
      </c>
      <c r="I19" s="93">
        <f>G19-H19</f>
        <v>-262181.06338028004</v>
      </c>
      <c r="J19" s="47"/>
      <c r="K19" s="113">
        <v>1681141</v>
      </c>
      <c r="L19" s="113">
        <v>1989444.9969550068</v>
      </c>
      <c r="M19" s="93">
        <f>K19-L19</f>
        <v>-308303.99695500685</v>
      </c>
      <c r="N19" s="47"/>
      <c r="O19" s="113">
        <v>1594839</v>
      </c>
      <c r="P19" s="113">
        <v>2103831.8394639012</v>
      </c>
      <c r="Q19" s="93">
        <f>O19-P19</f>
        <v>-508992.83946390124</v>
      </c>
      <c r="R19" s="47"/>
      <c r="S19" s="113">
        <v>1634362</v>
      </c>
      <c r="T19" s="113">
        <v>2246908.3378139855</v>
      </c>
      <c r="U19" s="93">
        <f>S19-T19</f>
        <v>-612546.33781398553</v>
      </c>
      <c r="V19" s="47"/>
      <c r="W19" s="113"/>
      <c r="X19" s="113">
        <v>2379360.2056776234</v>
      </c>
      <c r="Y19" s="93">
        <f>W19-X19</f>
        <v>-2379360.2056776234</v>
      </c>
      <c r="Z19" s="47"/>
      <c r="AA19" s="113"/>
      <c r="AB19" s="113">
        <v>2541928.2691086251</v>
      </c>
      <c r="AC19" s="93">
        <f>AA19-AB19</f>
        <v>-2541928.2691086251</v>
      </c>
      <c r="AD19" s="47"/>
      <c r="AE19" s="113"/>
      <c r="AF19" s="113">
        <v>2695409.5193816703</v>
      </c>
      <c r="AG19" s="93">
        <f>AE19-AF19</f>
        <v>-2695409.5193816703</v>
      </c>
      <c r="AH19" s="47"/>
      <c r="AI19" s="113"/>
      <c r="AJ19" s="113">
        <v>2880669.3725762255</v>
      </c>
      <c r="AK19" s="93">
        <f>AI19-AJ19</f>
        <v>-2880669.3725762255</v>
      </c>
      <c r="AL19" s="47"/>
      <c r="AM19" s="113"/>
      <c r="AN19" s="113">
        <v>3058638.3693215796</v>
      </c>
      <c r="AO19" s="93">
        <f>AM19-AN19</f>
        <v>-3058638.3693215796</v>
      </c>
      <c r="AP19" s="47"/>
      <c r="AQ19" s="113"/>
      <c r="AR19" s="113">
        <v>3270324.153217644</v>
      </c>
      <c r="AS19" s="93">
        <f>AQ19-AR19</f>
        <v>-3270324.153217644</v>
      </c>
      <c r="AT19" s="47"/>
      <c r="AU19" s="113"/>
      <c r="AV19" s="113">
        <v>3476816.0877301823</v>
      </c>
      <c r="AW19" s="93">
        <f>AU19-AV19</f>
        <v>-3476816.0877301823</v>
      </c>
    </row>
    <row r="20" spans="2:49">
      <c r="B20" s="112" t="s">
        <v>159</v>
      </c>
      <c r="C20" s="113">
        <v>2764295</v>
      </c>
      <c r="D20" s="113">
        <f>'[2]Vice Media Inc_Control'!G478+'[2]Vice Media Inc_Control'!G496</f>
        <v>36887.870079348737</v>
      </c>
      <c r="E20" s="93">
        <f>C20-D20</f>
        <v>2727407.1299206512</v>
      </c>
      <c r="F20" s="47"/>
      <c r="G20" s="113">
        <v>2261501</v>
      </c>
      <c r="H20" s="113">
        <f>'[2]Vice Media Inc_Control'!K478+'[2]Vice Media Inc_Control'!K496</f>
        <v>46965.853353797807</v>
      </c>
      <c r="I20" s="93">
        <f>G20-H20</f>
        <v>2214535.1466462021</v>
      </c>
      <c r="J20" s="47"/>
      <c r="K20" s="113">
        <v>2280584</v>
      </c>
      <c r="L20" s="113">
        <f>'[2]Vice Media Inc_Control'!O478+'[2]Vice Media Inc_Control'!O496</f>
        <v>60214.376768416652</v>
      </c>
      <c r="M20" s="93">
        <f>K20-L20</f>
        <v>2220369.6232315833</v>
      </c>
      <c r="N20" s="47"/>
      <c r="O20" s="113">
        <v>2176099</v>
      </c>
      <c r="P20" s="113">
        <f>'[2]Vice Media Inc_Control'!S478+'[2]Vice Media Inc_Control'!S496</f>
        <v>600208.09082027827</v>
      </c>
      <c r="Q20" s="93">
        <f>O20-P20</f>
        <v>1575890.9091797217</v>
      </c>
      <c r="R20" s="47"/>
      <c r="S20" s="113">
        <v>2231178</v>
      </c>
      <c r="T20" s="113">
        <f>'[2]Vice Media Inc_Control'!W478+'[2]Vice Media Inc_Control'!W496</f>
        <v>0</v>
      </c>
      <c r="U20" s="93">
        <f>S20-T20</f>
        <v>2231178</v>
      </c>
      <c r="V20" s="47"/>
      <c r="W20" s="113"/>
      <c r="X20" s="113">
        <f>'[2]Vice Media Inc_Control'!AA478+'[2]Vice Media Inc_Control'!AA496</f>
        <v>0</v>
      </c>
      <c r="Y20" s="93">
        <f>W20-X20</f>
        <v>0</v>
      </c>
      <c r="Z20" s="47"/>
      <c r="AA20" s="113"/>
      <c r="AB20" s="113">
        <f>'[2]Vice Media Inc_Control'!AE478+'[2]Vice Media Inc_Control'!AE496</f>
        <v>0</v>
      </c>
      <c r="AC20" s="93">
        <f>AA20-AB20</f>
        <v>0</v>
      </c>
      <c r="AD20" s="47"/>
      <c r="AE20" s="113"/>
      <c r="AF20" s="113">
        <f>'[2]Vice Media Inc_Control'!AI478+'[2]Vice Media Inc_Control'!AI496</f>
        <v>0</v>
      </c>
      <c r="AG20" s="93">
        <f>AE20-AF20</f>
        <v>0</v>
      </c>
      <c r="AH20" s="47"/>
      <c r="AI20" s="113"/>
      <c r="AJ20" s="113">
        <f>'[2]Vice Media Inc_Control'!AM478+'[2]Vice Media Inc_Control'!AM496</f>
        <v>0</v>
      </c>
      <c r="AK20" s="93">
        <f>AI20-AJ20</f>
        <v>0</v>
      </c>
      <c r="AL20" s="47"/>
      <c r="AM20" s="113"/>
      <c r="AN20" s="113">
        <f>'[2]Vice Media Inc_Control'!AQ478+'[2]Vice Media Inc_Control'!AQ496</f>
        <v>0</v>
      </c>
      <c r="AO20" s="93">
        <f>AM20-AN20</f>
        <v>0</v>
      </c>
      <c r="AP20" s="47"/>
      <c r="AQ20" s="113"/>
      <c r="AR20" s="113">
        <f>'[2]Vice Media Inc_Control'!AU478+'[2]Vice Media Inc_Control'!AU496</f>
        <v>0</v>
      </c>
      <c r="AS20" s="93">
        <f>AQ20-AR20</f>
        <v>0</v>
      </c>
      <c r="AT20" s="47"/>
      <c r="AU20" s="113"/>
      <c r="AV20" s="113">
        <f>'[2]Vice Media Inc_Control'!AY478+'[2]Vice Media Inc_Control'!AY496</f>
        <v>0</v>
      </c>
      <c r="AW20" s="93">
        <f>AU20-AV20</f>
        <v>0</v>
      </c>
    </row>
    <row r="21" spans="2:49">
      <c r="B21" s="115" t="s">
        <v>163</v>
      </c>
      <c r="C21" s="167">
        <v>1.46</v>
      </c>
      <c r="D21" s="58"/>
      <c r="E21" s="74"/>
      <c r="F21" s="46"/>
      <c r="G21" s="167">
        <v>2.11</v>
      </c>
      <c r="H21" s="58"/>
      <c r="I21" s="74"/>
      <c r="J21" s="46"/>
      <c r="K21" s="167">
        <v>3.35</v>
      </c>
      <c r="L21" s="35"/>
      <c r="M21" s="74"/>
      <c r="N21" s="47"/>
      <c r="O21" s="167">
        <v>3.17</v>
      </c>
      <c r="P21" s="35"/>
      <c r="Q21" s="74"/>
      <c r="R21" s="47"/>
      <c r="S21" s="167">
        <v>2.2200000000000002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1295367</v>
      </c>
      <c r="D24" s="110">
        <v>1537600.5633802798</v>
      </c>
      <c r="E24" s="93">
        <f>C24-D24</f>
        <v>-242233.56338027981</v>
      </c>
      <c r="F24" s="47"/>
      <c r="G24" s="110">
        <f>G19-G29</f>
        <v>1063903</v>
      </c>
      <c r="H24" s="110">
        <v>1490492.050704224</v>
      </c>
      <c r="I24" s="93">
        <f>G24-H24</f>
        <v>-426589.05070422404</v>
      </c>
      <c r="J24" s="47"/>
      <c r="K24" s="110">
        <f>K19-K29</f>
        <v>1107111</v>
      </c>
      <c r="L24" s="110">
        <v>1591555.9975640057</v>
      </c>
      <c r="M24" s="93">
        <f>K24-L24</f>
        <v>-484444.99756400567</v>
      </c>
      <c r="N24" s="47"/>
      <c r="O24" s="110">
        <f>O19-O29</f>
        <v>1040940</v>
      </c>
      <c r="P24" s="110">
        <v>1683065.4715711211</v>
      </c>
      <c r="Q24" s="93">
        <f>O24-P24</f>
        <v>-642125.47157112113</v>
      </c>
      <c r="R24" s="47"/>
      <c r="S24" s="110">
        <f>S19-S29</f>
        <v>1058636</v>
      </c>
      <c r="T24" s="110">
        <v>1797526.6702511886</v>
      </c>
      <c r="U24" s="93">
        <f>S24-T24</f>
        <v>-738890.67025118857</v>
      </c>
      <c r="V24" s="47"/>
      <c r="W24" s="110"/>
      <c r="X24" s="110">
        <v>1903488.1645420988</v>
      </c>
      <c r="Y24" s="93">
        <f>W24-X24</f>
        <v>-1903488.1645420988</v>
      </c>
      <c r="Z24" s="47"/>
      <c r="AA24" s="110"/>
      <c r="AB24" s="110">
        <v>2033542.6152869002</v>
      </c>
      <c r="AC24" s="93">
        <f>AA24-AB24</f>
        <v>-2033542.6152869002</v>
      </c>
      <c r="AD24" s="47"/>
      <c r="AE24" s="110"/>
      <c r="AF24" s="110">
        <v>2156327.6155053363</v>
      </c>
      <c r="AG24" s="93">
        <f>AE24-AF24</f>
        <v>-2156327.6155053363</v>
      </c>
      <c r="AH24" s="47"/>
      <c r="AI24" s="110"/>
      <c r="AJ24" s="110">
        <v>2304535.4980609803</v>
      </c>
      <c r="AK24" s="93">
        <f>AI24-AJ24</f>
        <v>-2304535.4980609803</v>
      </c>
      <c r="AL24" s="47"/>
      <c r="AM24" s="110"/>
      <c r="AN24" s="110">
        <v>2446910.6954572638</v>
      </c>
      <c r="AO24" s="93">
        <f>AM24-AN24</f>
        <v>-2446910.6954572638</v>
      </c>
      <c r="AP24" s="47"/>
      <c r="AQ24" s="110"/>
      <c r="AR24" s="110">
        <v>2616259.3225741149</v>
      </c>
      <c r="AS24" s="93">
        <f>AQ24-AR24</f>
        <v>-2616259.3225741149</v>
      </c>
      <c r="AT24" s="47"/>
      <c r="AU24" s="113"/>
      <c r="AV24" s="113">
        <v>2781452.8701841459</v>
      </c>
      <c r="AW24" s="93">
        <f>AU24-AV24</f>
        <v>-2781452.8701841459</v>
      </c>
    </row>
    <row r="25" spans="2:49">
      <c r="B25" s="112" t="s">
        <v>162</v>
      </c>
      <c r="C25" s="113">
        <f>C20-C30</f>
        <v>1887604</v>
      </c>
      <c r="D25" s="113">
        <v>2178560.5435270891</v>
      </c>
      <c r="E25" s="93">
        <f>C25-D25</f>
        <v>-290956.54352708906</v>
      </c>
      <c r="F25" s="47"/>
      <c r="G25" s="113">
        <f>G20-G30</f>
        <v>1594097</v>
      </c>
      <c r="H25" s="113">
        <v>2110074.5108097726</v>
      </c>
      <c r="I25" s="93">
        <f>G25-H25</f>
        <v>-515977.51080977265</v>
      </c>
      <c r="J25" s="47"/>
      <c r="K25" s="113">
        <f>K20-K30</f>
        <v>1571894</v>
      </c>
      <c r="L25" s="113">
        <v>2251350.5938464124</v>
      </c>
      <c r="M25" s="93">
        <f>K25-L25</f>
        <v>-679456.59384641238</v>
      </c>
      <c r="N25" s="47"/>
      <c r="O25" s="113">
        <f>O20-O30</f>
        <v>1481238</v>
      </c>
      <c r="P25" s="113">
        <v>2378955.6091601332</v>
      </c>
      <c r="Q25" s="93">
        <f>O25-P25</f>
        <v>-897717.60916013317</v>
      </c>
      <c r="R25" s="47"/>
      <c r="S25" s="113">
        <f>S20-S30</f>
        <v>1515482</v>
      </c>
      <c r="T25" s="113">
        <v>2538842.5987222949</v>
      </c>
      <c r="U25" s="93">
        <f>S25-T25</f>
        <v>-1023360.5987222949</v>
      </c>
      <c r="V25" s="47"/>
      <c r="W25" s="113"/>
      <c r="X25" s="113">
        <v>2686560.4618415097</v>
      </c>
      <c r="Y25" s="93">
        <f>W25-X25</f>
        <v>-2686560.4618415097</v>
      </c>
      <c r="Z25" s="47"/>
      <c r="AA25" s="113"/>
      <c r="AB25" s="113">
        <v>2868114.5947335903</v>
      </c>
      <c r="AC25" s="93">
        <f>AA25-AB25</f>
        <v>-2868114.5947335903</v>
      </c>
      <c r="AD25" s="47"/>
      <c r="AE25" s="113"/>
      <c r="AF25" s="113">
        <v>3039242.6857181806</v>
      </c>
      <c r="AG25" s="93">
        <f>AE25-AF25</f>
        <v>-3039242.6857181806</v>
      </c>
      <c r="AH25" s="47"/>
      <c r="AI25" s="113"/>
      <c r="AJ25" s="113">
        <v>3246025.347819956</v>
      </c>
      <c r="AK25" s="93">
        <f>AI25-AJ25</f>
        <v>-3246025.347819956</v>
      </c>
      <c r="AL25" s="47"/>
      <c r="AM25" s="113"/>
      <c r="AN25" s="113">
        <v>3444409.2707204171</v>
      </c>
      <c r="AO25" s="93">
        <f>AM25-AN25</f>
        <v>-3444409.2707204171</v>
      </c>
      <c r="AP25" s="47"/>
      <c r="AQ25" s="113"/>
      <c r="AR25" s="113">
        <v>3680574.2259291355</v>
      </c>
      <c r="AS25" s="93">
        <f>AQ25-AR25</f>
        <v>-3680574.2259291355</v>
      </c>
      <c r="AT25" s="47"/>
      <c r="AU25" s="113"/>
      <c r="AV25" s="113">
        <v>3910699.5887918095</v>
      </c>
      <c r="AW25" s="93">
        <f>AU25-AV25</f>
        <v>-3910699.5887918095</v>
      </c>
    </row>
    <row r="26" spans="2:49">
      <c r="B26" s="115" t="s">
        <v>163</v>
      </c>
      <c r="C26" s="168">
        <v>2.02</v>
      </c>
      <c r="D26" s="56"/>
      <c r="E26" s="71"/>
      <c r="F26" s="45"/>
      <c r="G26" s="116">
        <v>2.4</v>
      </c>
      <c r="H26" s="34"/>
      <c r="I26" s="71"/>
      <c r="J26" s="41"/>
      <c r="K26" s="167">
        <v>4.0999999999999996</v>
      </c>
      <c r="L26" s="34"/>
      <c r="M26" s="71"/>
      <c r="N26" s="41"/>
      <c r="O26" s="116">
        <v>3.55</v>
      </c>
      <c r="P26" s="34"/>
      <c r="Q26" s="71"/>
      <c r="R26" s="41"/>
      <c r="S26" s="116">
        <v>2.4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689491</v>
      </c>
      <c r="D29" s="110">
        <v>384400.14084507013</v>
      </c>
      <c r="E29" s="93">
        <f>C29-D29</f>
        <v>305090.85915492987</v>
      </c>
      <c r="F29" s="47"/>
      <c r="G29" s="110">
        <v>537031</v>
      </c>
      <c r="H29" s="110">
        <v>372623.01267605595</v>
      </c>
      <c r="I29" s="93">
        <f>G29-H29</f>
        <v>164407.98732394405</v>
      </c>
      <c r="J29" s="47"/>
      <c r="K29" s="110">
        <v>574030</v>
      </c>
      <c r="L29" s="110">
        <v>397888.9993910013</v>
      </c>
      <c r="M29" s="93">
        <f>K29-L29</f>
        <v>176141.0006089987</v>
      </c>
      <c r="N29" s="47"/>
      <c r="O29" s="110">
        <v>553899</v>
      </c>
      <c r="P29" s="110">
        <v>420766.36789278017</v>
      </c>
      <c r="Q29" s="93">
        <f>O29-P29</f>
        <v>133132.63210721983</v>
      </c>
      <c r="R29" s="47"/>
      <c r="S29" s="110">
        <v>575726</v>
      </c>
      <c r="T29" s="110">
        <v>449381.66756279703</v>
      </c>
      <c r="U29" s="93">
        <f>S29-T29</f>
        <v>126344.33243720297</v>
      </c>
      <c r="V29" s="47"/>
      <c r="W29" s="110"/>
      <c r="X29" s="110">
        <v>475872.04113552457</v>
      </c>
      <c r="Y29" s="93">
        <f>W29-X29</f>
        <v>-475872.04113552457</v>
      </c>
      <c r="Z29" s="47"/>
      <c r="AA29" s="110"/>
      <c r="AB29" s="110">
        <v>508385.65382172493</v>
      </c>
      <c r="AC29" s="93">
        <f>AA29-AB29</f>
        <v>-508385.65382172493</v>
      </c>
      <c r="AD29" s="47"/>
      <c r="AE29" s="110"/>
      <c r="AF29" s="110">
        <v>539081.90387633396</v>
      </c>
      <c r="AG29" s="93">
        <f>AE29-AF29</f>
        <v>-539081.90387633396</v>
      </c>
      <c r="AH29" s="47"/>
      <c r="AI29" s="110"/>
      <c r="AJ29" s="110">
        <v>576133.87451524532</v>
      </c>
      <c r="AK29" s="93">
        <f>AI29-AJ29</f>
        <v>-576133.87451524532</v>
      </c>
      <c r="AL29" s="47"/>
      <c r="AM29" s="110"/>
      <c r="AN29" s="110">
        <v>611727.67386431573</v>
      </c>
      <c r="AO29" s="93">
        <f>AM29-AN29</f>
        <v>-611727.67386431573</v>
      </c>
      <c r="AP29" s="47"/>
      <c r="AQ29" s="110"/>
      <c r="AR29" s="110">
        <v>654064.83064352896</v>
      </c>
      <c r="AS29" s="93">
        <f>AQ29-AR29</f>
        <v>-654064.83064352896</v>
      </c>
      <c r="AT29" s="47"/>
      <c r="AU29" s="113"/>
      <c r="AV29" s="113">
        <v>695363.21754603635</v>
      </c>
      <c r="AW29" s="93">
        <f>AU29-AV29</f>
        <v>-695363.21754603635</v>
      </c>
    </row>
    <row r="30" spans="2:49">
      <c r="B30" s="112" t="s">
        <v>162</v>
      </c>
      <c r="C30" s="113">
        <v>876691</v>
      </c>
      <c r="D30" s="47">
        <v>544640.1358817725</v>
      </c>
      <c r="E30" s="93">
        <f>C30-D30</f>
        <v>332050.8641182275</v>
      </c>
      <c r="F30" s="47"/>
      <c r="G30" s="113">
        <v>667404</v>
      </c>
      <c r="H30" s="113">
        <v>527518.62770244305</v>
      </c>
      <c r="I30" s="93">
        <f>G30-H30</f>
        <v>139885.37229755695</v>
      </c>
      <c r="J30" s="47"/>
      <c r="K30" s="113">
        <v>708690</v>
      </c>
      <c r="L30" s="113">
        <v>562837.64846160286</v>
      </c>
      <c r="M30" s="93">
        <f>K30-L30</f>
        <v>145852.35153839714</v>
      </c>
      <c r="N30" s="47"/>
      <c r="O30" s="113">
        <v>694861</v>
      </c>
      <c r="P30" s="113">
        <v>594738.90229003306</v>
      </c>
      <c r="Q30" s="93">
        <f>O30-P30</f>
        <v>100122.09770996694</v>
      </c>
      <c r="R30" s="47"/>
      <c r="S30" s="113">
        <v>715696</v>
      </c>
      <c r="T30" s="113">
        <v>634710.64968057349</v>
      </c>
      <c r="U30" s="93">
        <f>S30-T30</f>
        <v>80985.350319426507</v>
      </c>
      <c r="V30" s="47"/>
      <c r="W30" s="113"/>
      <c r="X30" s="113">
        <v>671640.11546037719</v>
      </c>
      <c r="Y30" s="93">
        <f>W30-X30</f>
        <v>-671640.11546037719</v>
      </c>
      <c r="Z30" s="47"/>
      <c r="AA30" s="113"/>
      <c r="AB30" s="113">
        <v>717028.64868339745</v>
      </c>
      <c r="AC30" s="93">
        <f>AA30-AB30</f>
        <v>-717028.64868339745</v>
      </c>
      <c r="AD30" s="47"/>
      <c r="AE30" s="113"/>
      <c r="AF30" s="113">
        <v>759810.67142954492</v>
      </c>
      <c r="AG30" s="93">
        <f>AE30-AF30</f>
        <v>-759810.67142954492</v>
      </c>
      <c r="AH30" s="47"/>
      <c r="AI30" s="113"/>
      <c r="AJ30" s="113">
        <v>811506.33695498935</v>
      </c>
      <c r="AK30" s="93">
        <f>AI30-AJ30</f>
        <v>-811506.33695498935</v>
      </c>
      <c r="AL30" s="47"/>
      <c r="AM30" s="113"/>
      <c r="AN30" s="113">
        <v>861102.31768010394</v>
      </c>
      <c r="AO30" s="93">
        <f>AM30-AN30</f>
        <v>-861102.31768010394</v>
      </c>
      <c r="AP30" s="47"/>
      <c r="AQ30" s="113"/>
      <c r="AR30" s="113">
        <v>920143.55648228421</v>
      </c>
      <c r="AS30" s="93">
        <f>AQ30-AR30</f>
        <v>-920143.55648228421</v>
      </c>
      <c r="AT30" s="47"/>
      <c r="AU30" s="113"/>
      <c r="AV30" s="113">
        <v>977674.89719795226</v>
      </c>
      <c r="AW30" s="93">
        <f>AU30-AV30</f>
        <v>-977674.89719795226</v>
      </c>
    </row>
    <row r="31" spans="2:49">
      <c r="B31" s="115" t="s">
        <v>163</v>
      </c>
      <c r="C31" s="168">
        <v>1.1000000000000001</v>
      </c>
      <c r="D31" s="56"/>
      <c r="E31" s="71"/>
      <c r="F31" s="45"/>
      <c r="G31" s="167">
        <v>1.2</v>
      </c>
      <c r="H31" s="58"/>
      <c r="I31" s="71"/>
      <c r="J31" s="46"/>
      <c r="K31" s="167">
        <v>1.49</v>
      </c>
      <c r="L31" s="34"/>
      <c r="M31" s="71"/>
      <c r="N31" s="41"/>
      <c r="O31" s="116">
        <v>2.08</v>
      </c>
      <c r="P31" s="34"/>
      <c r="Q31" s="71"/>
      <c r="R31" s="41"/>
      <c r="S31" s="116">
        <v>1.5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0.81820000000000004</v>
      </c>
      <c r="D34" s="33"/>
      <c r="E34" s="63"/>
      <c r="F34" s="123"/>
      <c r="G34" s="121">
        <v>0.75</v>
      </c>
      <c r="H34" s="33"/>
      <c r="I34" s="63"/>
      <c r="J34" s="123"/>
      <c r="K34" s="121">
        <v>0.68930000000000002</v>
      </c>
      <c r="L34" s="33"/>
      <c r="M34" s="63"/>
      <c r="N34" s="123"/>
      <c r="O34" s="121">
        <v>0.73</v>
      </c>
      <c r="P34" s="33"/>
      <c r="Q34" s="63"/>
      <c r="R34" s="123"/>
      <c r="S34" s="121">
        <v>0.82469999999999999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0.72789999999999999</v>
      </c>
      <c r="D35" s="54"/>
      <c r="E35" s="69"/>
      <c r="F35" s="123"/>
      <c r="G35" s="123">
        <v>0.69069999999999998</v>
      </c>
      <c r="H35" s="54"/>
      <c r="I35" s="69"/>
      <c r="J35" s="123"/>
      <c r="K35" s="124">
        <v>0.65339999999999998</v>
      </c>
      <c r="L35" s="54"/>
      <c r="M35" s="69"/>
      <c r="N35" s="123"/>
      <c r="O35" s="124">
        <v>0.65239999999999998</v>
      </c>
      <c r="P35" s="54"/>
      <c r="Q35" s="69"/>
      <c r="R35" s="123"/>
      <c r="S35" s="124">
        <v>0.68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0.27210000000000001</v>
      </c>
      <c r="D36" s="54"/>
      <c r="E36" s="69"/>
      <c r="F36" s="123"/>
      <c r="G36" s="124">
        <f>1-G35</f>
        <v>0.30930000000000002</v>
      </c>
      <c r="H36" s="54"/>
      <c r="I36" s="69"/>
      <c r="J36" s="123"/>
      <c r="K36" s="124">
        <f>1-K35</f>
        <v>0.34660000000000002</v>
      </c>
      <c r="L36" s="54"/>
      <c r="M36" s="69"/>
      <c r="N36" s="123"/>
      <c r="O36" s="124">
        <f>1-O35</f>
        <v>0.34760000000000002</v>
      </c>
      <c r="P36" s="54"/>
      <c r="Q36" s="69"/>
      <c r="R36" s="123"/>
      <c r="S36" s="124">
        <f>1-S35</f>
        <v>0.31999999999999995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3.4500000000000003E-2</v>
      </c>
      <c r="D37" s="54"/>
      <c r="E37" s="69"/>
      <c r="F37" s="123"/>
      <c r="G37" s="124">
        <v>2.7637616541343991E-2</v>
      </c>
      <c r="H37" s="54"/>
      <c r="I37" s="69"/>
      <c r="J37" s="123"/>
      <c r="K37" s="124">
        <v>2.5000000000000001E-2</v>
      </c>
      <c r="L37" s="54"/>
      <c r="M37" s="69"/>
      <c r="N37" s="123"/>
      <c r="O37" s="124">
        <f>55974/O19</f>
        <v>3.5096959630407834E-2</v>
      </c>
      <c r="P37" s="54"/>
      <c r="Q37" s="69"/>
      <c r="R37" s="123"/>
      <c r="S37" s="124">
        <v>3.6499999999999998E-2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0.65</v>
      </c>
      <c r="D38" s="54"/>
      <c r="E38" s="69"/>
      <c r="F38" s="123"/>
      <c r="G38" s="124">
        <v>0.80998841926025689</v>
      </c>
      <c r="H38" s="54"/>
      <c r="I38" s="69"/>
      <c r="J38" s="123"/>
      <c r="K38" s="124">
        <v>0.80998841926025689</v>
      </c>
      <c r="L38" s="54"/>
      <c r="M38" s="69"/>
      <c r="N38" s="123"/>
      <c r="O38" s="124">
        <f>1-O39</f>
        <v>0.79381994044539916</v>
      </c>
      <c r="P38" s="54"/>
      <c r="Q38" s="69"/>
      <c r="R38" s="123"/>
      <c r="S38" s="124">
        <f>1-S39</f>
        <v>0.86499999999999999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0.35</v>
      </c>
      <c r="D39" s="32"/>
      <c r="E39" s="68"/>
      <c r="F39" s="123"/>
      <c r="G39" s="126">
        <v>0.19001158073974317</v>
      </c>
      <c r="H39" s="32"/>
      <c r="I39" s="68"/>
      <c r="J39" s="123"/>
      <c r="K39" s="126">
        <v>0.22159999999999999</v>
      </c>
      <c r="L39" s="32"/>
      <c r="M39" s="68"/>
      <c r="N39" s="123"/>
      <c r="O39" s="126">
        <f>328824/O19</f>
        <v>0.20618005955460081</v>
      </c>
      <c r="P39" s="32"/>
      <c r="Q39" s="68"/>
      <c r="R39" s="123"/>
      <c r="S39" s="126">
        <v>0.13500000000000001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0.2387</v>
      </c>
      <c r="D42" s="33"/>
      <c r="E42" s="63"/>
      <c r="F42" s="123"/>
      <c r="G42" s="121">
        <v>0.23230000000000001</v>
      </c>
      <c r="H42" s="33"/>
      <c r="I42" s="63"/>
      <c r="J42" s="123"/>
      <c r="K42" s="322">
        <v>0.23</v>
      </c>
      <c r="L42" s="33"/>
      <c r="M42" s="63"/>
      <c r="N42" s="123"/>
      <c r="O42" s="121">
        <v>0.2016</v>
      </c>
      <c r="P42" s="33"/>
      <c r="Q42" s="63"/>
      <c r="R42" s="123"/>
      <c r="S42" s="121">
        <v>0.2049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65">
        <v>4.4400000000000002E-2</v>
      </c>
      <c r="D43" s="54"/>
      <c r="E43" s="69"/>
      <c r="F43" s="123"/>
      <c r="G43" s="124">
        <v>5.0090000000000003E-2</v>
      </c>
      <c r="H43" s="54"/>
      <c r="I43" s="69"/>
      <c r="J43" s="123"/>
      <c r="K43" s="323">
        <v>0.08</v>
      </c>
      <c r="L43" s="54"/>
      <c r="M43" s="69"/>
      <c r="N43" s="123"/>
      <c r="O43" s="124">
        <v>0.04</v>
      </c>
      <c r="P43" s="54"/>
      <c r="Q43" s="69"/>
      <c r="R43" s="123"/>
      <c r="S43" s="124">
        <v>3.5000000000000003E-2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0.158</v>
      </c>
      <c r="D44" s="54"/>
      <c r="E44" s="69"/>
      <c r="F44" s="123"/>
      <c r="G44" s="124">
        <v>0.17799999999999999</v>
      </c>
      <c r="H44" s="54"/>
      <c r="I44" s="69"/>
      <c r="J44" s="123"/>
      <c r="K44" s="323">
        <v>0.13</v>
      </c>
      <c r="L44" s="54"/>
      <c r="M44" s="69"/>
      <c r="N44" s="123"/>
      <c r="O44" s="124">
        <v>0.1575</v>
      </c>
      <c r="P44" s="54"/>
      <c r="Q44" s="69"/>
      <c r="R44" s="123"/>
      <c r="S44" s="124">
        <v>0.14000000000000001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0.19350000000000001</v>
      </c>
      <c r="D45" s="54"/>
      <c r="E45" s="69"/>
      <c r="F45" s="123"/>
      <c r="G45" s="124">
        <v>0.191</v>
      </c>
      <c r="H45" s="54"/>
      <c r="I45" s="69"/>
      <c r="J45" s="123"/>
      <c r="K45" s="124">
        <v>0.16</v>
      </c>
      <c r="L45" s="54"/>
      <c r="M45" s="69"/>
      <c r="N45" s="123"/>
      <c r="O45" s="124">
        <v>0.25</v>
      </c>
      <c r="P45" s="54"/>
      <c r="Q45" s="69"/>
      <c r="R45" s="123"/>
      <c r="S45" s="124">
        <v>0.35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178</v>
      </c>
      <c r="C46" s="324" t="s">
        <v>179</v>
      </c>
      <c r="D46" s="54"/>
      <c r="E46" s="69"/>
      <c r="F46" s="123"/>
      <c r="G46" s="324" t="s">
        <v>179</v>
      </c>
      <c r="H46" s="54"/>
      <c r="I46" s="69"/>
      <c r="J46" s="123"/>
      <c r="K46" s="124">
        <v>0.20499999999999999</v>
      </c>
      <c r="L46" s="54"/>
      <c r="M46" s="69"/>
      <c r="N46" s="123"/>
      <c r="O46" s="124">
        <v>0.1338</v>
      </c>
      <c r="P46" s="54"/>
      <c r="Q46" s="69"/>
      <c r="R46" s="123"/>
      <c r="S46" s="124">
        <v>0.14180000000000001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177</v>
      </c>
      <c r="C47" s="124">
        <v>7.1499999999999994E-2</v>
      </c>
      <c r="D47" s="54"/>
      <c r="E47" s="69"/>
      <c r="F47" s="123"/>
      <c r="G47" s="124">
        <v>6.1899999999999997E-2</v>
      </c>
      <c r="H47" s="54"/>
      <c r="I47" s="69"/>
      <c r="J47" s="123"/>
      <c r="K47" s="124">
        <v>0.06</v>
      </c>
      <c r="L47" s="54"/>
      <c r="M47" s="69"/>
      <c r="N47" s="123"/>
      <c r="O47" s="124">
        <v>6.3200000000000006E-2</v>
      </c>
      <c r="P47" s="54"/>
      <c r="Q47" s="69"/>
      <c r="R47" s="123"/>
      <c r="S47" s="124">
        <v>7.0000000000000007E-2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198</v>
      </c>
      <c r="C48" s="124">
        <v>0</v>
      </c>
      <c r="D48" s="54"/>
      <c r="E48" s="69"/>
      <c r="F48" s="123"/>
      <c r="G48" s="124">
        <v>0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105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200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2" t="s">
        <v>201</v>
      </c>
      <c r="C51" s="124">
        <v>0</v>
      </c>
      <c r="D51" s="54"/>
      <c r="E51" s="69"/>
      <c r="F51" s="123"/>
      <c r="G51" s="124">
        <v>0</v>
      </c>
      <c r="H51" s="54"/>
      <c r="I51" s="69"/>
      <c r="J51" s="123"/>
      <c r="K51" s="124">
        <v>0</v>
      </c>
      <c r="L51" s="54"/>
      <c r="M51" s="69"/>
      <c r="N51" s="123"/>
      <c r="O51" s="124">
        <v>0</v>
      </c>
      <c r="P51" s="54"/>
      <c r="Q51" s="69"/>
      <c r="R51" s="123"/>
      <c r="S51" s="124">
        <v>0</v>
      </c>
      <c r="T51" s="54"/>
      <c r="U51" s="69"/>
      <c r="V51" s="123"/>
      <c r="W51" s="124"/>
      <c r="X51" s="54"/>
      <c r="Y51" s="69"/>
      <c r="Z51" s="123"/>
      <c r="AA51" s="124"/>
      <c r="AB51" s="54"/>
      <c r="AC51" s="69"/>
      <c r="AD51" s="123"/>
      <c r="AE51" s="124"/>
      <c r="AF51" s="54"/>
      <c r="AG51" s="69"/>
      <c r="AH51" s="123"/>
      <c r="AI51" s="124"/>
      <c r="AJ51" s="54"/>
      <c r="AK51" s="69"/>
      <c r="AL51" s="123"/>
      <c r="AM51" s="124"/>
      <c r="AN51" s="54"/>
      <c r="AO51" s="69"/>
      <c r="AP51" s="123"/>
      <c r="AQ51" s="124"/>
      <c r="AR51" s="54"/>
      <c r="AS51" s="69"/>
      <c r="AT51" s="123"/>
      <c r="AU51" s="124"/>
      <c r="AV51" s="54"/>
      <c r="AW51" s="69"/>
    </row>
    <row r="52" spans="2:49">
      <c r="B52" s="115" t="s">
        <v>27</v>
      </c>
      <c r="C52" s="126">
        <f>1-SUM(C42:C51)</f>
        <v>0.29389999999999994</v>
      </c>
      <c r="D52" s="32"/>
      <c r="E52" s="68"/>
      <c r="F52" s="123"/>
      <c r="G52" s="126">
        <f>1-SUM(G42:G51)</f>
        <v>0.28671000000000002</v>
      </c>
      <c r="H52" s="32"/>
      <c r="I52" s="68"/>
      <c r="J52" s="123"/>
      <c r="K52" s="126">
        <f>1-SUM(K42:K51)</f>
        <v>0.13500000000000001</v>
      </c>
      <c r="L52" s="32"/>
      <c r="M52" s="68"/>
      <c r="N52" s="123"/>
      <c r="O52" s="126">
        <f>1-SUM(O42:O51)</f>
        <v>0.15389999999999993</v>
      </c>
      <c r="P52" s="32"/>
      <c r="Q52" s="68"/>
      <c r="R52" s="123"/>
      <c r="S52" s="126">
        <f>1-SUM(S42:S51)</f>
        <v>5.8300000000000018E-2</v>
      </c>
      <c r="T52" s="32"/>
      <c r="U52" s="68"/>
      <c r="V52" s="123"/>
      <c r="W52" s="126"/>
      <c r="X52" s="32"/>
      <c r="Y52" s="68"/>
      <c r="Z52" s="123"/>
      <c r="AA52" s="126"/>
      <c r="AB52" s="32"/>
      <c r="AC52" s="68"/>
      <c r="AD52" s="123"/>
      <c r="AE52" s="126"/>
      <c r="AF52" s="32"/>
      <c r="AG52" s="68"/>
      <c r="AH52" s="123"/>
      <c r="AI52" s="126"/>
      <c r="AJ52" s="32"/>
      <c r="AK52" s="68"/>
      <c r="AL52" s="123"/>
      <c r="AM52" s="126"/>
      <c r="AN52" s="32"/>
      <c r="AO52" s="68"/>
      <c r="AP52" s="123"/>
      <c r="AQ52" s="126"/>
      <c r="AR52" s="32"/>
      <c r="AS52" s="68"/>
      <c r="AT52" s="123"/>
      <c r="AU52" s="126"/>
      <c r="AV52" s="32"/>
      <c r="AW52" s="68"/>
    </row>
    <row r="53" spans="2:49">
      <c r="C53" s="119"/>
      <c r="D53" s="119"/>
      <c r="F53" s="44"/>
      <c r="G53" s="119"/>
      <c r="H53" s="119"/>
      <c r="J53" s="44"/>
      <c r="K53" s="119"/>
      <c r="L53" s="119"/>
      <c r="N53" s="44"/>
      <c r="O53" s="119"/>
      <c r="P53" s="119"/>
      <c r="R53" s="44"/>
      <c r="S53" s="119"/>
      <c r="T53" s="119"/>
      <c r="V53" s="44"/>
      <c r="W53" s="119"/>
      <c r="X53" s="119"/>
      <c r="Z53" s="44"/>
      <c r="AA53" s="119"/>
      <c r="AB53" s="119"/>
      <c r="AD53" s="44"/>
      <c r="AE53" s="119"/>
      <c r="AF53" s="119"/>
      <c r="AH53" s="44"/>
      <c r="AI53" s="119"/>
      <c r="AJ53" s="119"/>
      <c r="AL53" s="44"/>
      <c r="AM53" s="119"/>
      <c r="AN53" s="119"/>
      <c r="AP53" s="44"/>
      <c r="AQ53" s="119"/>
      <c r="AR53" s="119"/>
      <c r="AT53" s="44"/>
      <c r="AU53" s="119"/>
      <c r="AV53" s="119"/>
    </row>
    <row r="54" spans="2:49">
      <c r="B54" s="129" t="s">
        <v>28</v>
      </c>
      <c r="C54" s="130"/>
      <c r="D54" s="130"/>
      <c r="E54" s="67"/>
      <c r="F54" s="44"/>
      <c r="G54" s="130"/>
      <c r="H54" s="130"/>
      <c r="I54" s="67"/>
      <c r="J54" s="44"/>
      <c r="K54" s="130"/>
      <c r="L54" s="130"/>
      <c r="M54" s="67"/>
      <c r="N54" s="44"/>
      <c r="O54" s="130"/>
      <c r="P54" s="130"/>
      <c r="Q54" s="67"/>
      <c r="R54" s="44"/>
      <c r="S54" s="130"/>
      <c r="T54" s="130"/>
      <c r="U54" s="67"/>
      <c r="V54" s="44"/>
      <c r="W54" s="130"/>
      <c r="X54" s="130"/>
      <c r="Y54" s="67"/>
      <c r="Z54" s="44"/>
      <c r="AA54" s="130"/>
      <c r="AB54" s="130"/>
      <c r="AC54" s="67"/>
      <c r="AD54" s="44"/>
      <c r="AE54" s="130"/>
      <c r="AF54" s="130"/>
      <c r="AG54" s="67"/>
      <c r="AH54" s="44"/>
      <c r="AI54" s="130"/>
      <c r="AJ54" s="130"/>
      <c r="AK54" s="67"/>
      <c r="AL54" s="44"/>
      <c r="AM54" s="130"/>
      <c r="AN54" s="130"/>
      <c r="AO54" s="67"/>
      <c r="AP54" s="44"/>
      <c r="AQ54" s="130"/>
      <c r="AR54" s="130"/>
      <c r="AS54" s="67"/>
      <c r="AT54" s="44"/>
      <c r="AU54" s="27"/>
      <c r="AV54" s="27"/>
      <c r="AW54" s="67"/>
    </row>
    <row r="55" spans="2:49">
      <c r="B55" s="109" t="s">
        <v>29</v>
      </c>
      <c r="C55" s="148">
        <v>4894</v>
      </c>
      <c r="D55" s="110">
        <f>'[2]Vice Media Inc_Control'!G497+'[2]Vice Media Inc_Control'!G479</f>
        <v>6576.5618600028993</v>
      </c>
      <c r="E55" s="93">
        <f>C55-D55</f>
        <v>-1682.5618600028993</v>
      </c>
      <c r="F55" s="47"/>
      <c r="G55" s="110">
        <v>4139</v>
      </c>
      <c r="H55" s="110">
        <f>'[2]Vice Media Inc_Control'!K497+'[2]Vice Media Inc_Control'!K479</f>
        <v>8398.56519990575</v>
      </c>
      <c r="I55" s="93">
        <f>G55-H55</f>
        <v>-4259.56519990575</v>
      </c>
      <c r="J55" s="47"/>
      <c r="K55" s="110">
        <v>1877</v>
      </c>
      <c r="L55" s="110">
        <f>'[2]Vice Media Inc_Control'!O497+'[2]Vice Media Inc_Control'!O479</f>
        <v>10795.967095785501</v>
      </c>
      <c r="M55" s="93">
        <f>K55-L55</f>
        <v>-8918.9670957855014</v>
      </c>
      <c r="N55" s="47"/>
      <c r="O55" s="110">
        <v>2753</v>
      </c>
      <c r="P55" s="110">
        <f>'[2]Vice Media Inc_Control'!S497+'[2]Vice Media Inc_Control'!S479</f>
        <v>107392.25877746409</v>
      </c>
      <c r="Q55" s="93">
        <f>O55-P55</f>
        <v>-104639.25877746409</v>
      </c>
      <c r="R55" s="47"/>
      <c r="S55" s="110">
        <v>5474</v>
      </c>
      <c r="T55" s="110">
        <f>'[2]Vice Media Inc_Control'!W497+'[2]Vice Media Inc_Control'!W479</f>
        <v>0</v>
      </c>
      <c r="U55" s="93">
        <f>S55-T55</f>
        <v>5474</v>
      </c>
      <c r="V55" s="47"/>
      <c r="W55" s="110"/>
      <c r="X55" s="110">
        <f>'[2]Vice Media Inc_Control'!AA497+'[2]Vice Media Inc_Control'!AA479</f>
        <v>0</v>
      </c>
      <c r="Y55" s="93">
        <f>W55-X55</f>
        <v>0</v>
      </c>
      <c r="Z55" s="47"/>
      <c r="AA55" s="110"/>
      <c r="AB55" s="110">
        <f>'[2]Vice Media Inc_Control'!AE497+'[2]Vice Media Inc_Control'!AE479</f>
        <v>0</v>
      </c>
      <c r="AC55" s="93">
        <f>AA55-AB55</f>
        <v>0</v>
      </c>
      <c r="AD55" s="47"/>
      <c r="AE55" s="110"/>
      <c r="AF55" s="110">
        <f>'[2]Vice Media Inc_Control'!AI497+'[2]Vice Media Inc_Control'!AI479</f>
        <v>0</v>
      </c>
      <c r="AG55" s="93">
        <f>AE55-AF55</f>
        <v>0</v>
      </c>
      <c r="AH55" s="47"/>
      <c r="AI55" s="110"/>
      <c r="AJ55" s="110">
        <f>'[2]Vice Media Inc_Control'!AM497+'[2]Vice Media Inc_Control'!AM479</f>
        <v>0</v>
      </c>
      <c r="AK55" s="93">
        <f>AI55-AJ55</f>
        <v>0</v>
      </c>
      <c r="AL55" s="47"/>
      <c r="AM55" s="110"/>
      <c r="AN55" s="110">
        <f>'[2]Vice Media Inc_Control'!AQ497+'[2]Vice Media Inc_Control'!AQ479</f>
        <v>0</v>
      </c>
      <c r="AO55" s="93">
        <f>AM55-AN55</f>
        <v>0</v>
      </c>
      <c r="AP55" s="47"/>
      <c r="AQ55" s="110"/>
      <c r="AR55" s="110">
        <f>'[2]Vice Media Inc_Control'!AU497+'[2]Vice Media Inc_Control'!AU479</f>
        <v>0</v>
      </c>
      <c r="AS55" s="93">
        <f>AQ55-AR55</f>
        <v>0</v>
      </c>
      <c r="AT55" s="47"/>
      <c r="AU55" s="113"/>
      <c r="AV55" s="110">
        <f>'[2]Vice Media Inc_Control'!AY497+'[2]Vice Media Inc_Control'!AY479</f>
        <v>0</v>
      </c>
      <c r="AW55" s="93">
        <f>AU55-AV55</f>
        <v>0</v>
      </c>
    </row>
    <row r="56" spans="2:49">
      <c r="B56" s="112" t="s">
        <v>30</v>
      </c>
      <c r="C56" s="113">
        <f>(Motherboard_Global!C55/Motherboard_Global!C54)*Motherboard_USA!C55</f>
        <v>4619.890912897823</v>
      </c>
      <c r="D56" s="57"/>
      <c r="E56" s="53"/>
      <c r="F56" s="47"/>
      <c r="G56" s="113">
        <f>(Motherboard_Global!D55/Motherboard_Global!D54)*Motherboard_USA!G55</f>
        <v>3881.2270872994291</v>
      </c>
      <c r="H56" s="57"/>
      <c r="I56" s="53"/>
      <c r="J56" s="47"/>
      <c r="K56" s="113">
        <v>1727</v>
      </c>
      <c r="L56" s="325"/>
      <c r="M56" s="53"/>
      <c r="N56" s="47"/>
      <c r="O56" s="363">
        <v>2533</v>
      </c>
      <c r="P56" s="57"/>
      <c r="Q56" s="53"/>
      <c r="R56" s="47"/>
      <c r="S56" s="113">
        <f>Motherboard_Global!G55/Motherboard_Global!G54*Motherboard_USA!S55</f>
        <v>5269.2108137629712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31</v>
      </c>
      <c r="C57" s="113">
        <v>212.36</v>
      </c>
      <c r="D57" s="57"/>
      <c r="E57" s="53"/>
      <c r="F57" s="47"/>
      <c r="G57" s="113">
        <v>242</v>
      </c>
      <c r="H57" s="57"/>
      <c r="I57" s="53"/>
      <c r="J57" s="47"/>
      <c r="K57" s="113">
        <v>219</v>
      </c>
      <c r="L57" s="57"/>
      <c r="M57" s="53"/>
      <c r="N57" s="47"/>
      <c r="O57" s="113">
        <v>233</v>
      </c>
      <c r="P57" s="57"/>
      <c r="Q57" s="53"/>
      <c r="R57" s="47"/>
      <c r="S57" s="113">
        <v>282.73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2" t="s">
        <v>11</v>
      </c>
      <c r="C58" s="93">
        <f>(C56/C55)*C57</f>
        <v>200.46588358458965</v>
      </c>
      <c r="D58" s="53"/>
      <c r="E58" s="53"/>
      <c r="F58" s="43"/>
      <c r="G58" s="93">
        <f>(G56/G55)*G57</f>
        <v>226.92847429970087</v>
      </c>
      <c r="H58" s="53"/>
      <c r="I58" s="53"/>
      <c r="J58" s="43"/>
      <c r="K58" s="93">
        <f>(K56/K55)*K57</f>
        <v>201.49866808737349</v>
      </c>
      <c r="L58" s="57"/>
      <c r="M58" s="53"/>
      <c r="N58" s="47"/>
      <c r="O58" s="93">
        <f>(O56/O55)*O57</f>
        <v>214.38031238648747</v>
      </c>
      <c r="P58" s="57"/>
      <c r="Q58" s="53"/>
      <c r="R58" s="47"/>
      <c r="S58" s="93">
        <f>(S56/S55)*S57</f>
        <v>272.15271709448393</v>
      </c>
      <c r="T58" s="57"/>
      <c r="U58" s="53"/>
      <c r="V58" s="47"/>
      <c r="W58" s="113"/>
      <c r="X58" s="57"/>
      <c r="Y58" s="53"/>
      <c r="Z58" s="47"/>
      <c r="AA58" s="113"/>
      <c r="AB58" s="57"/>
      <c r="AC58" s="53"/>
      <c r="AD58" s="47"/>
      <c r="AE58" s="113"/>
      <c r="AF58" s="57"/>
      <c r="AG58" s="53"/>
      <c r="AH58" s="47"/>
      <c r="AI58" s="113"/>
      <c r="AJ58" s="57"/>
      <c r="AK58" s="53"/>
      <c r="AL58" s="47"/>
      <c r="AM58" s="113"/>
      <c r="AN58" s="57"/>
      <c r="AO58" s="53"/>
      <c r="AP58" s="47"/>
      <c r="AQ58" s="113"/>
      <c r="AR58" s="57"/>
      <c r="AS58" s="53"/>
      <c r="AT58" s="47"/>
      <c r="AU58" s="113"/>
      <c r="AV58" s="57"/>
      <c r="AW58" s="53"/>
    </row>
    <row r="59" spans="2:49">
      <c r="B59" s="115" t="s">
        <v>32</v>
      </c>
      <c r="C59" s="126">
        <v>0.37509999999999999</v>
      </c>
      <c r="D59" s="32"/>
      <c r="E59" s="68"/>
      <c r="F59" s="123"/>
      <c r="G59" s="126">
        <v>0.44309999999999999</v>
      </c>
      <c r="H59" s="32"/>
      <c r="I59" s="68"/>
      <c r="J59" s="123"/>
      <c r="K59" s="126">
        <v>0.36299999999999999</v>
      </c>
      <c r="L59" s="32"/>
      <c r="M59" s="68"/>
      <c r="N59" s="123"/>
      <c r="O59" s="126">
        <v>0.28999999999999998</v>
      </c>
      <c r="P59" s="32"/>
      <c r="Q59" s="68"/>
      <c r="R59" s="123"/>
      <c r="S59" s="126">
        <v>0.34</v>
      </c>
      <c r="T59" s="32"/>
      <c r="U59" s="68"/>
      <c r="V59" s="123"/>
      <c r="W59" s="126"/>
      <c r="X59" s="32"/>
      <c r="Y59" s="68"/>
      <c r="Z59" s="123"/>
      <c r="AA59" s="126"/>
      <c r="AB59" s="32"/>
      <c r="AC59" s="68"/>
      <c r="AD59" s="123"/>
      <c r="AE59" s="126"/>
      <c r="AF59" s="32"/>
      <c r="AG59" s="68"/>
      <c r="AH59" s="123"/>
      <c r="AI59" s="126"/>
      <c r="AJ59" s="32"/>
      <c r="AK59" s="68"/>
      <c r="AL59" s="123"/>
      <c r="AM59" s="126"/>
      <c r="AN59" s="32"/>
      <c r="AO59" s="68"/>
      <c r="AP59" s="123"/>
      <c r="AQ59" s="126"/>
      <c r="AR59" s="32"/>
      <c r="AS59" s="68"/>
      <c r="AT59" s="123"/>
      <c r="AU59" s="126"/>
      <c r="AV59" s="32"/>
      <c r="AW59" s="68"/>
    </row>
    <row r="60" spans="2:49">
      <c r="B60" s="133"/>
      <c r="C60" s="134"/>
      <c r="D60" s="134"/>
      <c r="E60" s="66"/>
      <c r="F60" s="42"/>
      <c r="G60" s="134"/>
      <c r="H60" s="134"/>
      <c r="I60" s="66"/>
      <c r="J60" s="42"/>
      <c r="K60" s="134"/>
      <c r="L60" s="134"/>
      <c r="M60" s="66"/>
      <c r="N60" s="42"/>
      <c r="O60" s="134"/>
      <c r="P60" s="134"/>
      <c r="Q60" s="66"/>
      <c r="R60" s="42"/>
      <c r="S60" s="134"/>
      <c r="T60" s="134"/>
      <c r="U60" s="66"/>
      <c r="V60" s="42"/>
      <c r="W60" s="134"/>
      <c r="X60" s="42"/>
      <c r="Y60" s="66"/>
      <c r="Z60" s="42"/>
      <c r="AA60" s="134"/>
      <c r="AB60" s="134"/>
      <c r="AC60" s="66"/>
      <c r="AD60" s="42"/>
      <c r="AE60" s="134"/>
      <c r="AF60" s="134"/>
      <c r="AG60" s="66"/>
      <c r="AH60" s="42"/>
      <c r="AI60" s="134"/>
      <c r="AJ60" s="134"/>
      <c r="AK60" s="66"/>
      <c r="AL60" s="42"/>
      <c r="AM60" s="134"/>
      <c r="AN60" s="134"/>
      <c r="AO60" s="66"/>
      <c r="AP60" s="42"/>
      <c r="AQ60" s="134"/>
      <c r="AR60" s="134"/>
      <c r="AS60" s="66"/>
      <c r="AT60" s="42"/>
      <c r="AU60" s="134"/>
      <c r="AV60" s="134"/>
      <c r="AW60" s="66"/>
    </row>
    <row r="61" spans="2:49">
      <c r="B61" s="129" t="s">
        <v>33</v>
      </c>
      <c r="C61" s="135"/>
      <c r="D61" s="135"/>
      <c r="E61" s="62"/>
      <c r="F61" s="42"/>
      <c r="G61" s="135"/>
      <c r="H61" s="135"/>
      <c r="I61" s="62"/>
      <c r="J61" s="42"/>
      <c r="K61" s="135"/>
      <c r="L61" s="135"/>
      <c r="M61" s="62"/>
      <c r="N61" s="42"/>
      <c r="O61" s="135"/>
      <c r="P61" s="135"/>
      <c r="Q61" s="62"/>
      <c r="R61" s="42"/>
      <c r="S61" s="135"/>
      <c r="T61" s="135"/>
      <c r="U61" s="62"/>
      <c r="V61" s="42"/>
      <c r="W61" s="135"/>
      <c r="X61" s="135"/>
      <c r="Y61" s="62"/>
      <c r="Z61" s="42"/>
      <c r="AA61" s="135"/>
      <c r="AB61" s="135"/>
      <c r="AC61" s="62"/>
      <c r="AD61" s="42"/>
      <c r="AE61" s="135"/>
      <c r="AF61" s="135"/>
      <c r="AG61" s="62"/>
      <c r="AH61" s="42"/>
      <c r="AI61" s="135"/>
      <c r="AJ61" s="135"/>
      <c r="AK61" s="62"/>
      <c r="AL61" s="42"/>
      <c r="AM61" s="135"/>
      <c r="AN61" s="135"/>
      <c r="AO61" s="62"/>
      <c r="AP61" s="42"/>
      <c r="AQ61" s="135"/>
      <c r="AR61" s="135"/>
      <c r="AS61" s="62"/>
      <c r="AT61" s="42"/>
      <c r="AU61" s="22"/>
      <c r="AV61" s="22"/>
      <c r="AW61" s="65"/>
    </row>
    <row r="62" spans="2:49">
      <c r="B62" s="109" t="s">
        <v>45</v>
      </c>
      <c r="C62" s="110">
        <v>7992</v>
      </c>
      <c r="D62" s="36"/>
      <c r="E62" s="61"/>
      <c r="F62" s="47"/>
      <c r="G62" s="110">
        <v>5061</v>
      </c>
      <c r="H62" s="36"/>
      <c r="I62" s="61"/>
      <c r="J62" s="47"/>
      <c r="K62" s="110">
        <v>7151</v>
      </c>
      <c r="L62" s="36"/>
      <c r="M62" s="61"/>
      <c r="N62" s="47"/>
      <c r="O62" s="110">
        <v>4437</v>
      </c>
      <c r="P62" s="36"/>
      <c r="Q62" s="61"/>
      <c r="R62" s="47"/>
      <c r="S62" s="110">
        <v>11712</v>
      </c>
      <c r="T62" s="36"/>
      <c r="U62" s="61"/>
      <c r="V62" s="47"/>
      <c r="W62" s="110"/>
      <c r="X62" s="36"/>
      <c r="Y62" s="61"/>
      <c r="Z62" s="47"/>
      <c r="AA62" s="110"/>
      <c r="AB62" s="36"/>
      <c r="AC62" s="61"/>
      <c r="AD62" s="47"/>
      <c r="AE62" s="110"/>
      <c r="AF62" s="36"/>
      <c r="AG62" s="61"/>
      <c r="AH62" s="47"/>
      <c r="AI62" s="110"/>
      <c r="AJ62" s="36"/>
      <c r="AK62" s="61"/>
      <c r="AL62" s="47"/>
      <c r="AM62" s="110"/>
      <c r="AN62" s="36"/>
      <c r="AO62" s="61"/>
      <c r="AP62" s="47"/>
      <c r="AQ62" s="110"/>
      <c r="AR62" s="36"/>
      <c r="AS62" s="61"/>
      <c r="AT62" s="47"/>
      <c r="AU62" s="113"/>
      <c r="AV62" s="57"/>
      <c r="AW62" s="53"/>
    </row>
    <row r="63" spans="2:49">
      <c r="B63" s="112" t="s">
        <v>29</v>
      </c>
      <c r="C63" s="113">
        <v>599627</v>
      </c>
      <c r="D63" s="57"/>
      <c r="E63" s="53"/>
      <c r="F63" s="47"/>
      <c r="G63" s="113">
        <v>472722</v>
      </c>
      <c r="H63" s="57"/>
      <c r="I63" s="53"/>
      <c r="J63" s="47"/>
      <c r="K63" s="113">
        <v>686150</v>
      </c>
      <c r="L63" s="57"/>
      <c r="M63" s="53"/>
      <c r="N63" s="47"/>
      <c r="O63" s="113">
        <v>476821</v>
      </c>
      <c r="P63" s="57"/>
      <c r="Q63" s="53"/>
      <c r="R63" s="47"/>
      <c r="S63" s="113">
        <v>724721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30</v>
      </c>
      <c r="C64" s="113">
        <v>18043</v>
      </c>
      <c r="D64" s="57"/>
      <c r="E64" s="53"/>
      <c r="F64" s="47"/>
      <c r="G64" s="113">
        <v>9368</v>
      </c>
      <c r="H64" s="57"/>
      <c r="I64" s="53"/>
      <c r="J64" s="47"/>
      <c r="K64" s="113">
        <v>23368</v>
      </c>
      <c r="L64" s="57"/>
      <c r="M64" s="53"/>
      <c r="N64" s="47"/>
      <c r="O64" s="113">
        <v>19785</v>
      </c>
      <c r="P64" s="57"/>
      <c r="Q64" s="53"/>
      <c r="R64" s="47"/>
      <c r="S64" s="113">
        <v>28794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2" t="s">
        <v>31</v>
      </c>
      <c r="C65" s="113">
        <v>83519.12</v>
      </c>
      <c r="D65" s="57"/>
      <c r="E65" s="53"/>
      <c r="F65" s="47"/>
      <c r="G65" s="113">
        <f>4187428/60</f>
        <v>69790.46666666666</v>
      </c>
      <c r="H65" s="57"/>
      <c r="I65" s="53"/>
      <c r="J65" s="47"/>
      <c r="K65" s="113">
        <f>5369818/60</f>
        <v>89496.96666666666</v>
      </c>
      <c r="L65" s="57"/>
      <c r="M65" s="53"/>
      <c r="N65" s="47"/>
      <c r="O65" s="113">
        <f>3771329/60</f>
        <v>62855.48333333333</v>
      </c>
      <c r="P65" s="57"/>
      <c r="Q65" s="53"/>
      <c r="R65" s="47"/>
      <c r="S65" s="113">
        <f>5308980/60</f>
        <v>88483</v>
      </c>
      <c r="T65" s="57"/>
      <c r="U65" s="53"/>
      <c r="V65" s="47"/>
      <c r="W65" s="113"/>
      <c r="X65" s="57"/>
      <c r="Y65" s="53"/>
      <c r="Z65" s="47"/>
      <c r="AA65" s="113"/>
      <c r="AB65" s="57"/>
      <c r="AC65" s="53"/>
      <c r="AD65" s="47"/>
      <c r="AE65" s="113"/>
      <c r="AF65" s="57"/>
      <c r="AG65" s="53"/>
      <c r="AH65" s="47"/>
      <c r="AI65" s="113"/>
      <c r="AJ65" s="57"/>
      <c r="AK65" s="53"/>
      <c r="AL65" s="47"/>
      <c r="AM65" s="113"/>
      <c r="AN65" s="57"/>
      <c r="AO65" s="53"/>
      <c r="AP65" s="47"/>
      <c r="AQ65" s="113"/>
      <c r="AR65" s="57"/>
      <c r="AS65" s="53"/>
      <c r="AT65" s="47"/>
      <c r="AU65" s="113"/>
      <c r="AV65" s="57"/>
      <c r="AW65" s="53"/>
    </row>
    <row r="66" spans="2:49">
      <c r="B66" s="115" t="s">
        <v>11</v>
      </c>
      <c r="C66" s="92">
        <f>(C64/C63)*C65</f>
        <v>2513.1214607747816</v>
      </c>
      <c r="D66" s="24"/>
      <c r="E66" s="24"/>
      <c r="F66" s="43"/>
      <c r="G66" s="92">
        <f>(G64/G63)*G65</f>
        <v>1383.0477357375651</v>
      </c>
      <c r="H66" s="24"/>
      <c r="I66" s="24"/>
      <c r="J66" s="43"/>
      <c r="K66" s="92">
        <f>(K64/K63)*K65</f>
        <v>3047.9707309869073</v>
      </c>
      <c r="L66" s="35"/>
      <c r="M66" s="24"/>
      <c r="N66" s="47"/>
      <c r="O66" s="92">
        <f>(O64/O63)*O65</f>
        <v>2608.0976671539215</v>
      </c>
      <c r="P66" s="35"/>
      <c r="Q66" s="24"/>
      <c r="R66" s="47"/>
      <c r="S66" s="92">
        <f>(S64/S63)*S65</f>
        <v>3515.5314969484812</v>
      </c>
      <c r="T66" s="35"/>
      <c r="U66" s="24"/>
      <c r="V66" s="47"/>
      <c r="W66" s="131"/>
      <c r="X66" s="35"/>
      <c r="Y66" s="24"/>
      <c r="Z66" s="47"/>
      <c r="AA66" s="131"/>
      <c r="AB66" s="35"/>
      <c r="AC66" s="24"/>
      <c r="AD66" s="47"/>
      <c r="AE66" s="131"/>
      <c r="AF66" s="35"/>
      <c r="AG66" s="24"/>
      <c r="AH66" s="47"/>
      <c r="AI66" s="131"/>
      <c r="AJ66" s="35"/>
      <c r="AK66" s="24"/>
      <c r="AL66" s="47"/>
      <c r="AM66" s="131"/>
      <c r="AN66" s="35"/>
      <c r="AO66" s="24"/>
      <c r="AP66" s="47"/>
      <c r="AQ66" s="131"/>
      <c r="AR66" s="35"/>
      <c r="AS66" s="24"/>
      <c r="AT66" s="47"/>
      <c r="AU66" s="131"/>
      <c r="AV66" s="35"/>
      <c r="AW66" s="24"/>
    </row>
    <row r="67" spans="2:49">
      <c r="C67" s="136"/>
      <c r="D67" s="136"/>
      <c r="E67" s="64"/>
      <c r="F67" s="42"/>
      <c r="G67" s="136"/>
      <c r="H67" s="136"/>
      <c r="I67" s="64"/>
      <c r="J67" s="42"/>
      <c r="K67" s="136"/>
      <c r="L67" s="136"/>
      <c r="M67" s="64"/>
      <c r="N67" s="42"/>
      <c r="O67" s="136"/>
      <c r="P67" s="136"/>
      <c r="Q67" s="64"/>
      <c r="R67" s="42"/>
      <c r="S67" s="136"/>
      <c r="T67" s="136"/>
      <c r="U67" s="64"/>
      <c r="V67" s="42"/>
      <c r="W67" s="136"/>
      <c r="X67" s="136"/>
      <c r="Y67" s="64"/>
      <c r="Z67" s="42"/>
      <c r="AA67" s="136"/>
      <c r="AB67" s="136"/>
      <c r="AC67" s="64"/>
      <c r="AD67" s="42"/>
      <c r="AE67" s="136"/>
      <c r="AF67" s="136"/>
      <c r="AG67" s="64"/>
      <c r="AH67" s="42"/>
      <c r="AI67" s="136"/>
      <c r="AJ67" s="136"/>
      <c r="AK67" s="64"/>
      <c r="AL67" s="42"/>
      <c r="AM67" s="136"/>
      <c r="AN67" s="136"/>
      <c r="AO67" s="64"/>
      <c r="AP67" s="42"/>
      <c r="AQ67" s="136"/>
      <c r="AR67" s="136"/>
      <c r="AS67" s="64"/>
      <c r="AT67" s="42"/>
      <c r="AU67" s="136"/>
      <c r="AV67" s="29"/>
      <c r="AW67" s="64"/>
    </row>
    <row r="68" spans="2:49">
      <c r="B68" s="137" t="s">
        <v>34</v>
      </c>
      <c r="C68" s="138"/>
      <c r="D68" s="138"/>
      <c r="E68" s="60"/>
      <c r="F68" s="42"/>
      <c r="G68" s="138"/>
      <c r="H68" s="138"/>
      <c r="I68" s="60"/>
      <c r="J68" s="42"/>
      <c r="K68" s="138"/>
      <c r="L68" s="138"/>
      <c r="M68" s="60"/>
      <c r="N68" s="42"/>
      <c r="O68" s="138"/>
      <c r="P68" s="138"/>
      <c r="Q68" s="60"/>
      <c r="R68" s="42"/>
      <c r="S68" s="138"/>
      <c r="T68" s="138"/>
      <c r="U68" s="60"/>
      <c r="V68" s="42"/>
      <c r="W68" s="138"/>
      <c r="X68" s="138"/>
      <c r="Y68" s="60"/>
      <c r="Z68" s="42"/>
      <c r="AA68" s="138"/>
      <c r="AB68" s="138"/>
      <c r="AC68" s="60"/>
      <c r="AD68" s="42"/>
      <c r="AE68" s="138"/>
      <c r="AF68" s="138"/>
      <c r="AG68" s="60"/>
      <c r="AH68" s="42"/>
      <c r="AI68" s="138"/>
      <c r="AJ68" s="138"/>
      <c r="AK68" s="60"/>
      <c r="AL68" s="42"/>
      <c r="AM68" s="138"/>
      <c r="AN68" s="138"/>
      <c r="AO68" s="60"/>
      <c r="AP68" s="42"/>
      <c r="AQ68" s="138"/>
      <c r="AR68" s="138"/>
      <c r="AS68" s="60"/>
      <c r="AT68" s="42"/>
      <c r="AU68" s="22"/>
      <c r="AV68" s="22"/>
      <c r="AW68" s="65"/>
    </row>
    <row r="69" spans="2:49">
      <c r="B69" s="109" t="s">
        <v>35</v>
      </c>
      <c r="C69" s="110">
        <v>85227</v>
      </c>
      <c r="D69" s="36"/>
      <c r="E69" s="61"/>
      <c r="F69" s="47"/>
      <c r="G69" s="110">
        <v>90037</v>
      </c>
      <c r="H69" s="36"/>
      <c r="I69" s="61"/>
      <c r="J69" s="47"/>
      <c r="K69" s="110">
        <v>107165</v>
      </c>
      <c r="L69" s="36"/>
      <c r="M69" s="61"/>
      <c r="N69" s="47"/>
      <c r="O69" s="110">
        <v>125976</v>
      </c>
      <c r="P69" s="36"/>
      <c r="Q69" s="61"/>
      <c r="R69" s="47"/>
      <c r="S69" s="110">
        <v>151503</v>
      </c>
      <c r="T69" s="36"/>
      <c r="U69" s="61"/>
      <c r="V69" s="47"/>
      <c r="W69" s="110"/>
      <c r="X69" s="36"/>
      <c r="Y69" s="61"/>
      <c r="Z69" s="47"/>
      <c r="AA69" s="110"/>
      <c r="AB69" s="36"/>
      <c r="AC69" s="61"/>
      <c r="AD69" s="47"/>
      <c r="AE69" s="110"/>
      <c r="AF69" s="36"/>
      <c r="AG69" s="61"/>
      <c r="AH69" s="47"/>
      <c r="AI69" s="110"/>
      <c r="AJ69" s="36"/>
      <c r="AK69" s="61"/>
      <c r="AL69" s="47"/>
      <c r="AM69" s="110"/>
      <c r="AN69" s="36"/>
      <c r="AO69" s="61"/>
      <c r="AP69" s="47"/>
      <c r="AQ69" s="110"/>
      <c r="AR69" s="36"/>
      <c r="AS69" s="61"/>
      <c r="AT69" s="47"/>
      <c r="AU69" s="113"/>
      <c r="AV69" s="57"/>
      <c r="AW69" s="53"/>
    </row>
    <row r="70" spans="2:49">
      <c r="B70" s="115" t="s">
        <v>36</v>
      </c>
      <c r="C70" s="131">
        <v>20100</v>
      </c>
      <c r="D70" s="35"/>
      <c r="E70" s="24"/>
      <c r="F70" s="47"/>
      <c r="G70" s="131">
        <v>27050</v>
      </c>
      <c r="H70" s="35"/>
      <c r="I70" s="24"/>
      <c r="J70" s="47"/>
      <c r="K70" s="131">
        <v>29100</v>
      </c>
      <c r="L70" s="35"/>
      <c r="M70" s="24"/>
      <c r="N70" s="47"/>
      <c r="O70" s="131">
        <v>31100</v>
      </c>
      <c r="P70" s="35"/>
      <c r="Q70" s="24"/>
      <c r="R70" s="47"/>
      <c r="S70" s="131">
        <v>33301</v>
      </c>
      <c r="T70" s="35"/>
      <c r="U70" s="24"/>
      <c r="V70" s="47"/>
      <c r="W70" s="131"/>
      <c r="X70" s="35"/>
      <c r="Y70" s="24"/>
      <c r="Z70" s="47"/>
      <c r="AA70" s="131"/>
      <c r="AB70" s="35"/>
      <c r="AC70" s="24"/>
      <c r="AD70" s="47"/>
      <c r="AE70" s="131"/>
      <c r="AF70" s="35"/>
      <c r="AG70" s="24"/>
      <c r="AH70" s="47"/>
      <c r="AI70" s="131"/>
      <c r="AJ70" s="35"/>
      <c r="AK70" s="24"/>
      <c r="AL70" s="47"/>
      <c r="AM70" s="131"/>
      <c r="AN70" s="35"/>
      <c r="AO70" s="24"/>
      <c r="AP70" s="47"/>
      <c r="AQ70" s="131"/>
      <c r="AR70" s="35"/>
      <c r="AS70" s="24"/>
      <c r="AT70" s="47"/>
      <c r="AU70" s="131"/>
      <c r="AV70" s="35"/>
      <c r="AW70" s="24"/>
    </row>
    <row r="71" spans="2:49">
      <c r="C71" s="119"/>
      <c r="D71" s="119"/>
      <c r="F71" s="44"/>
      <c r="G71" s="119"/>
      <c r="H71" s="119"/>
      <c r="J71" s="44"/>
      <c r="K71" s="119"/>
      <c r="L71" s="119"/>
      <c r="N71" s="44"/>
      <c r="O71" s="119"/>
      <c r="P71" s="119"/>
      <c r="R71" s="44"/>
      <c r="S71" s="119"/>
      <c r="T71" s="119"/>
      <c r="V71" s="44"/>
      <c r="W71" s="119"/>
      <c r="X71" s="119"/>
      <c r="Z71" s="44"/>
      <c r="AA71" s="119"/>
      <c r="AB71" s="119"/>
      <c r="AD71" s="44"/>
      <c r="AE71" s="119"/>
      <c r="AF71" s="119"/>
      <c r="AH71" s="44"/>
      <c r="AI71" s="119"/>
      <c r="AJ71" s="119"/>
      <c r="AL71" s="44"/>
      <c r="AM71" s="119"/>
      <c r="AN71" s="119"/>
      <c r="AP71" s="44"/>
      <c r="AQ71" s="119"/>
      <c r="AR71" s="119"/>
      <c r="AT71" s="44"/>
      <c r="AU71" s="119"/>
      <c r="AV71" s="119"/>
    </row>
    <row r="72" spans="2:49">
      <c r="B72" s="137" t="s">
        <v>37</v>
      </c>
      <c r="C72" s="139"/>
      <c r="D72" s="139"/>
      <c r="E72" s="59"/>
      <c r="F72" s="44"/>
      <c r="G72" s="139"/>
      <c r="H72" s="139"/>
      <c r="I72" s="59"/>
      <c r="J72" s="44"/>
      <c r="K72" s="139"/>
      <c r="L72" s="139"/>
      <c r="M72" s="59"/>
      <c r="N72" s="44"/>
      <c r="O72" s="139"/>
      <c r="P72" s="139"/>
      <c r="Q72" s="59"/>
      <c r="R72" s="44"/>
      <c r="S72" s="139"/>
      <c r="T72" s="139"/>
      <c r="U72" s="59"/>
      <c r="V72" s="44"/>
      <c r="W72" s="139"/>
      <c r="X72" s="139"/>
      <c r="Y72" s="59"/>
      <c r="Z72" s="44"/>
      <c r="AA72" s="139"/>
      <c r="AB72" s="139"/>
      <c r="AC72" s="59"/>
      <c r="AD72" s="44"/>
      <c r="AE72" s="139"/>
      <c r="AF72" s="139"/>
      <c r="AG72" s="59"/>
      <c r="AH72" s="44"/>
      <c r="AI72" s="139"/>
      <c r="AJ72" s="139"/>
      <c r="AK72" s="59"/>
      <c r="AL72" s="44"/>
      <c r="AM72" s="139"/>
      <c r="AN72" s="139"/>
      <c r="AO72" s="59"/>
      <c r="AP72" s="44"/>
      <c r="AQ72" s="139"/>
      <c r="AR72" s="139"/>
      <c r="AS72" s="59"/>
      <c r="AT72" s="44"/>
      <c r="AU72" s="27"/>
      <c r="AV72" s="27"/>
      <c r="AW72" s="67"/>
    </row>
    <row r="73" spans="2:49">
      <c r="B73" s="109" t="s">
        <v>38</v>
      </c>
      <c r="C73" s="141">
        <v>0</v>
      </c>
      <c r="D73" s="33"/>
      <c r="E73" s="63"/>
      <c r="F73" s="123"/>
      <c r="G73" s="141">
        <v>0</v>
      </c>
      <c r="H73" s="33"/>
      <c r="I73" s="63"/>
      <c r="J73" s="123"/>
      <c r="K73" s="141">
        <v>0</v>
      </c>
      <c r="L73" s="33"/>
      <c r="M73" s="63"/>
      <c r="N73" s="123"/>
      <c r="O73" s="141">
        <v>0</v>
      </c>
      <c r="P73" s="33"/>
      <c r="Q73" s="63"/>
      <c r="R73" s="123"/>
      <c r="S73" s="141">
        <v>0</v>
      </c>
      <c r="T73" s="33"/>
      <c r="U73" s="63"/>
      <c r="V73" s="123"/>
      <c r="W73" s="141">
        <v>0</v>
      </c>
      <c r="X73" s="33"/>
      <c r="Y73" s="63"/>
      <c r="Z73" s="123"/>
      <c r="AA73" s="141">
        <v>0</v>
      </c>
      <c r="AB73" s="33"/>
      <c r="AC73" s="63"/>
      <c r="AD73" s="123"/>
      <c r="AE73" s="141">
        <v>0</v>
      </c>
      <c r="AF73" s="33"/>
      <c r="AG73" s="63"/>
      <c r="AH73" s="123"/>
      <c r="AI73" s="141">
        <v>0</v>
      </c>
      <c r="AJ73" s="33"/>
      <c r="AK73" s="63"/>
      <c r="AL73" s="123"/>
      <c r="AM73" s="141">
        <v>0</v>
      </c>
      <c r="AN73" s="33"/>
      <c r="AO73" s="63"/>
      <c r="AP73" s="123"/>
      <c r="AQ73" s="141">
        <v>0</v>
      </c>
      <c r="AR73" s="33"/>
      <c r="AS73" s="63"/>
      <c r="AT73" s="123"/>
      <c r="AU73" s="141">
        <v>0</v>
      </c>
      <c r="AV73" s="54"/>
      <c r="AW73" s="69"/>
    </row>
    <row r="74" spans="2:49">
      <c r="B74" s="112" t="s">
        <v>39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2" t="s">
        <v>40</v>
      </c>
      <c r="C75" s="143">
        <v>0</v>
      </c>
      <c r="D75" s="54"/>
      <c r="E75" s="69"/>
      <c r="F75" s="123"/>
      <c r="G75" s="143">
        <v>0</v>
      </c>
      <c r="H75" s="54"/>
      <c r="I75" s="69"/>
      <c r="J75" s="123"/>
      <c r="K75" s="143">
        <v>0</v>
      </c>
      <c r="L75" s="54"/>
      <c r="M75" s="69"/>
      <c r="N75" s="123"/>
      <c r="O75" s="143">
        <v>0</v>
      </c>
      <c r="P75" s="54"/>
      <c r="Q75" s="69"/>
      <c r="R75" s="123"/>
      <c r="S75" s="143">
        <v>0</v>
      </c>
      <c r="T75" s="54"/>
      <c r="U75" s="69"/>
      <c r="V75" s="123"/>
      <c r="W75" s="143">
        <v>0</v>
      </c>
      <c r="X75" s="54"/>
      <c r="Y75" s="69"/>
      <c r="Z75" s="123"/>
      <c r="AA75" s="143">
        <v>0</v>
      </c>
      <c r="AB75" s="54"/>
      <c r="AC75" s="69"/>
      <c r="AD75" s="123"/>
      <c r="AE75" s="143">
        <v>0</v>
      </c>
      <c r="AF75" s="54"/>
      <c r="AG75" s="69"/>
      <c r="AH75" s="123"/>
      <c r="AI75" s="143">
        <v>0</v>
      </c>
      <c r="AJ75" s="54"/>
      <c r="AK75" s="69"/>
      <c r="AL75" s="123"/>
      <c r="AM75" s="143">
        <v>0</v>
      </c>
      <c r="AN75" s="54"/>
      <c r="AO75" s="69"/>
      <c r="AP75" s="123"/>
      <c r="AQ75" s="143">
        <v>0</v>
      </c>
      <c r="AR75" s="54"/>
      <c r="AS75" s="69"/>
      <c r="AT75" s="123"/>
      <c r="AU75" s="143">
        <v>0</v>
      </c>
      <c r="AV75" s="54"/>
      <c r="AW75" s="69"/>
    </row>
    <row r="76" spans="2:49">
      <c r="B76" s="115" t="s">
        <v>41</v>
      </c>
      <c r="C76" s="145">
        <v>0</v>
      </c>
      <c r="D76" s="32"/>
      <c r="E76" s="68"/>
      <c r="F76" s="123"/>
      <c r="G76" s="145">
        <v>0</v>
      </c>
      <c r="H76" s="32"/>
      <c r="I76" s="68"/>
      <c r="J76" s="123"/>
      <c r="K76" s="145">
        <v>0</v>
      </c>
      <c r="L76" s="32"/>
      <c r="M76" s="68"/>
      <c r="N76" s="123"/>
      <c r="O76" s="145">
        <v>0</v>
      </c>
      <c r="P76" s="32"/>
      <c r="Q76" s="68"/>
      <c r="R76" s="123"/>
      <c r="S76" s="145">
        <v>0</v>
      </c>
      <c r="T76" s="32"/>
      <c r="U76" s="68"/>
      <c r="V76" s="123"/>
      <c r="W76" s="145">
        <v>0</v>
      </c>
      <c r="X76" s="32"/>
      <c r="Y76" s="68"/>
      <c r="Z76" s="123"/>
      <c r="AA76" s="145">
        <v>0</v>
      </c>
      <c r="AB76" s="32"/>
      <c r="AC76" s="68"/>
      <c r="AD76" s="123"/>
      <c r="AE76" s="145">
        <v>0</v>
      </c>
      <c r="AF76" s="32"/>
      <c r="AG76" s="68"/>
      <c r="AH76" s="123"/>
      <c r="AI76" s="145">
        <v>0</v>
      </c>
      <c r="AJ76" s="32"/>
      <c r="AK76" s="68"/>
      <c r="AL76" s="123"/>
      <c r="AM76" s="145">
        <v>0</v>
      </c>
      <c r="AN76" s="32"/>
      <c r="AO76" s="68"/>
      <c r="AP76" s="123"/>
      <c r="AQ76" s="145">
        <v>0</v>
      </c>
      <c r="AR76" s="32"/>
      <c r="AS76" s="68"/>
      <c r="AT76" s="123"/>
      <c r="AU76" s="145">
        <v>0</v>
      </c>
      <c r="AV76" s="32"/>
      <c r="AW76" s="68"/>
    </row>
    <row r="78" spans="2:49">
      <c r="B78" s="137" t="s">
        <v>42</v>
      </c>
      <c r="C78" s="140"/>
      <c r="D78" s="140"/>
      <c r="E78" s="59"/>
      <c r="G78" s="140"/>
      <c r="H78" s="140"/>
      <c r="I78" s="59"/>
      <c r="K78" s="140"/>
      <c r="L78" s="140"/>
      <c r="M78" s="59"/>
      <c r="O78" s="140"/>
      <c r="P78" s="140"/>
      <c r="Q78" s="59"/>
      <c r="S78" s="140"/>
      <c r="T78" s="140"/>
      <c r="U78" s="59"/>
      <c r="W78" s="140"/>
      <c r="X78" s="140"/>
      <c r="Y78" s="59"/>
      <c r="AA78" s="140"/>
      <c r="AB78" s="140"/>
      <c r="AC78" s="59"/>
      <c r="AE78" s="140"/>
      <c r="AF78" s="140"/>
      <c r="AG78" s="59"/>
      <c r="AI78" s="140"/>
      <c r="AJ78" s="140"/>
      <c r="AK78" s="59"/>
      <c r="AM78" s="140"/>
      <c r="AN78" s="140"/>
      <c r="AO78" s="59"/>
      <c r="AQ78" s="140"/>
      <c r="AR78" s="140"/>
      <c r="AS78" s="59"/>
      <c r="AU78" s="140"/>
      <c r="AV78" s="21"/>
      <c r="AW78" s="67"/>
    </row>
    <row r="79" spans="2:49">
      <c r="B79" s="109" t="s">
        <v>43</v>
      </c>
      <c r="C79" s="110">
        <v>0</v>
      </c>
      <c r="D79" s="36"/>
      <c r="E79" s="61"/>
      <c r="F79" s="47"/>
      <c r="G79" s="110">
        <v>0</v>
      </c>
      <c r="H79" s="31"/>
      <c r="I79" s="61"/>
      <c r="J79" s="40"/>
      <c r="K79" s="110">
        <v>0</v>
      </c>
      <c r="L79" s="31"/>
      <c r="M79" s="61"/>
      <c r="N79" s="40"/>
      <c r="O79" s="110">
        <v>0</v>
      </c>
      <c r="P79" s="31"/>
      <c r="Q79" s="61"/>
      <c r="R79" s="40"/>
      <c r="S79" s="110">
        <v>0</v>
      </c>
      <c r="T79" s="31"/>
      <c r="U79" s="61"/>
      <c r="V79" s="40"/>
      <c r="W79" s="110">
        <v>0</v>
      </c>
      <c r="X79" s="31"/>
      <c r="Y79" s="61"/>
      <c r="Z79" s="40"/>
      <c r="AA79" s="110">
        <v>0</v>
      </c>
      <c r="AB79" s="31"/>
      <c r="AC79" s="61"/>
      <c r="AD79" s="40"/>
      <c r="AE79" s="110">
        <v>0</v>
      </c>
      <c r="AF79" s="31"/>
      <c r="AG79" s="61"/>
      <c r="AH79" s="40"/>
      <c r="AI79" s="110">
        <v>0</v>
      </c>
      <c r="AJ79" s="31"/>
      <c r="AK79" s="61"/>
      <c r="AL79" s="40"/>
      <c r="AM79" s="110">
        <v>0</v>
      </c>
      <c r="AN79" s="31"/>
      <c r="AO79" s="61"/>
      <c r="AP79" s="40"/>
      <c r="AQ79" s="110">
        <v>0</v>
      </c>
      <c r="AR79" s="31"/>
      <c r="AS79" s="61"/>
      <c r="AT79" s="40"/>
      <c r="AU79" s="110">
        <v>0</v>
      </c>
      <c r="AV79" s="52"/>
      <c r="AW79" s="53"/>
    </row>
    <row r="80" spans="2:49">
      <c r="B80" s="112" t="s">
        <v>44</v>
      </c>
      <c r="C80" s="113">
        <v>0</v>
      </c>
      <c r="D80" s="57"/>
      <c r="E80" s="53"/>
      <c r="F80" s="47"/>
      <c r="G80" s="113">
        <v>0</v>
      </c>
      <c r="H80" s="52"/>
      <c r="I80" s="53"/>
      <c r="J80" s="40"/>
      <c r="K80" s="113">
        <v>0</v>
      </c>
      <c r="L80" s="52"/>
      <c r="M80" s="53"/>
      <c r="N80" s="40"/>
      <c r="O80" s="113">
        <v>0</v>
      </c>
      <c r="P80" s="52"/>
      <c r="Q80" s="53"/>
      <c r="R80" s="40"/>
      <c r="S80" s="113">
        <v>0</v>
      </c>
      <c r="T80" s="52"/>
      <c r="U80" s="53"/>
      <c r="V80" s="40"/>
      <c r="W80" s="113">
        <v>0</v>
      </c>
      <c r="X80" s="52"/>
      <c r="Y80" s="53"/>
      <c r="Z80" s="40"/>
      <c r="AA80" s="113">
        <v>0</v>
      </c>
      <c r="AB80" s="52"/>
      <c r="AC80" s="53"/>
      <c r="AD80" s="40"/>
      <c r="AE80" s="113">
        <v>0</v>
      </c>
      <c r="AF80" s="52"/>
      <c r="AG80" s="53"/>
      <c r="AH80" s="40"/>
      <c r="AI80" s="113">
        <v>0</v>
      </c>
      <c r="AJ80" s="52"/>
      <c r="AK80" s="53"/>
      <c r="AL80" s="40"/>
      <c r="AM80" s="113">
        <v>0</v>
      </c>
      <c r="AN80" s="52"/>
      <c r="AO80" s="53"/>
      <c r="AP80" s="40"/>
      <c r="AQ80" s="113">
        <v>0</v>
      </c>
      <c r="AR80" s="52"/>
      <c r="AS80" s="53"/>
      <c r="AT80" s="40"/>
      <c r="AU80" s="113">
        <v>0</v>
      </c>
      <c r="AV80" s="52"/>
      <c r="AW80" s="53"/>
    </row>
    <row r="81" spans="2:49">
      <c r="B81" s="115" t="s">
        <v>162</v>
      </c>
      <c r="C81" s="131">
        <v>0</v>
      </c>
      <c r="D81" s="35"/>
      <c r="E81" s="24"/>
      <c r="F81" s="47"/>
      <c r="G81" s="131">
        <v>0</v>
      </c>
      <c r="H81" s="30"/>
      <c r="I81" s="24"/>
      <c r="J81" s="40"/>
      <c r="K81" s="131">
        <v>0</v>
      </c>
      <c r="L81" s="30"/>
      <c r="M81" s="24"/>
      <c r="N81" s="40"/>
      <c r="O81" s="131">
        <v>0</v>
      </c>
      <c r="P81" s="30"/>
      <c r="Q81" s="24"/>
      <c r="R81" s="40"/>
      <c r="S81" s="131">
        <v>0</v>
      </c>
      <c r="T81" s="30"/>
      <c r="U81" s="24"/>
      <c r="V81" s="40"/>
      <c r="W81" s="131">
        <v>0</v>
      </c>
      <c r="X81" s="30"/>
      <c r="Y81" s="24"/>
      <c r="Z81" s="40"/>
      <c r="AA81" s="131">
        <v>0</v>
      </c>
      <c r="AB81" s="30"/>
      <c r="AC81" s="24"/>
      <c r="AD81" s="40"/>
      <c r="AE81" s="131">
        <v>0</v>
      </c>
      <c r="AF81" s="30"/>
      <c r="AG81" s="24"/>
      <c r="AH81" s="40"/>
      <c r="AI81" s="131">
        <v>0</v>
      </c>
      <c r="AJ81" s="30"/>
      <c r="AK81" s="24"/>
      <c r="AL81" s="40"/>
      <c r="AM81" s="131">
        <v>0</v>
      </c>
      <c r="AN81" s="30"/>
      <c r="AO81" s="24"/>
      <c r="AP81" s="40"/>
      <c r="AQ81" s="131">
        <v>0</v>
      </c>
      <c r="AR81" s="30"/>
      <c r="AS81" s="24"/>
      <c r="AT81" s="40"/>
      <c r="AU81" s="131">
        <v>0</v>
      </c>
      <c r="AV81" s="30"/>
      <c r="AW81" s="24"/>
    </row>
  </sheetData>
  <phoneticPr fontId="10" type="noConversion"/>
  <pageMargins left="0.75" right="0.75" top="1" bottom="1" header="0.5" footer="0.5"/>
  <rowBreaks count="1" manualBreakCount="1">
    <brk id="9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C6" activePane="bottomRight" state="frozenSplit"/>
      <selection activeCell="C25" sqref="C25"/>
      <selection pane="topRight" activeCell="C25" sqref="C25"/>
      <selection pane="bottomLeft" activeCell="C25" sqref="C25"/>
      <selection pane="bottomRight" activeCell="S55" sqref="S55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58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 ht="15" thickTop="1">
      <c r="B8" s="98" t="s">
        <v>3</v>
      </c>
      <c r="C8" s="177" t="str">
        <f>IF(ISERROR(C19/C18),"NM",C19/C18)</f>
        <v>NM</v>
      </c>
      <c r="D8" s="177" t="str">
        <f>IF(ISERROR(D19/D18),"NM",D19/D18)</f>
        <v>NM</v>
      </c>
      <c r="E8" s="177" t="str">
        <f>IF(ISERROR(C8-D8),"NM",C8-D8)</f>
        <v>NM</v>
      </c>
      <c r="F8" s="50"/>
      <c r="G8" s="177" t="str">
        <f>IF(ISERROR(G19/G18),"NM",G19/G18)</f>
        <v>NM</v>
      </c>
      <c r="H8" s="177" t="str">
        <f>IF(ISERROR(H19/H18),"NM",H19/H18)</f>
        <v>NM</v>
      </c>
      <c r="I8" s="177" t="str">
        <f>IF(ISERROR(G8-H8),"NM",G8-H8)</f>
        <v>NM</v>
      </c>
      <c r="J8" s="50"/>
      <c r="K8" s="177" t="str">
        <f>IF(ISERROR(K19/K18),"NM",K19/K18)</f>
        <v>NM</v>
      </c>
      <c r="L8" s="177" t="str">
        <f>IF(ISERROR(L19/L18),"NM",L19/L18)</f>
        <v>NM</v>
      </c>
      <c r="M8" s="177" t="str">
        <f>IF(ISERROR(K8-L8),"NM",K8-L8)</f>
        <v>NM</v>
      </c>
      <c r="N8" s="50"/>
      <c r="O8" s="177">
        <f>IF(ISERROR(O19/O18),"NM",O19/O18)</f>
        <v>1.35965272495125</v>
      </c>
      <c r="P8" s="177" t="str">
        <f>IF(ISERROR(P19/P18),"NM",P19/P18)</f>
        <v>NM</v>
      </c>
      <c r="Q8" s="177" t="str">
        <f>IF(ISERROR(O8-P8),"NM",O8-P8)</f>
        <v>NM</v>
      </c>
      <c r="R8" s="50"/>
      <c r="S8" s="177">
        <f>IF(ISERROR(S19/S18),"NM",S19/S18)</f>
        <v>1.4155047176972182</v>
      </c>
      <c r="T8" s="177" t="str">
        <f>IF(ISERROR(T19/T18),"NM",T19/T18)</f>
        <v>NM</v>
      </c>
      <c r="U8" s="177" t="str">
        <f>IF(ISERROR(S8-T8),"NM",S8-T8)</f>
        <v>NM</v>
      </c>
      <c r="V8" s="50"/>
      <c r="W8" s="177" t="str">
        <f>IF(ISERROR(W19/W18),"NM",W19/W18)</f>
        <v>NM</v>
      </c>
      <c r="X8" s="177" t="str">
        <f>IF(ISERROR(X19/X18),"NM",X19/X18)</f>
        <v>NM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 t="str">
        <f>IF(ISERROR(AB19/AB18),"NM",AB19/AB18)</f>
        <v>NM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 t="str">
        <f>IF(ISERROR(AF19/AF18),"NM",AF19/AF18)</f>
        <v>NM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 t="str">
        <f>IF(ISERROR(AJ19/AJ18),"NM",AJ19/AJ18)</f>
        <v>NM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 t="str">
        <f>IF(ISERROR(AN19/AN18),"NM",AN19/AN18)</f>
        <v>NM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 t="str">
        <f>IF(ISERROR(AR19/AR18),"NM",AR19/AR18)</f>
        <v>NM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 t="str">
        <f>IF(ISERROR(AV19/AV18),"NM",AV19/AV18)</f>
        <v>NM</v>
      </c>
      <c r="AW8" s="177" t="str">
        <f>IF(ISERROR(AU8-AV8),"NM",AU8-AV8)</f>
        <v>NM</v>
      </c>
    </row>
    <row r="9" spans="2:49">
      <c r="B9" s="98" t="s">
        <v>4</v>
      </c>
      <c r="C9" s="177" t="str">
        <f>IF(ISERROR(C20/C19),"NM",C20/C19)</f>
        <v>NM</v>
      </c>
      <c r="D9" s="177" t="str">
        <f>IF(ISERROR(D20/D19),"NM",D20/D19)</f>
        <v>NM</v>
      </c>
      <c r="E9" s="177" t="str">
        <f>IF(ISERROR(C9-D9),"NM",C9-D9)</f>
        <v>NM</v>
      </c>
      <c r="F9" s="50"/>
      <c r="G9" s="177" t="str">
        <f>IF(ISERROR(G20/G19),"NM",G20/G19)</f>
        <v>NM</v>
      </c>
      <c r="H9" s="177" t="str">
        <f>IF(ISERROR(H20/H19),"NM",H20/H19)</f>
        <v>NM</v>
      </c>
      <c r="I9" s="177" t="str">
        <f>IF(ISERROR(G9-H9),"NM",G9-H9)</f>
        <v>NM</v>
      </c>
      <c r="J9" s="50"/>
      <c r="K9" s="177" t="str">
        <f>IF(ISERROR(K20/K19),"NM",K20/K19)</f>
        <v>NM</v>
      </c>
      <c r="L9" s="177" t="str">
        <f>IF(ISERROR(L20/L19),"NM",L20/L19)</f>
        <v>NM</v>
      </c>
      <c r="M9" s="177" t="str">
        <f>IF(ISERROR(K9-L9),"NM",K9-L9)</f>
        <v>NM</v>
      </c>
      <c r="N9" s="50"/>
      <c r="O9" s="177">
        <f>IF(ISERROR(O20/O19),"NM",O20/O19)</f>
        <v>1.4230628947529118</v>
      </c>
      <c r="P9" s="177" t="str">
        <f>IF(ISERROR(P20/P19),"NM",P20/P19)</f>
        <v>NM</v>
      </c>
      <c r="Q9" s="177" t="str">
        <f>IF(ISERROR(O9-P9),"NM",O9-P9)</f>
        <v>NM</v>
      </c>
      <c r="R9" s="50"/>
      <c r="S9" s="177">
        <f>IF(ISERROR(S20/S19),"NM",S20/S19)</f>
        <v>1.5716454048708841</v>
      </c>
      <c r="T9" s="177" t="str">
        <f>IF(ISERROR(T20/T19),"NM",T20/T19)</f>
        <v>NM</v>
      </c>
      <c r="U9" s="177" t="str">
        <f>IF(ISERROR(S9-T9),"NM",S9-T9)</f>
        <v>NM</v>
      </c>
      <c r="V9" s="50"/>
      <c r="W9" s="177" t="str">
        <f>IF(ISERROR(W20/W19),"NM",W20/W19)</f>
        <v>NM</v>
      </c>
      <c r="X9" s="177" t="str">
        <f>IF(ISERROR(X20/X19),"NM",X20/X19)</f>
        <v>NM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 t="str">
        <f>IF(ISERROR(AB20/AB19),"NM",AB20/AB19)</f>
        <v>NM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 t="str">
        <f>IF(ISERROR(AF20/AF19),"NM",AF20/AF19)</f>
        <v>NM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 t="str">
        <f>IF(ISERROR(AJ20/AJ19),"NM",AJ20/AJ19)</f>
        <v>NM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 t="str">
        <f>IF(ISERROR(AN20/AN19),"NM",AN20/AN19)</f>
        <v>NM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 t="str">
        <f>IF(ISERROR(AR20/AR19),"NM",AR20/AR19)</f>
        <v>NM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 t="str">
        <f>IF(ISERROR(AV20/AV19),"NM",AV20/AV19)</f>
        <v>NM</v>
      </c>
      <c r="AW9" s="177" t="str">
        <f>IF(ISERROR(AU9-AV9),"NM",AU9-AV9)</f>
        <v>NM</v>
      </c>
    </row>
    <row r="10" spans="2:49">
      <c r="B10" s="98" t="s">
        <v>5</v>
      </c>
      <c r="C10" s="177" t="str">
        <f>IF(ISERROR((C55+C63)/C19),"NM",(C55+C63)/C19)</f>
        <v>NM</v>
      </c>
      <c r="D10" s="37"/>
      <c r="E10" s="37"/>
      <c r="F10" s="50"/>
      <c r="G10" s="177" t="str">
        <f>IF(ISERROR((G55+G63)/G19),"NM",(G55+G63)/G19)</f>
        <v>NM</v>
      </c>
      <c r="H10" s="37"/>
      <c r="I10" s="37"/>
      <c r="J10" s="50"/>
      <c r="K10" s="177" t="str">
        <f>IF(ISERROR((K55+K63)/K19),"NM",(K55+K63)/K19)</f>
        <v>NM</v>
      </c>
      <c r="L10" s="37"/>
      <c r="M10" s="37"/>
      <c r="N10" s="50"/>
      <c r="O10" s="177">
        <f>IF(ISERROR((O55+O63)/O19),"NM",(O55+O63)/O19)</f>
        <v>8.5802180826746899E-2</v>
      </c>
      <c r="P10" s="37"/>
      <c r="Q10" s="37"/>
      <c r="R10" s="50"/>
      <c r="S10" s="177">
        <f>IF(ISERROR((S55+S63)/S19),"NM",(S55+S63)/S19)</f>
        <v>0.19571516343528572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 t="str">
        <f>IF(ISERROR(((C57+C65)/C19)*60),"NM",((C57+C65)/C19)*60)</f>
        <v>NM</v>
      </c>
      <c r="D11" s="37"/>
      <c r="E11" s="37"/>
      <c r="F11" s="50"/>
      <c r="G11" s="177" t="str">
        <f>IF(ISERROR(((G57+G65)/G19)*60),"NM",((G57+G65)/G19)*60)</f>
        <v>NM</v>
      </c>
      <c r="H11" s="37"/>
      <c r="I11" s="37"/>
      <c r="J11" s="50"/>
      <c r="K11" s="177" t="str">
        <f>IF(ISERROR(((K57+K65)/K19)*60),"NM",((K57+K65)/K19)*60)</f>
        <v>NM</v>
      </c>
      <c r="L11" s="37"/>
      <c r="M11" s="37"/>
      <c r="N11" s="50"/>
      <c r="O11" s="177">
        <f>IF(ISERROR(((O57+O65)/O19)*60),"NM",((O57+O65)/O19)*60)</f>
        <v>0.3497024550429797</v>
      </c>
      <c r="P11" s="37"/>
      <c r="Q11" s="37"/>
      <c r="R11" s="50"/>
      <c r="S11" s="177">
        <f>IF(ISERROR(((S57+S65)/S19)*60),"NM",((S57+S65)/S19)*60)</f>
        <v>1.0388879354676328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 t="str">
        <f>IF(ISERROR(((C57+C65)/(C55+C63))*60),"NM",((C57+C65)/(C55+C63))*60)</f>
        <v>NM</v>
      </c>
      <c r="D12" s="37"/>
      <c r="E12" s="37"/>
      <c r="F12" s="50"/>
      <c r="G12" s="177" t="str">
        <f>IF(ISERROR(((G57+G65)/(G55+G63))*60),"NM",((G57+G65)/(G55+G63))*60)</f>
        <v>NM</v>
      </c>
      <c r="H12" s="37"/>
      <c r="I12" s="37"/>
      <c r="J12" s="50"/>
      <c r="K12" s="177" t="str">
        <f>IF(ISERROR(((K57+K65)/(K55+K63))*60),"NM",((K57+K65)/(K55+K63))*60)</f>
        <v>NM</v>
      </c>
      <c r="L12" s="37"/>
      <c r="M12" s="37"/>
      <c r="N12" s="50"/>
      <c r="O12" s="177">
        <f>IF(ISERROR(((O57+O65)/(O55+O63))*60),"NM",((O57+O65)/(O55+O63))*60)</f>
        <v>4.0756825954005107</v>
      </c>
      <c r="P12" s="37"/>
      <c r="Q12" s="37"/>
      <c r="R12" s="50"/>
      <c r="S12" s="177">
        <f>IF(ISERROR(((S57+S65)/(S55+S63))*60),"NM",((S57+S65)/(S55+S63))*60)</f>
        <v>5.3081627260380699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 t="str">
        <f>IF(ISERROR(C29/C19),"NM",C29/C19)</f>
        <v>NM</v>
      </c>
      <c r="D13" s="178" t="str">
        <f>IF(ISERROR(D29/D19),"NM",D29/D19)</f>
        <v>NM</v>
      </c>
      <c r="E13" s="178" t="str">
        <f>IF(ISERROR(C13-D13),"NM",C13-D13)</f>
        <v>NM</v>
      </c>
      <c r="F13" s="49"/>
      <c r="G13" s="178" t="str">
        <f>IF(ISERROR(G29/G19),"NM",G29/G19)</f>
        <v>NM</v>
      </c>
      <c r="H13" s="178" t="str">
        <f>IF(ISERROR(H29/H19),"NM",H29/H19)</f>
        <v>NM</v>
      </c>
      <c r="I13" s="178" t="str">
        <f>IF(ISERROR(G13-H13),"NM",G13-H13)</f>
        <v>NM</v>
      </c>
      <c r="J13" s="49"/>
      <c r="K13" s="178" t="str">
        <f>IF(ISERROR(K29/K19),"NM",K29/K19)</f>
        <v>NM</v>
      </c>
      <c r="L13" s="178" t="str">
        <f>IF(ISERROR(L29/L19),"NM",L29/L19)</f>
        <v>NM</v>
      </c>
      <c r="M13" s="178" t="str">
        <f>IF(ISERROR(K13-L13),"NM",K13-L13)</f>
        <v>NM</v>
      </c>
      <c r="N13" s="38"/>
      <c r="O13" s="178">
        <f>IF(ISERROR(O29/O19),"NM",O29/O19)</f>
        <v>0.45473554958847501</v>
      </c>
      <c r="P13" s="178" t="str">
        <f>IF(ISERROR(P29/P19),"NM",P29/P19)</f>
        <v>NM</v>
      </c>
      <c r="Q13" s="178" t="str">
        <f>IF(ISERROR(O13-P13),"NM",O13-P13)</f>
        <v>NM</v>
      </c>
      <c r="R13" s="38"/>
      <c r="S13" s="39">
        <f>IF(ISERROR(S29/S19),"NM",S29/S19)</f>
        <v>0.41598833721729206</v>
      </c>
      <c r="T13" s="178" t="str">
        <f>IF(ISERROR(T29/T19),"NM",T29/T19)</f>
        <v>NM</v>
      </c>
      <c r="U13" s="178" t="str">
        <f>IF(ISERROR(S13-T13),"NM",S13-T13)</f>
        <v>NM</v>
      </c>
      <c r="V13" s="38"/>
      <c r="W13" s="39" t="str">
        <f>IF(ISERROR(W29/W19),"NM",W29/W19)</f>
        <v>NM</v>
      </c>
      <c r="X13" s="178" t="str">
        <f>IF(ISERROR(X29/X19),"NM",X29/X19)</f>
        <v>NM</v>
      </c>
      <c r="Y13" s="178" t="str">
        <f>IF(ISERROR(W13-X13),"NM",W13-X13)</f>
        <v>NM</v>
      </c>
      <c r="Z13" s="38"/>
      <c r="AA13" s="39" t="str">
        <f>IF(ISERROR(AA29/AA19),"NM",AA29/AA19)</f>
        <v>NM</v>
      </c>
      <c r="AB13" s="178" t="str">
        <f>IF(ISERROR(AB29/AB19),"NM",AB29/AB19)</f>
        <v>NM</v>
      </c>
      <c r="AC13" s="178" t="str">
        <f>IF(ISERROR(AA13-AB13),"NM",AA13-AB13)</f>
        <v>NM</v>
      </c>
      <c r="AD13" s="38"/>
      <c r="AE13" s="39" t="str">
        <f>IF(ISERROR(AE29/AE19),"NM",AE29/AE19)</f>
        <v>NM</v>
      </c>
      <c r="AF13" s="178" t="str">
        <f>IF(ISERROR(AF29/AF19),"NM",AF29/AF19)</f>
        <v>NM</v>
      </c>
      <c r="AG13" s="178" t="str">
        <f>IF(ISERROR(AE13-AF13),"NM",AE13-AF13)</f>
        <v>NM</v>
      </c>
      <c r="AH13" s="38"/>
      <c r="AI13" s="39" t="str">
        <f>IF(ISERROR(AI29/AI19),"NM",AI29/AI19)</f>
        <v>NM</v>
      </c>
      <c r="AJ13" s="178" t="str">
        <f>IF(ISERROR(AJ29/AJ19),"NM",AJ29/AJ19)</f>
        <v>NM</v>
      </c>
      <c r="AK13" s="178" t="str">
        <f>IF(ISERROR(AI13-AJ13),"NM",AI13-AJ13)</f>
        <v>NM</v>
      </c>
      <c r="AL13" s="38"/>
      <c r="AM13" s="39" t="str">
        <f>IF(ISERROR(AM29/AM19),"NM",AM29/AM19)</f>
        <v>NM</v>
      </c>
      <c r="AN13" s="178" t="str">
        <f>IF(ISERROR(AN29/AN19),"NM",AN29/AN19)</f>
        <v>NM</v>
      </c>
      <c r="AO13" s="178" t="str">
        <f>IF(ISERROR(AM13-AN13),"NM",AM13-AN13)</f>
        <v>NM</v>
      </c>
      <c r="AP13" s="38"/>
      <c r="AQ13" s="39" t="str">
        <f>IF(ISERROR(AQ29/AQ19),"NM",AQ29/AQ19)</f>
        <v>NM</v>
      </c>
      <c r="AR13" s="178" t="str">
        <f>IF(ISERROR(AR29/AR19),"NM",AR29/AR19)</f>
        <v>NM</v>
      </c>
      <c r="AS13" s="178" t="str">
        <f>IF(ISERROR(AQ13-AR13),"NM",AQ13-AR13)</f>
        <v>NM</v>
      </c>
      <c r="AT13" s="38"/>
      <c r="AU13" s="39" t="str">
        <f>IF(ISERROR(AU29/AU19),"NM",AU29/AU19)</f>
        <v>NM</v>
      </c>
      <c r="AV13" s="178" t="str">
        <f>IF(ISERROR(AV29/AV19),"NM",AV29/AV19)</f>
        <v>NM</v>
      </c>
      <c r="AW13" s="178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/>
      <c r="D18" s="110"/>
      <c r="E18" s="93">
        <f>C18-D18</f>
        <v>0</v>
      </c>
      <c r="F18" s="47"/>
      <c r="G18" s="110"/>
      <c r="H18" s="110"/>
      <c r="I18" s="93">
        <f>G18-H18</f>
        <v>0</v>
      </c>
      <c r="J18" s="47"/>
      <c r="K18" s="110"/>
      <c r="L18" s="110"/>
      <c r="M18" s="93">
        <f>K18-L18</f>
        <v>0</v>
      </c>
      <c r="N18" s="47"/>
      <c r="O18" s="110">
        <v>445641</v>
      </c>
      <c r="P18" s="110"/>
      <c r="Q18" s="93">
        <f>O18-P18</f>
        <v>445641</v>
      </c>
      <c r="R18" s="47"/>
      <c r="S18" s="110">
        <v>388643</v>
      </c>
      <c r="T18" s="110"/>
      <c r="U18" s="93">
        <f>S18-T18</f>
        <v>388643</v>
      </c>
      <c r="V18" s="47"/>
      <c r="W18" s="110"/>
      <c r="X18" s="110"/>
      <c r="Y18" s="93">
        <f>W18-X18</f>
        <v>0</v>
      </c>
      <c r="Z18" s="47"/>
      <c r="AA18" s="110"/>
      <c r="AB18" s="110"/>
      <c r="AC18" s="93">
        <f>AA18-AB18</f>
        <v>0</v>
      </c>
      <c r="AD18" s="47"/>
      <c r="AE18" s="110"/>
      <c r="AF18" s="110"/>
      <c r="AG18" s="93">
        <f>AE18-AF18</f>
        <v>0</v>
      </c>
      <c r="AH18" s="47"/>
      <c r="AI18" s="110"/>
      <c r="AJ18" s="110"/>
      <c r="AK18" s="93">
        <f>AI18-AJ18</f>
        <v>0</v>
      </c>
      <c r="AL18" s="47"/>
      <c r="AM18" s="110"/>
      <c r="AN18" s="110"/>
      <c r="AO18" s="93">
        <f>AM18-AN18</f>
        <v>0</v>
      </c>
      <c r="AP18" s="47"/>
      <c r="AQ18" s="110"/>
      <c r="AR18" s="110"/>
      <c r="AS18" s="93">
        <f>AQ18-AR18</f>
        <v>0</v>
      </c>
      <c r="AT18" s="47"/>
      <c r="AU18" s="113"/>
      <c r="AV18" s="110"/>
      <c r="AW18" s="93">
        <f>AU18-AV18</f>
        <v>0</v>
      </c>
    </row>
    <row r="19" spans="2:49">
      <c r="B19" s="112" t="s">
        <v>158</v>
      </c>
      <c r="C19" s="113"/>
      <c r="D19" s="113"/>
      <c r="E19" s="93">
        <f>C19-D19</f>
        <v>0</v>
      </c>
      <c r="F19" s="47"/>
      <c r="G19" s="113"/>
      <c r="H19" s="113"/>
      <c r="I19" s="93">
        <f>G19-H19</f>
        <v>0</v>
      </c>
      <c r="J19" s="47"/>
      <c r="K19" s="113"/>
      <c r="L19" s="113"/>
      <c r="M19" s="93">
        <f>K19-L19</f>
        <v>0</v>
      </c>
      <c r="N19" s="47"/>
      <c r="O19" s="113">
        <v>605917</v>
      </c>
      <c r="P19" s="113"/>
      <c r="Q19" s="93">
        <f>O19-P19</f>
        <v>605917</v>
      </c>
      <c r="R19" s="47"/>
      <c r="S19" s="113">
        <v>550126</v>
      </c>
      <c r="T19" s="113"/>
      <c r="U19" s="93">
        <f>S19-T19</f>
        <v>550126</v>
      </c>
      <c r="V19" s="47"/>
      <c r="W19" s="113"/>
      <c r="X19" s="113"/>
      <c r="Y19" s="93">
        <f>W19-X19</f>
        <v>0</v>
      </c>
      <c r="Z19" s="47"/>
      <c r="AA19" s="113"/>
      <c r="AB19" s="113"/>
      <c r="AC19" s="93">
        <f>AA19-AB19</f>
        <v>0</v>
      </c>
      <c r="AD19" s="47"/>
      <c r="AE19" s="113"/>
      <c r="AF19" s="113"/>
      <c r="AG19" s="93">
        <f>AE19-AF19</f>
        <v>0</v>
      </c>
      <c r="AH19" s="47"/>
      <c r="AI19" s="113"/>
      <c r="AJ19" s="113"/>
      <c r="AK19" s="93">
        <f>AI19-AJ19</f>
        <v>0</v>
      </c>
      <c r="AL19" s="47"/>
      <c r="AM19" s="113"/>
      <c r="AN19" s="113"/>
      <c r="AO19" s="93">
        <f>AM19-AN19</f>
        <v>0</v>
      </c>
      <c r="AP19" s="47"/>
      <c r="AQ19" s="113"/>
      <c r="AR19" s="113"/>
      <c r="AS19" s="93">
        <f>AQ19-AR19</f>
        <v>0</v>
      </c>
      <c r="AT19" s="47"/>
      <c r="AU19" s="113"/>
      <c r="AV19" s="113"/>
      <c r="AW19" s="93">
        <f>AU19-AV19</f>
        <v>0</v>
      </c>
    </row>
    <row r="20" spans="2:49">
      <c r="B20" s="112" t="s">
        <v>159</v>
      </c>
      <c r="C20" s="113"/>
      <c r="D20" s="113"/>
      <c r="E20" s="93">
        <f>C20-D20</f>
        <v>0</v>
      </c>
      <c r="F20" s="47"/>
      <c r="G20" s="113"/>
      <c r="H20" s="113"/>
      <c r="I20" s="93">
        <f>G20-H20</f>
        <v>0</v>
      </c>
      <c r="J20" s="47"/>
      <c r="K20" s="113"/>
      <c r="L20" s="113"/>
      <c r="M20" s="93">
        <f>K20-L20</f>
        <v>0</v>
      </c>
      <c r="N20" s="47"/>
      <c r="O20" s="113">
        <v>862258</v>
      </c>
      <c r="P20" s="113"/>
      <c r="Q20" s="93">
        <f>O20-P20</f>
        <v>862258</v>
      </c>
      <c r="R20" s="47"/>
      <c r="S20" s="113">
        <v>864603</v>
      </c>
      <c r="T20" s="113"/>
      <c r="U20" s="93">
        <f>S20-T20</f>
        <v>864603</v>
      </c>
      <c r="V20" s="47"/>
      <c r="W20" s="113"/>
      <c r="X20" s="113"/>
      <c r="Y20" s="93">
        <f>W20-X20</f>
        <v>0</v>
      </c>
      <c r="Z20" s="47"/>
      <c r="AA20" s="113"/>
      <c r="AB20" s="113"/>
      <c r="AC20" s="93">
        <f>AA20-AB20</f>
        <v>0</v>
      </c>
      <c r="AD20" s="47"/>
      <c r="AE20" s="113"/>
      <c r="AF20" s="113"/>
      <c r="AG20" s="93">
        <f>AE20-AF20</f>
        <v>0</v>
      </c>
      <c r="AH20" s="47"/>
      <c r="AI20" s="113"/>
      <c r="AJ20" s="113"/>
      <c r="AK20" s="93">
        <f>AI20-AJ20</f>
        <v>0</v>
      </c>
      <c r="AL20" s="47"/>
      <c r="AM20" s="113"/>
      <c r="AN20" s="113"/>
      <c r="AO20" s="93">
        <f>AM20-AN20</f>
        <v>0</v>
      </c>
      <c r="AP20" s="47"/>
      <c r="AQ20" s="113"/>
      <c r="AR20" s="113"/>
      <c r="AS20" s="93">
        <f>AQ20-AR20</f>
        <v>0</v>
      </c>
      <c r="AT20" s="47"/>
      <c r="AU20" s="113"/>
      <c r="AV20" s="113"/>
      <c r="AW20" s="93">
        <f>AU20-AV20</f>
        <v>0</v>
      </c>
    </row>
    <row r="21" spans="2:49">
      <c r="B21" s="115" t="s">
        <v>163</v>
      </c>
      <c r="C21" s="167"/>
      <c r="D21" s="58"/>
      <c r="E21" s="74"/>
      <c r="F21" s="46"/>
      <c r="G21" s="167"/>
      <c r="H21" s="58"/>
      <c r="I21" s="74"/>
      <c r="J21" s="46"/>
      <c r="K21" s="167"/>
      <c r="L21" s="35"/>
      <c r="M21" s="74"/>
      <c r="N21" s="47"/>
      <c r="O21" s="167">
        <v>2.4</v>
      </c>
      <c r="P21" s="35"/>
      <c r="Q21" s="74"/>
      <c r="R21" s="47"/>
      <c r="S21" s="131">
        <v>3.2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05"/>
      <c r="AW23" s="92"/>
    </row>
    <row r="24" spans="2:49">
      <c r="B24" s="109" t="s">
        <v>161</v>
      </c>
      <c r="C24" s="110"/>
      <c r="D24" s="110"/>
      <c r="E24" s="93">
        <f>C24-D24</f>
        <v>0</v>
      </c>
      <c r="F24" s="47"/>
      <c r="G24" s="110"/>
      <c r="H24" s="110"/>
      <c r="I24" s="93">
        <f>G24-H24</f>
        <v>0</v>
      </c>
      <c r="J24" s="47"/>
      <c r="K24" s="110"/>
      <c r="L24" s="110"/>
      <c r="M24" s="93">
        <f>K24-L24</f>
        <v>0</v>
      </c>
      <c r="N24" s="47"/>
      <c r="O24" s="110">
        <f>O19-O29</f>
        <v>330385</v>
      </c>
      <c r="P24" s="110"/>
      <c r="Q24" s="93">
        <f>O24-P24</f>
        <v>330385</v>
      </c>
      <c r="R24" s="47"/>
      <c r="S24" s="110">
        <f>S19-S29</f>
        <v>321280</v>
      </c>
      <c r="T24" s="110"/>
      <c r="U24" s="93">
        <f>S24-T24</f>
        <v>321280</v>
      </c>
      <c r="V24" s="47"/>
      <c r="W24" s="110"/>
      <c r="X24" s="110"/>
      <c r="Y24" s="93">
        <f>W24-X24</f>
        <v>0</v>
      </c>
      <c r="Z24" s="47"/>
      <c r="AA24" s="110"/>
      <c r="AB24" s="110"/>
      <c r="AC24" s="93">
        <f>AA24-AB24</f>
        <v>0</v>
      </c>
      <c r="AD24" s="47"/>
      <c r="AE24" s="110"/>
      <c r="AF24" s="110"/>
      <c r="AG24" s="93">
        <f>AE24-AF24</f>
        <v>0</v>
      </c>
      <c r="AH24" s="47"/>
      <c r="AI24" s="110"/>
      <c r="AJ24" s="110"/>
      <c r="AK24" s="93">
        <f>AI24-AJ24</f>
        <v>0</v>
      </c>
      <c r="AL24" s="47"/>
      <c r="AM24" s="110"/>
      <c r="AN24" s="110"/>
      <c r="AO24" s="93">
        <f>AM24-AN24</f>
        <v>0</v>
      </c>
      <c r="AP24" s="47"/>
      <c r="AQ24" s="110"/>
      <c r="AR24" s="110"/>
      <c r="AS24" s="93">
        <f>AQ24-AR24</f>
        <v>0</v>
      </c>
      <c r="AT24" s="47"/>
      <c r="AU24" s="113"/>
      <c r="AV24" s="110"/>
      <c r="AW24" s="93">
        <f>AU24-AV24</f>
        <v>0</v>
      </c>
    </row>
    <row r="25" spans="2:49">
      <c r="B25" s="112" t="s">
        <v>162</v>
      </c>
      <c r="C25" s="113"/>
      <c r="D25" s="113"/>
      <c r="E25" s="93">
        <f>C25-D25</f>
        <v>0</v>
      </c>
      <c r="F25" s="47"/>
      <c r="G25" s="113"/>
      <c r="H25" s="113"/>
      <c r="I25" s="93">
        <f>G25-H25</f>
        <v>0</v>
      </c>
      <c r="J25" s="47"/>
      <c r="K25" s="113"/>
      <c r="L25" s="113"/>
      <c r="M25" s="93">
        <f>K25-L25</f>
        <v>0</v>
      </c>
      <c r="N25" s="47"/>
      <c r="O25" s="113">
        <f>O20-O30</f>
        <v>525662</v>
      </c>
      <c r="P25" s="113"/>
      <c r="Q25" s="93">
        <f>O25-P25</f>
        <v>525662</v>
      </c>
      <c r="R25" s="47"/>
      <c r="S25" s="113">
        <f>S20-S30</f>
        <v>572343</v>
      </c>
      <c r="T25" s="113"/>
      <c r="U25" s="93">
        <f>S25-T25</f>
        <v>572343</v>
      </c>
      <c r="V25" s="47"/>
      <c r="W25" s="113"/>
      <c r="X25" s="113"/>
      <c r="Y25" s="93">
        <f>W25-X25</f>
        <v>0</v>
      </c>
      <c r="Z25" s="47"/>
      <c r="AA25" s="113"/>
      <c r="AB25" s="113"/>
      <c r="AC25" s="93">
        <f>AA25-AB25</f>
        <v>0</v>
      </c>
      <c r="AD25" s="47"/>
      <c r="AE25" s="113"/>
      <c r="AF25" s="113"/>
      <c r="AG25" s="93">
        <f>AE25-AF25</f>
        <v>0</v>
      </c>
      <c r="AH25" s="47"/>
      <c r="AI25" s="113"/>
      <c r="AJ25" s="113"/>
      <c r="AK25" s="93">
        <f>AI25-AJ25</f>
        <v>0</v>
      </c>
      <c r="AL25" s="47"/>
      <c r="AM25" s="113"/>
      <c r="AN25" s="113"/>
      <c r="AO25" s="93">
        <f>AM25-AN25</f>
        <v>0</v>
      </c>
      <c r="AP25" s="47"/>
      <c r="AQ25" s="113"/>
      <c r="AR25" s="113"/>
      <c r="AS25" s="93">
        <f>AQ25-AR25</f>
        <v>0</v>
      </c>
      <c r="AT25" s="47"/>
      <c r="AU25" s="113"/>
      <c r="AV25" s="113"/>
      <c r="AW25" s="93">
        <f>AU25-AV25</f>
        <v>0</v>
      </c>
    </row>
    <row r="26" spans="2:49">
      <c r="B26" s="115" t="s">
        <v>163</v>
      </c>
      <c r="C26" s="168"/>
      <c r="D26" s="56"/>
      <c r="E26" s="71"/>
      <c r="F26" s="45"/>
      <c r="G26" s="116"/>
      <c r="H26" s="34"/>
      <c r="I26" s="71"/>
      <c r="J26" s="41"/>
      <c r="K26" s="116"/>
      <c r="L26" s="34"/>
      <c r="M26" s="71"/>
      <c r="N26" s="41"/>
      <c r="O26" s="116">
        <v>3.3</v>
      </c>
      <c r="P26" s="34"/>
      <c r="Q26" s="71"/>
      <c r="R26" s="41"/>
      <c r="S26" s="116">
        <v>4.2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05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05"/>
      <c r="AS28" s="92"/>
      <c r="AT28" s="123"/>
      <c r="AU28" s="131"/>
      <c r="AV28" s="105"/>
      <c r="AW28" s="92"/>
    </row>
    <row r="29" spans="2:49">
      <c r="B29" s="109" t="s">
        <v>161</v>
      </c>
      <c r="C29" s="110"/>
      <c r="D29" s="110"/>
      <c r="E29" s="93">
        <f>C29-D29</f>
        <v>0</v>
      </c>
      <c r="F29" s="47"/>
      <c r="G29" s="110"/>
      <c r="H29" s="110"/>
      <c r="I29" s="93">
        <f>G29-H29</f>
        <v>0</v>
      </c>
      <c r="J29" s="47"/>
      <c r="K29" s="110"/>
      <c r="L29" s="110"/>
      <c r="M29" s="93">
        <f>K29-L29</f>
        <v>0</v>
      </c>
      <c r="N29" s="47"/>
      <c r="O29" s="110">
        <v>275532</v>
      </c>
      <c r="P29" s="110"/>
      <c r="Q29" s="93">
        <f>O29-P29</f>
        <v>275532</v>
      </c>
      <c r="R29" s="47"/>
      <c r="S29" s="110">
        <v>228846</v>
      </c>
      <c r="T29" s="110"/>
      <c r="U29" s="93">
        <f>S29-T29</f>
        <v>228846</v>
      </c>
      <c r="V29" s="47"/>
      <c r="W29" s="110"/>
      <c r="X29" s="110"/>
      <c r="Y29" s="93">
        <f>W29-X29</f>
        <v>0</v>
      </c>
      <c r="Z29" s="47"/>
      <c r="AA29" s="110"/>
      <c r="AB29" s="110"/>
      <c r="AC29" s="93">
        <f>AA29-AB29</f>
        <v>0</v>
      </c>
      <c r="AD29" s="47"/>
      <c r="AE29" s="110"/>
      <c r="AF29" s="110"/>
      <c r="AG29" s="93">
        <f>AE29-AF29</f>
        <v>0</v>
      </c>
      <c r="AH29" s="47"/>
      <c r="AI29" s="110"/>
      <c r="AJ29" s="110"/>
      <c r="AK29" s="93">
        <f>AI29-AJ29</f>
        <v>0</v>
      </c>
      <c r="AL29" s="47"/>
      <c r="AM29" s="110"/>
      <c r="AN29" s="110"/>
      <c r="AO29" s="93">
        <f>AM29-AN29</f>
        <v>0</v>
      </c>
      <c r="AP29" s="47"/>
      <c r="AQ29" s="110"/>
      <c r="AR29" s="110"/>
      <c r="AS29" s="93">
        <f>AQ29-AR29</f>
        <v>0</v>
      </c>
      <c r="AT29" s="47"/>
      <c r="AU29" s="113"/>
      <c r="AV29" s="110"/>
      <c r="AW29" s="93">
        <f>AU29-AV29</f>
        <v>0</v>
      </c>
    </row>
    <row r="30" spans="2:49">
      <c r="B30" s="112" t="s">
        <v>162</v>
      </c>
      <c r="C30" s="113"/>
      <c r="D30" s="47"/>
      <c r="E30" s="93">
        <f>C30-D30</f>
        <v>0</v>
      </c>
      <c r="F30" s="47"/>
      <c r="G30" s="113"/>
      <c r="H30" s="113"/>
      <c r="I30" s="93">
        <f>G30-H30</f>
        <v>0</v>
      </c>
      <c r="J30" s="47"/>
      <c r="K30" s="113"/>
      <c r="L30" s="113"/>
      <c r="M30" s="93">
        <f>K30-L30</f>
        <v>0</v>
      </c>
      <c r="N30" s="47"/>
      <c r="O30" s="113">
        <v>336596</v>
      </c>
      <c r="P30" s="113"/>
      <c r="Q30" s="93">
        <f>O30-P30</f>
        <v>336596</v>
      </c>
      <c r="R30" s="47"/>
      <c r="S30" s="113">
        <v>292260</v>
      </c>
      <c r="T30" s="113"/>
      <c r="U30" s="93">
        <f>S30-T30</f>
        <v>292260</v>
      </c>
      <c r="V30" s="47"/>
      <c r="W30" s="113"/>
      <c r="X30" s="113"/>
      <c r="Y30" s="93">
        <f>W30-X30</f>
        <v>0</v>
      </c>
      <c r="Z30" s="47"/>
      <c r="AA30" s="113"/>
      <c r="AB30" s="113"/>
      <c r="AC30" s="93">
        <f>AA30-AB30</f>
        <v>0</v>
      </c>
      <c r="AD30" s="47"/>
      <c r="AE30" s="113"/>
      <c r="AF30" s="113"/>
      <c r="AG30" s="93">
        <f>AE30-AF30</f>
        <v>0</v>
      </c>
      <c r="AH30" s="47"/>
      <c r="AI30" s="113"/>
      <c r="AJ30" s="113"/>
      <c r="AK30" s="93">
        <f>AI30-AJ30</f>
        <v>0</v>
      </c>
      <c r="AL30" s="47"/>
      <c r="AM30" s="113"/>
      <c r="AN30" s="113"/>
      <c r="AO30" s="93">
        <f>AM30-AN30</f>
        <v>0</v>
      </c>
      <c r="AP30" s="47"/>
      <c r="AQ30" s="113"/>
      <c r="AR30" s="113"/>
      <c r="AS30" s="93">
        <f>AQ30-AR30</f>
        <v>0</v>
      </c>
      <c r="AT30" s="47"/>
      <c r="AU30" s="113"/>
      <c r="AV30" s="113"/>
      <c r="AW30" s="93">
        <f>AU30-AV30</f>
        <v>0</v>
      </c>
    </row>
    <row r="31" spans="2:49">
      <c r="B31" s="115" t="s">
        <v>163</v>
      </c>
      <c r="C31" s="168"/>
      <c r="D31" s="56"/>
      <c r="E31" s="71"/>
      <c r="F31" s="45"/>
      <c r="G31" s="167"/>
      <c r="H31" s="58"/>
      <c r="I31" s="71"/>
      <c r="J31" s="46"/>
      <c r="K31" s="167"/>
      <c r="L31" s="34"/>
      <c r="M31" s="71"/>
      <c r="N31" s="41"/>
      <c r="O31" s="167">
        <v>1.38</v>
      </c>
      <c r="P31" s="34"/>
      <c r="Q31" s="71"/>
      <c r="R31" s="41"/>
      <c r="S31" s="116">
        <v>1.5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119"/>
      <c r="AW33" s="75"/>
    </row>
    <row r="34" spans="2:49">
      <c r="B34" s="109" t="s">
        <v>166</v>
      </c>
      <c r="C34" s="121"/>
      <c r="D34" s="33"/>
      <c r="E34" s="63"/>
      <c r="F34" s="123"/>
      <c r="G34" s="121"/>
      <c r="H34" s="33"/>
      <c r="I34" s="63"/>
      <c r="J34" s="123"/>
      <c r="K34" s="121"/>
      <c r="L34" s="33"/>
      <c r="M34" s="63"/>
      <c r="N34" s="123"/>
      <c r="O34" s="121">
        <v>9.5000000000000001E-2</v>
      </c>
      <c r="P34" s="33"/>
      <c r="Q34" s="63"/>
      <c r="R34" s="123"/>
      <c r="S34" s="121">
        <v>0.1426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33"/>
      <c r="AW34" s="69"/>
    </row>
    <row r="35" spans="2:49">
      <c r="B35" s="112" t="s">
        <v>167</v>
      </c>
      <c r="C35" s="123"/>
      <c r="D35" s="54"/>
      <c r="E35" s="69"/>
      <c r="F35" s="123"/>
      <c r="G35" s="123"/>
      <c r="H35" s="54"/>
      <c r="I35" s="69"/>
      <c r="J35" s="123"/>
      <c r="K35" s="123"/>
      <c r="L35" s="54"/>
      <c r="M35" s="69"/>
      <c r="N35" s="123"/>
      <c r="O35" s="123">
        <v>0.64649999999999996</v>
      </c>
      <c r="P35" s="54"/>
      <c r="Q35" s="69"/>
      <c r="R35" s="123"/>
      <c r="S35" s="124">
        <v>0.58379999999999999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/>
      <c r="D36" s="54"/>
      <c r="E36" s="69"/>
      <c r="F36" s="123"/>
      <c r="G36" s="124"/>
      <c r="H36" s="54"/>
      <c r="I36" s="69"/>
      <c r="J36" s="123"/>
      <c r="K36" s="124"/>
      <c r="L36" s="54"/>
      <c r="M36" s="69"/>
      <c r="N36" s="123"/>
      <c r="O36" s="124">
        <f>1-O35</f>
        <v>0.35350000000000004</v>
      </c>
      <c r="P36" s="54"/>
      <c r="Q36" s="69"/>
      <c r="R36" s="123"/>
      <c r="S36" s="124">
        <f>1-S35</f>
        <v>0.41620000000000001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/>
      <c r="D37" s="54"/>
      <c r="E37" s="69"/>
      <c r="F37" s="123"/>
      <c r="G37" s="124"/>
      <c r="H37" s="54"/>
      <c r="I37" s="69"/>
      <c r="J37" s="123"/>
      <c r="K37" s="124"/>
      <c r="L37" s="54"/>
      <c r="M37" s="69"/>
      <c r="N37" s="123"/>
      <c r="O37" s="124">
        <f>10677/O19</f>
        <v>1.7621225349346528E-2</v>
      </c>
      <c r="P37" s="54"/>
      <c r="Q37" s="69"/>
      <c r="R37" s="123"/>
      <c r="S37" s="124">
        <v>0.04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/>
      <c r="D38" s="54"/>
      <c r="E38" s="69"/>
      <c r="F38" s="123"/>
      <c r="G38" s="124"/>
      <c r="H38" s="54"/>
      <c r="I38" s="69"/>
      <c r="J38" s="123"/>
      <c r="K38" s="124"/>
      <c r="L38" s="54"/>
      <c r="M38" s="69"/>
      <c r="N38" s="123"/>
      <c r="O38" s="124">
        <f>1-O39</f>
        <v>0.75347118499728505</v>
      </c>
      <c r="P38" s="54"/>
      <c r="Q38" s="69"/>
      <c r="R38" s="123"/>
      <c r="S38" s="124">
        <f>1-S39</f>
        <v>0.72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/>
      <c r="D39" s="32"/>
      <c r="E39" s="68"/>
      <c r="F39" s="123"/>
      <c r="G39" s="126"/>
      <c r="H39" s="32"/>
      <c r="I39" s="68"/>
      <c r="J39" s="123"/>
      <c r="K39" s="126"/>
      <c r="L39" s="32"/>
      <c r="M39" s="68"/>
      <c r="N39" s="123"/>
      <c r="O39" s="126">
        <f>149376/O19</f>
        <v>0.2465288150027149</v>
      </c>
      <c r="P39" s="32"/>
      <c r="Q39" s="68"/>
      <c r="R39" s="123"/>
      <c r="S39" s="126">
        <v>0.28000000000000003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119"/>
      <c r="AW41" s="75"/>
    </row>
    <row r="42" spans="2:49">
      <c r="B42" s="128" t="s">
        <v>194</v>
      </c>
      <c r="C42" s="121"/>
      <c r="D42" s="33"/>
      <c r="E42" s="63"/>
      <c r="F42" s="123"/>
      <c r="G42" s="121"/>
      <c r="H42" s="33"/>
      <c r="I42" s="63"/>
      <c r="J42" s="123"/>
      <c r="K42" s="121"/>
      <c r="L42" s="33"/>
      <c r="M42" s="63"/>
      <c r="N42" s="123"/>
      <c r="O42" s="121">
        <v>0.30130000000000001</v>
      </c>
      <c r="P42" s="33"/>
      <c r="Q42" s="63"/>
      <c r="R42" s="123"/>
      <c r="S42" s="121">
        <v>0.16170000000000001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33"/>
      <c r="AW42" s="69"/>
    </row>
    <row r="43" spans="2:49">
      <c r="B43" s="147" t="s">
        <v>47</v>
      </c>
      <c r="C43" s="165"/>
      <c r="D43" s="54"/>
      <c r="E43" s="69"/>
      <c r="F43" s="123"/>
      <c r="G43" s="124"/>
      <c r="H43" s="54"/>
      <c r="I43" s="69"/>
      <c r="J43" s="123"/>
      <c r="K43" s="124"/>
      <c r="L43" s="54"/>
      <c r="M43" s="69"/>
      <c r="N43" s="123"/>
      <c r="O43" s="124">
        <v>2.5000000000000001E-3</v>
      </c>
      <c r="P43" s="54"/>
      <c r="Q43" s="69"/>
      <c r="R43" s="123"/>
      <c r="S43" s="124">
        <v>0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/>
      <c r="D44" s="54"/>
      <c r="E44" s="69"/>
      <c r="F44" s="123"/>
      <c r="G44" s="124"/>
      <c r="H44" s="54"/>
      <c r="I44" s="69"/>
      <c r="J44" s="123"/>
      <c r="K44" s="124"/>
      <c r="L44" s="54"/>
      <c r="M44" s="69"/>
      <c r="N44" s="123"/>
      <c r="O44" s="124">
        <v>0.03</v>
      </c>
      <c r="P44" s="54"/>
      <c r="Q44" s="69"/>
      <c r="R44" s="123"/>
      <c r="S44" s="124">
        <v>0.03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/>
      <c r="D45" s="54"/>
      <c r="E45" s="69"/>
      <c r="F45" s="123"/>
      <c r="G45" s="124"/>
      <c r="H45" s="54"/>
      <c r="I45" s="69"/>
      <c r="J45" s="123"/>
      <c r="K45" s="124"/>
      <c r="L45" s="54"/>
      <c r="M45" s="69"/>
      <c r="N45" s="123"/>
      <c r="O45" s="124">
        <v>0.50390000000000001</v>
      </c>
      <c r="P45" s="54"/>
      <c r="Q45" s="69"/>
      <c r="R45" s="123"/>
      <c r="S45" s="124">
        <v>0.41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/>
      <c r="D46" s="54"/>
      <c r="E46" s="69"/>
      <c r="F46" s="123"/>
      <c r="G46" s="124"/>
      <c r="H46" s="54"/>
      <c r="I46" s="69"/>
      <c r="J46" s="123"/>
      <c r="K46" s="124"/>
      <c r="L46" s="54"/>
      <c r="M46" s="69"/>
      <c r="N46" s="123"/>
      <c r="O46" s="124">
        <v>6.4199999999999993E-2</v>
      </c>
      <c r="P46" s="54"/>
      <c r="Q46" s="69"/>
      <c r="R46" s="123"/>
      <c r="S46" s="124">
        <v>0.25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/>
      <c r="D47" s="54"/>
      <c r="E47" s="69"/>
      <c r="F47" s="123"/>
      <c r="G47" s="124"/>
      <c r="H47" s="54"/>
      <c r="I47" s="69"/>
      <c r="J47" s="123"/>
      <c r="K47" s="124"/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/>
      <c r="D48" s="54"/>
      <c r="E48" s="69"/>
      <c r="F48" s="123"/>
      <c r="G48" s="124"/>
      <c r="H48" s="54"/>
      <c r="I48" s="69"/>
      <c r="J48" s="123"/>
      <c r="K48" s="124"/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/>
      <c r="D49" s="54"/>
      <c r="E49" s="69"/>
      <c r="F49" s="123"/>
      <c r="G49" s="124"/>
      <c r="H49" s="54"/>
      <c r="I49" s="69"/>
      <c r="J49" s="123"/>
      <c r="K49" s="124"/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/>
      <c r="D50" s="54"/>
      <c r="E50" s="69"/>
      <c r="F50" s="123"/>
      <c r="G50" s="124"/>
      <c r="H50" s="54"/>
      <c r="I50" s="69"/>
      <c r="J50" s="123"/>
      <c r="K50" s="124"/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/>
      <c r="D51" s="32"/>
      <c r="E51" s="68"/>
      <c r="F51" s="123"/>
      <c r="G51" s="126"/>
      <c r="H51" s="32"/>
      <c r="I51" s="68"/>
      <c r="J51" s="123"/>
      <c r="K51" s="126"/>
      <c r="L51" s="32"/>
      <c r="M51" s="68"/>
      <c r="N51" s="123"/>
      <c r="O51" s="126">
        <f>1-SUM(O42:O50)</f>
        <v>9.8099999999999965E-2</v>
      </c>
      <c r="P51" s="32"/>
      <c r="Q51" s="68"/>
      <c r="R51" s="123"/>
      <c r="S51" s="126">
        <f>1-SUM(S42:S50)</f>
        <v>0.14829999999999999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130"/>
      <c r="AW53" s="67"/>
    </row>
    <row r="54" spans="2:49">
      <c r="B54" s="109" t="s">
        <v>29</v>
      </c>
      <c r="C54" s="148"/>
      <c r="D54" s="110"/>
      <c r="E54" s="93">
        <f>C54-D54</f>
        <v>0</v>
      </c>
      <c r="F54" s="47"/>
      <c r="G54" s="110"/>
      <c r="H54" s="110"/>
      <c r="I54" s="93">
        <f>G54-H54</f>
        <v>0</v>
      </c>
      <c r="J54" s="47"/>
      <c r="K54" s="110"/>
      <c r="L54" s="110"/>
      <c r="M54" s="93">
        <f>K54-L54</f>
        <v>0</v>
      </c>
      <c r="N54" s="47"/>
      <c r="O54" s="110">
        <v>0</v>
      </c>
      <c r="P54" s="110"/>
      <c r="Q54" s="93">
        <f>O54-P54</f>
        <v>0</v>
      </c>
      <c r="R54" s="47"/>
      <c r="S54" s="110">
        <v>0</v>
      </c>
      <c r="T54" s="110"/>
      <c r="U54" s="93">
        <f>S54-T54</f>
        <v>0</v>
      </c>
      <c r="V54" s="47"/>
      <c r="W54" s="110"/>
      <c r="X54" s="110"/>
      <c r="Y54" s="93">
        <f>W54-X54</f>
        <v>0</v>
      </c>
      <c r="Z54" s="47"/>
      <c r="AA54" s="110"/>
      <c r="AB54" s="110"/>
      <c r="AC54" s="93">
        <f>AA54-AB54</f>
        <v>0</v>
      </c>
      <c r="AD54" s="47"/>
      <c r="AE54" s="110"/>
      <c r="AF54" s="110"/>
      <c r="AG54" s="93">
        <f>AE54-AF54</f>
        <v>0</v>
      </c>
      <c r="AH54" s="47"/>
      <c r="AI54" s="110"/>
      <c r="AJ54" s="110"/>
      <c r="AK54" s="93">
        <f>AI54-AJ54</f>
        <v>0</v>
      </c>
      <c r="AL54" s="47"/>
      <c r="AM54" s="110"/>
      <c r="AN54" s="110"/>
      <c r="AO54" s="93">
        <f>AM54-AN54</f>
        <v>0</v>
      </c>
      <c r="AP54" s="47"/>
      <c r="AQ54" s="110"/>
      <c r="AR54" s="110"/>
      <c r="AS54" s="93">
        <f>AQ54-AR54</f>
        <v>0</v>
      </c>
      <c r="AT54" s="47"/>
      <c r="AU54" s="113"/>
      <c r="AV54" s="110"/>
      <c r="AW54" s="93">
        <f>AU54-AV54</f>
        <v>0</v>
      </c>
    </row>
    <row r="55" spans="2:49">
      <c r="B55" s="112" t="s">
        <v>30</v>
      </c>
      <c r="C55" s="113"/>
      <c r="D55" s="57"/>
      <c r="E55" s="53"/>
      <c r="F55" s="47"/>
      <c r="G55" s="113"/>
      <c r="H55" s="57"/>
      <c r="I55" s="53"/>
      <c r="J55" s="47"/>
      <c r="K55" s="113"/>
      <c r="L55" s="57"/>
      <c r="M55" s="53"/>
      <c r="N55" s="47"/>
      <c r="O55" s="113">
        <v>0</v>
      </c>
      <c r="P55" s="57"/>
      <c r="Q55" s="53"/>
      <c r="R55" s="47"/>
      <c r="S55" s="113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/>
      <c r="D56" s="57"/>
      <c r="E56" s="53"/>
      <c r="F56" s="47"/>
      <c r="G56" s="113"/>
      <c r="H56" s="57"/>
      <c r="I56" s="53"/>
      <c r="J56" s="47"/>
      <c r="K56" s="113"/>
      <c r="L56" s="57"/>
      <c r="M56" s="53"/>
      <c r="N56" s="47"/>
      <c r="O56" s="113">
        <v>0</v>
      </c>
      <c r="P56" s="57"/>
      <c r="Q56" s="53"/>
      <c r="R56" s="47"/>
      <c r="S56" s="113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/>
      <c r="D57" s="53"/>
      <c r="E57" s="53"/>
      <c r="F57" s="43"/>
      <c r="G57" s="93"/>
      <c r="H57" s="53"/>
      <c r="I57" s="53"/>
      <c r="J57" s="43"/>
      <c r="K57" s="93"/>
      <c r="L57" s="57"/>
      <c r="M57" s="53"/>
      <c r="N57" s="47"/>
      <c r="O57" s="93">
        <v>0</v>
      </c>
      <c r="P57" s="57"/>
      <c r="Q57" s="53"/>
      <c r="R57" s="47"/>
      <c r="S57" s="93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/>
      <c r="D58" s="32"/>
      <c r="E58" s="68"/>
      <c r="F58" s="123"/>
      <c r="G58" s="126"/>
      <c r="H58" s="32"/>
      <c r="I58" s="68"/>
      <c r="J58" s="123"/>
      <c r="K58" s="126"/>
      <c r="L58" s="32"/>
      <c r="M58" s="68"/>
      <c r="N58" s="123"/>
      <c r="O58" s="126">
        <v>0</v>
      </c>
      <c r="P58" s="32"/>
      <c r="Q58" s="68"/>
      <c r="R58" s="123"/>
      <c r="S58" s="126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34"/>
      <c r="D59" s="134"/>
      <c r="E59" s="66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134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135"/>
      <c r="AW60" s="65"/>
    </row>
    <row r="61" spans="2:49">
      <c r="B61" s="109" t="s">
        <v>45</v>
      </c>
      <c r="C61" s="110"/>
      <c r="D61" s="36"/>
      <c r="E61" s="61"/>
      <c r="F61" s="47"/>
      <c r="G61" s="110"/>
      <c r="H61" s="36"/>
      <c r="I61" s="61"/>
      <c r="J61" s="47"/>
      <c r="K61" s="110"/>
      <c r="L61" s="36"/>
      <c r="M61" s="61"/>
      <c r="N61" s="47"/>
      <c r="O61" s="110">
        <v>5198</v>
      </c>
      <c r="P61" s="36"/>
      <c r="Q61" s="61"/>
      <c r="R61" s="47"/>
      <c r="S61" s="110">
        <v>29286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36"/>
      <c r="AW61" s="53"/>
    </row>
    <row r="62" spans="2:49">
      <c r="B62" s="112" t="s">
        <v>29</v>
      </c>
      <c r="C62" s="113"/>
      <c r="D62" s="57"/>
      <c r="E62" s="53"/>
      <c r="F62" s="47"/>
      <c r="G62" s="113"/>
      <c r="H62" s="57"/>
      <c r="I62" s="53"/>
      <c r="J62" s="47"/>
      <c r="K62" s="113"/>
      <c r="L62" s="57"/>
      <c r="M62" s="53"/>
      <c r="N62" s="47"/>
      <c r="O62" s="113">
        <v>221068</v>
      </c>
      <c r="P62" s="57"/>
      <c r="Q62" s="53"/>
      <c r="R62" s="47"/>
      <c r="S62" s="113">
        <v>1029362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/>
      <c r="D63" s="57"/>
      <c r="E63" s="53"/>
      <c r="F63" s="47"/>
      <c r="G63" s="113"/>
      <c r="H63" s="57"/>
      <c r="I63" s="53"/>
      <c r="J63" s="47"/>
      <c r="K63" s="113"/>
      <c r="L63" s="57"/>
      <c r="M63" s="53"/>
      <c r="N63" s="47"/>
      <c r="O63" s="113">
        <v>51989</v>
      </c>
      <c r="P63" s="57"/>
      <c r="Q63" s="53"/>
      <c r="R63" s="47"/>
      <c r="S63" s="113">
        <v>107668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/>
      <c r="D64" s="57"/>
      <c r="E64" s="53"/>
      <c r="F64" s="47"/>
      <c r="G64" s="113"/>
      <c r="H64" s="57"/>
      <c r="I64" s="53"/>
      <c r="J64" s="47"/>
      <c r="K64" s="113"/>
      <c r="L64" s="57"/>
      <c r="M64" s="53"/>
      <c r="N64" s="47"/>
      <c r="O64" s="113">
        <f>901003/60</f>
        <v>15016.716666666667</v>
      </c>
      <c r="P64" s="57"/>
      <c r="Q64" s="53"/>
      <c r="R64" s="47"/>
      <c r="S64" s="113">
        <f>5464021/60</f>
        <v>91067.016666666663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/>
      <c r="D65" s="24"/>
      <c r="E65" s="24"/>
      <c r="F65" s="43"/>
      <c r="G65" s="92"/>
      <c r="H65" s="24"/>
      <c r="I65" s="24"/>
      <c r="J65" s="43"/>
      <c r="K65" s="92"/>
      <c r="L65" s="35"/>
      <c r="M65" s="24"/>
      <c r="N65" s="47"/>
      <c r="O65" s="92">
        <f>(O64/O62)*O63</f>
        <v>3531.5110408712858</v>
      </c>
      <c r="P65" s="35"/>
      <c r="Q65" s="24"/>
      <c r="R65" s="47"/>
      <c r="S65" s="92">
        <f>(S64/S62)*S63</f>
        <v>9525.3210731177824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136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138"/>
      <c r="AW67" s="65"/>
    </row>
    <row r="68" spans="2:49">
      <c r="B68" s="109" t="s">
        <v>35</v>
      </c>
      <c r="C68" s="110"/>
      <c r="D68" s="36"/>
      <c r="E68" s="61"/>
      <c r="F68" s="47"/>
      <c r="G68" s="110"/>
      <c r="H68" s="36"/>
      <c r="I68" s="61"/>
      <c r="J68" s="47"/>
      <c r="K68" s="110"/>
      <c r="L68" s="36"/>
      <c r="M68" s="61"/>
      <c r="N68" s="47"/>
      <c r="O68" s="110">
        <v>10935</v>
      </c>
      <c r="P68" s="36"/>
      <c r="Q68" s="61"/>
      <c r="R68" s="47"/>
      <c r="S68" s="110">
        <v>18555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36"/>
      <c r="AW68" s="53"/>
    </row>
    <row r="69" spans="2:49">
      <c r="B69" s="115" t="s">
        <v>36</v>
      </c>
      <c r="C69" s="131"/>
      <c r="D69" s="35"/>
      <c r="E69" s="24"/>
      <c r="F69" s="47"/>
      <c r="G69" s="131"/>
      <c r="H69" s="35"/>
      <c r="I69" s="24"/>
      <c r="J69" s="47"/>
      <c r="K69" s="131"/>
      <c r="L69" s="35"/>
      <c r="M69" s="24"/>
      <c r="N69" s="47"/>
      <c r="O69" s="131">
        <v>10022</v>
      </c>
      <c r="P69" s="35"/>
      <c r="Q69" s="24"/>
      <c r="R69" s="47"/>
      <c r="S69" s="131">
        <v>13381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139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33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21"/>
      <c r="AV77" s="140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41"/>
      <c r="T78" s="31"/>
      <c r="U78" s="61"/>
      <c r="V78" s="40"/>
      <c r="W78" s="141"/>
      <c r="X78" s="31"/>
      <c r="Y78" s="61"/>
      <c r="Z78" s="40"/>
      <c r="AA78" s="141"/>
      <c r="AB78" s="31"/>
      <c r="AC78" s="61"/>
      <c r="AD78" s="40"/>
      <c r="AE78" s="141"/>
      <c r="AF78" s="31"/>
      <c r="AG78" s="61"/>
      <c r="AH78" s="40"/>
      <c r="AI78" s="141"/>
      <c r="AJ78" s="31"/>
      <c r="AK78" s="61"/>
      <c r="AL78" s="40"/>
      <c r="AM78" s="141"/>
      <c r="AN78" s="31"/>
      <c r="AO78" s="61"/>
      <c r="AP78" s="40"/>
      <c r="AQ78" s="141"/>
      <c r="AR78" s="31"/>
      <c r="AS78" s="61"/>
      <c r="AT78" s="40"/>
      <c r="AU78" s="143"/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43"/>
      <c r="T79" s="52"/>
      <c r="U79" s="53"/>
      <c r="V79" s="40"/>
      <c r="W79" s="143"/>
      <c r="X79" s="52"/>
      <c r="Y79" s="53"/>
      <c r="Z79" s="40"/>
      <c r="AA79" s="143"/>
      <c r="AB79" s="52"/>
      <c r="AC79" s="53"/>
      <c r="AD79" s="40"/>
      <c r="AE79" s="143"/>
      <c r="AF79" s="52"/>
      <c r="AG79" s="53"/>
      <c r="AH79" s="40"/>
      <c r="AI79" s="143"/>
      <c r="AJ79" s="52"/>
      <c r="AK79" s="53"/>
      <c r="AL79" s="40"/>
      <c r="AM79" s="143"/>
      <c r="AN79" s="52"/>
      <c r="AO79" s="53"/>
      <c r="AP79" s="40"/>
      <c r="AQ79" s="143"/>
      <c r="AR79" s="52"/>
      <c r="AS79" s="53"/>
      <c r="AT79" s="40"/>
      <c r="AU79" s="143"/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45"/>
      <c r="T80" s="30"/>
      <c r="U80" s="24"/>
      <c r="V80" s="40"/>
      <c r="W80" s="145"/>
      <c r="X80" s="30"/>
      <c r="Y80" s="24"/>
      <c r="Z80" s="40"/>
      <c r="AA80" s="145"/>
      <c r="AB80" s="30"/>
      <c r="AC80" s="24"/>
      <c r="AD80" s="40"/>
      <c r="AE80" s="145"/>
      <c r="AF80" s="30"/>
      <c r="AG80" s="24"/>
      <c r="AH80" s="40"/>
      <c r="AI80" s="145"/>
      <c r="AJ80" s="30"/>
      <c r="AK80" s="24"/>
      <c r="AL80" s="40"/>
      <c r="AM80" s="145"/>
      <c r="AN80" s="30"/>
      <c r="AO80" s="24"/>
      <c r="AP80" s="40"/>
      <c r="AQ80" s="145"/>
      <c r="AR80" s="30"/>
      <c r="AS80" s="24"/>
      <c r="AT80" s="40"/>
      <c r="AU80" s="145"/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baseColWidth="10" defaultColWidth="1.1640625" defaultRowHeight="14" x14ac:dyDescent="0"/>
  <cols>
    <col min="1" max="1" width="1.1640625" style="98" customWidth="1"/>
    <col min="2" max="2" width="34.33203125" style="181" customWidth="1"/>
    <col min="3" max="3" width="12.1640625" style="98" customWidth="1"/>
    <col min="4" max="4" width="10.83203125" style="98" customWidth="1"/>
    <col min="5" max="6" width="12.1640625" style="98" customWidth="1"/>
    <col min="7" max="14" width="11" style="98" customWidth="1"/>
    <col min="15" max="15" width="13.33203125" style="98" customWidth="1"/>
    <col min="16" max="16" width="1.33203125" style="98" customWidth="1"/>
    <col min="17" max="16384" width="1.1640625" style="98"/>
  </cols>
  <sheetData>
    <row r="1" spans="2:16" ht="15" thickBot="1">
      <c r="B1" s="179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6" ht="15" thickBot="1">
      <c r="B2" s="180" t="s">
        <v>176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6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6">
      <c r="B5" s="182" t="s">
        <v>108</v>
      </c>
    </row>
    <row r="6" spans="2:16">
      <c r="B6" s="183" t="s">
        <v>109</v>
      </c>
      <c r="C6" s="184">
        <f>VICE_Global!C17</f>
        <v>13765631</v>
      </c>
      <c r="D6" s="184">
        <f>VICE_Global!D17</f>
        <v>13992013</v>
      </c>
      <c r="E6" s="184">
        <f>VICE_Global!E17</f>
        <v>16760567</v>
      </c>
      <c r="F6" s="184">
        <f>VICE_Global!F17</f>
        <v>16702557</v>
      </c>
      <c r="G6" s="184">
        <f>VICE_Global!G17</f>
        <v>17253560</v>
      </c>
      <c r="H6" s="184">
        <f>VICE_Global!H17</f>
        <v>0</v>
      </c>
      <c r="I6" s="184">
        <f>VICE_Global!I17</f>
        <v>0</v>
      </c>
      <c r="J6" s="184">
        <f>VICE_Global!J17</f>
        <v>0</v>
      </c>
      <c r="K6" s="184">
        <f>VICE_Global!K17</f>
        <v>0</v>
      </c>
      <c r="L6" s="184">
        <f>VICE_Global!L17</f>
        <v>0</v>
      </c>
      <c r="M6" s="184">
        <f>VICE_Global!M17</f>
        <v>0</v>
      </c>
      <c r="N6" s="185">
        <f>VICE_Global!N17</f>
        <v>0</v>
      </c>
      <c r="O6" s="124"/>
      <c r="P6" s="321"/>
    </row>
    <row r="7" spans="2:16">
      <c r="B7" s="186" t="s">
        <v>110</v>
      </c>
      <c r="C7" s="187">
        <f>Motherboard_Global!C17</f>
        <v>2989347</v>
      </c>
      <c r="D7" s="187">
        <f>Motherboard_Global!D17</f>
        <v>2333900</v>
      </c>
      <c r="E7" s="187">
        <f>Motherboard_Global!E17</f>
        <v>2445058</v>
      </c>
      <c r="F7" s="187">
        <f>Motherboard_Global!F17</f>
        <v>2369952</v>
      </c>
      <c r="G7" s="187">
        <f>Motherboard_Global!G17</f>
        <v>2740469</v>
      </c>
      <c r="H7" s="187">
        <f>Motherboard_Global!H17</f>
        <v>0</v>
      </c>
      <c r="I7" s="187">
        <f>Motherboard_Global!I17</f>
        <v>0</v>
      </c>
      <c r="J7" s="187">
        <f>Motherboard_Global!J17</f>
        <v>0</v>
      </c>
      <c r="K7" s="187">
        <f>Motherboard_Global!K17</f>
        <v>0</v>
      </c>
      <c r="L7" s="187">
        <f>Motherboard_Global!L17</f>
        <v>0</v>
      </c>
      <c r="M7" s="187">
        <f>Motherboard_Global!M17</f>
        <v>0</v>
      </c>
      <c r="N7" s="188">
        <f>Motherboard_Global!N17</f>
        <v>0</v>
      </c>
      <c r="O7" s="124"/>
      <c r="P7" s="321"/>
    </row>
    <row r="8" spans="2:16">
      <c r="B8" s="186" t="s">
        <v>111</v>
      </c>
      <c r="C8" s="187">
        <f>Noisey_Global!C17</f>
        <v>2731570</v>
      </c>
      <c r="D8" s="187">
        <f>Noisey_Global!D17</f>
        <v>2773804</v>
      </c>
      <c r="E8" s="187">
        <f>Noisey_Global!E17</f>
        <v>3295503</v>
      </c>
      <c r="F8" s="187">
        <f>Noisey_Global!F17</f>
        <v>3749882</v>
      </c>
      <c r="G8" s="187">
        <f>Noisey_Global!G17</f>
        <v>4067976</v>
      </c>
      <c r="H8" s="187">
        <f>Noisey_Global!H17</f>
        <v>0</v>
      </c>
      <c r="I8" s="187">
        <f>Noisey_Global!I17</f>
        <v>0</v>
      </c>
      <c r="J8" s="187">
        <f>Noisey_Global!J17</f>
        <v>0</v>
      </c>
      <c r="K8" s="187">
        <f>Noisey_Global!K17</f>
        <v>0</v>
      </c>
      <c r="L8" s="187">
        <f>Noisey_Global!L17</f>
        <v>0</v>
      </c>
      <c r="M8" s="187">
        <f>Noisey_Global!M17</f>
        <v>0</v>
      </c>
      <c r="N8" s="188">
        <f>Noisey_Global!N17</f>
        <v>0</v>
      </c>
      <c r="O8" s="124"/>
      <c r="P8" s="321"/>
    </row>
    <row r="9" spans="2:16">
      <c r="B9" s="186" t="s">
        <v>180</v>
      </c>
      <c r="C9" s="187">
        <f>News_Global!C18</f>
        <v>0</v>
      </c>
      <c r="D9" s="187">
        <f>News_Global!D18</f>
        <v>0</v>
      </c>
      <c r="E9" s="187">
        <f>News_Global!E17</f>
        <v>918514</v>
      </c>
      <c r="F9" s="187">
        <f>News_Global!F17</f>
        <v>2460723</v>
      </c>
      <c r="G9" s="187">
        <f>News_Global!G17</f>
        <v>2539282</v>
      </c>
      <c r="H9" s="187">
        <f>News_Global!H17</f>
        <v>0</v>
      </c>
      <c r="I9" s="187">
        <f>News_Global!I17</f>
        <v>0</v>
      </c>
      <c r="J9" s="187">
        <f>News_Global!J17</f>
        <v>0</v>
      </c>
      <c r="K9" s="187">
        <f>News_Global!K17</f>
        <v>0</v>
      </c>
      <c r="L9" s="187">
        <f>News_Global!L17</f>
        <v>0</v>
      </c>
      <c r="M9" s="187">
        <f>News_Global!M17</f>
        <v>0</v>
      </c>
      <c r="N9" s="188">
        <f>News_Global!N17</f>
        <v>0</v>
      </c>
      <c r="O9" s="124"/>
      <c r="P9" s="321"/>
    </row>
    <row r="10" spans="2:16">
      <c r="B10" s="186" t="s">
        <v>188</v>
      </c>
      <c r="C10" s="187">
        <f>Munchies_Global!C17</f>
        <v>0</v>
      </c>
      <c r="D10" s="187">
        <f>Munchies_Global!D17</f>
        <v>0</v>
      </c>
      <c r="E10" s="187">
        <f>Munchies_Global!E17</f>
        <v>0</v>
      </c>
      <c r="F10" s="187">
        <f>Munchies_Global!F17</f>
        <v>665142</v>
      </c>
      <c r="G10" s="187">
        <f>Munchies_Global!G17</f>
        <v>654028</v>
      </c>
      <c r="H10" s="187">
        <f>Munchies_Global!H17</f>
        <v>0</v>
      </c>
      <c r="I10" s="187">
        <f>Munchies_Global!I17</f>
        <v>0</v>
      </c>
      <c r="J10" s="187">
        <f>Munchies_Global!J17</f>
        <v>0</v>
      </c>
      <c r="K10" s="187">
        <f>Munchies_Global!K17</f>
        <v>0</v>
      </c>
      <c r="L10" s="187">
        <f>Munchies_Global!L17</f>
        <v>0</v>
      </c>
      <c r="M10" s="187">
        <f>Munchies_Global!M17</f>
        <v>0</v>
      </c>
      <c r="N10" s="188">
        <f>Munchies_Global!N17</f>
        <v>0</v>
      </c>
      <c r="O10" s="124"/>
      <c r="P10" s="321"/>
    </row>
    <row r="11" spans="2:16">
      <c r="B11" s="186" t="s">
        <v>112</v>
      </c>
      <c r="C11" s="187">
        <f>TCP_Global!C17</f>
        <v>307305</v>
      </c>
      <c r="D11" s="187">
        <f>TCP_Global!D17</f>
        <v>430620</v>
      </c>
      <c r="E11" s="187">
        <f>TCP_Global!E17</f>
        <v>510942</v>
      </c>
      <c r="F11" s="187">
        <f>TCP_Global!F17</f>
        <v>628071</v>
      </c>
      <c r="G11" s="187">
        <f>TCP_Global!G17</f>
        <v>865030</v>
      </c>
      <c r="H11" s="187">
        <f>TCP_Global!H17</f>
        <v>0</v>
      </c>
      <c r="I11" s="187">
        <f>TCP_Global!I17</f>
        <v>0</v>
      </c>
      <c r="J11" s="187">
        <f>TCP_Global!J17</f>
        <v>0</v>
      </c>
      <c r="K11" s="187">
        <f>TCP_Global!K17</f>
        <v>0</v>
      </c>
      <c r="L11" s="187">
        <f>TCP_Global!L17</f>
        <v>0</v>
      </c>
      <c r="M11" s="187">
        <f>TCP_Global!M17</f>
        <v>0</v>
      </c>
      <c r="N11" s="188">
        <f>TCP_Global!N17</f>
        <v>0</v>
      </c>
      <c r="O11" s="124"/>
      <c r="P11" s="321"/>
    </row>
    <row r="12" spans="2:16">
      <c r="B12" s="186" t="s">
        <v>113</v>
      </c>
      <c r="C12" s="187">
        <f>Fightland_Global!C17</f>
        <v>157306</v>
      </c>
      <c r="D12" s="187">
        <f>Fightland_Global!D17</f>
        <v>187566</v>
      </c>
      <c r="E12" s="187">
        <f>Fightland_Global!E17</f>
        <v>302800</v>
      </c>
      <c r="F12" s="187">
        <f>Fightland_Global!F17</f>
        <v>294627</v>
      </c>
      <c r="G12" s="187">
        <f>Fightland_Global!G17</f>
        <v>306496</v>
      </c>
      <c r="H12" s="187">
        <f>Fightland_Global!H17</f>
        <v>0</v>
      </c>
      <c r="I12" s="187">
        <f>Fightland_Global!I17</f>
        <v>0</v>
      </c>
      <c r="J12" s="187">
        <f>Fightland_Global!J17</f>
        <v>0</v>
      </c>
      <c r="K12" s="187">
        <f>Fightland_Global!K17</f>
        <v>0</v>
      </c>
      <c r="L12" s="187">
        <f>Fightland_Global!L17</f>
        <v>0</v>
      </c>
      <c r="M12" s="187">
        <f>Fightland_Global!M17</f>
        <v>0</v>
      </c>
      <c r="N12" s="188">
        <f>Fightland_Global!N17</f>
        <v>0</v>
      </c>
      <c r="O12" s="124"/>
      <c r="P12" s="321"/>
    </row>
    <row r="13" spans="2:16">
      <c r="B13" s="186" t="s">
        <v>114</v>
      </c>
      <c r="C13" s="187">
        <f>Thump_Global!C17</f>
        <v>370508</v>
      </c>
      <c r="D13" s="187">
        <f>Thump_Global!D17</f>
        <v>373289</v>
      </c>
      <c r="E13" s="187">
        <f>Thump_Global!E17</f>
        <v>487687</v>
      </c>
      <c r="F13" s="187">
        <f>Thump_Global!F17</f>
        <v>666842</v>
      </c>
      <c r="G13" s="187">
        <f>Thump_Global!G17</f>
        <v>923993</v>
      </c>
      <c r="H13" s="187">
        <f>Thump_Global!H17</f>
        <v>0</v>
      </c>
      <c r="I13" s="187">
        <f>Thump_Global!I17</f>
        <v>0</v>
      </c>
      <c r="J13" s="187">
        <f>Thump_Global!J17</f>
        <v>0</v>
      </c>
      <c r="K13" s="187">
        <f>Thump_Global!K17</f>
        <v>0</v>
      </c>
      <c r="L13" s="187">
        <f>Thump_Global!L17</f>
        <v>0</v>
      </c>
      <c r="M13" s="187">
        <f>Thump_Global!M17</f>
        <v>0</v>
      </c>
      <c r="N13" s="188">
        <f>Thump_Global!N17</f>
        <v>0</v>
      </c>
      <c r="O13" s="124"/>
      <c r="P13" s="321"/>
    </row>
    <row r="14" spans="2:16">
      <c r="B14" s="189" t="s">
        <v>115</v>
      </c>
      <c r="C14" s="190">
        <f>iD_Global!C17</f>
        <v>154150</v>
      </c>
      <c r="D14" s="190">
        <f>iD_Global!D17</f>
        <v>203249</v>
      </c>
      <c r="E14" s="190">
        <f>iD_Global!E17</f>
        <v>282268</v>
      </c>
      <c r="F14" s="190">
        <f>iD_Global!F17</f>
        <v>320289</v>
      </c>
      <c r="G14" s="190">
        <f>iD_Global!G17</f>
        <v>250600</v>
      </c>
      <c r="H14" s="190">
        <f>iD_Global!H17</f>
        <v>0</v>
      </c>
      <c r="I14" s="190">
        <f>iD_Global!I17</f>
        <v>0</v>
      </c>
      <c r="J14" s="190">
        <f>iD_Global!J17</f>
        <v>0</v>
      </c>
      <c r="K14" s="190">
        <f>iD_Global!K17</f>
        <v>0</v>
      </c>
      <c r="L14" s="190">
        <f>iD_Global!L17</f>
        <v>0</v>
      </c>
      <c r="M14" s="190">
        <f>iD_Global!M17</f>
        <v>0</v>
      </c>
      <c r="N14" s="191">
        <f>iD_Global!N17</f>
        <v>0</v>
      </c>
      <c r="O14" s="124"/>
      <c r="P14" s="321"/>
    </row>
    <row r="15" spans="2:16">
      <c r="B15" s="182" t="s">
        <v>116</v>
      </c>
      <c r="C15" s="192">
        <f>SUM(C6:C14)</f>
        <v>20475817</v>
      </c>
      <c r="D15" s="192">
        <f t="shared" ref="D15:N15" si="0">SUM(D6:D14)</f>
        <v>20294441</v>
      </c>
      <c r="E15" s="192">
        <f t="shared" si="0"/>
        <v>25003339</v>
      </c>
      <c r="F15" s="192">
        <f t="shared" si="0"/>
        <v>27858085</v>
      </c>
      <c r="G15" s="192">
        <f t="shared" si="0"/>
        <v>29601434</v>
      </c>
      <c r="H15" s="192">
        <f t="shared" si="0"/>
        <v>0</v>
      </c>
      <c r="I15" s="192">
        <f t="shared" si="0"/>
        <v>0</v>
      </c>
      <c r="J15" s="192">
        <f t="shared" si="0"/>
        <v>0</v>
      </c>
      <c r="K15" s="192">
        <f t="shared" si="0"/>
        <v>0</v>
      </c>
      <c r="L15" s="192">
        <f t="shared" si="0"/>
        <v>0</v>
      </c>
      <c r="M15" s="192">
        <f t="shared" si="0"/>
        <v>0</v>
      </c>
      <c r="N15" s="192">
        <f t="shared" si="0"/>
        <v>0</v>
      </c>
    </row>
    <row r="16" spans="2:16">
      <c r="C16" s="321">
        <f>'USA Summary_Sales'!C15/'Global Summary'!C15</f>
        <v>0.40021875561790771</v>
      </c>
      <c r="D16" s="321">
        <f>'USA Summary_Sales'!D15/'Global Summary'!D15</f>
        <v>0.44098174470536045</v>
      </c>
      <c r="E16" s="321">
        <f>'USA Summary_Sales'!E15/'Global Summary'!E15</f>
        <v>0.43920609963333296</v>
      </c>
      <c r="F16" s="321">
        <f>'USA Summary_Sales'!F15/'Global Summary'!F15</f>
        <v>0.454603860961728</v>
      </c>
      <c r="G16" s="321">
        <f>'USA Summary_Sales'!G15/'Global Summary'!G15</f>
        <v>0.43397765797427246</v>
      </c>
    </row>
    <row r="17" spans="2:16">
      <c r="B17" s="182" t="s">
        <v>0</v>
      </c>
      <c r="D17" s="388">
        <f>D15/C15-1</f>
        <v>-8.858059241299121E-3</v>
      </c>
      <c r="E17" s="388">
        <f t="shared" ref="E17:G17" si="1">E15/D15-1</f>
        <v>0.23202895807773172</v>
      </c>
      <c r="F17" s="388">
        <f t="shared" si="1"/>
        <v>0.11417459084164716</v>
      </c>
      <c r="G17" s="388">
        <f t="shared" si="1"/>
        <v>6.2579642498757471E-2</v>
      </c>
      <c r="H17" s="193"/>
      <c r="I17" s="193"/>
      <c r="J17" s="193"/>
      <c r="K17" s="193"/>
      <c r="L17" s="193"/>
      <c r="M17" s="193"/>
      <c r="N17" s="193"/>
    </row>
    <row r="18" spans="2:16">
      <c r="B18" s="183" t="s">
        <v>1</v>
      </c>
      <c r="C18" s="194">
        <f>VICE_Global!C7</f>
        <v>1.7188975935792554</v>
      </c>
      <c r="D18" s="195">
        <f>VICE_Global!D7</f>
        <v>1.7224957552569455</v>
      </c>
      <c r="E18" s="195">
        <f>VICE_Global!E7</f>
        <v>1.8362892496417336</v>
      </c>
      <c r="F18" s="195">
        <f>VICE_Global!F7</f>
        <v>1.9399822434373373</v>
      </c>
      <c r="G18" s="195">
        <f>VICE_Global!G7</f>
        <v>1.8913933704116717</v>
      </c>
      <c r="H18" s="195" t="str">
        <f>VICE_Global!H7</f>
        <v>NM</v>
      </c>
      <c r="I18" s="195" t="str">
        <f>VICE_Global!I7</f>
        <v>NM</v>
      </c>
      <c r="J18" s="195" t="str">
        <f>VICE_Global!J7</f>
        <v>NM</v>
      </c>
      <c r="K18" s="195" t="str">
        <f>VICE_Global!K7</f>
        <v>NM</v>
      </c>
      <c r="L18" s="195" t="str">
        <f>VICE_Global!L7</f>
        <v>NM</v>
      </c>
      <c r="M18" s="195" t="str">
        <f>VICE_Global!M7</f>
        <v>NM</v>
      </c>
      <c r="N18" s="196" t="str">
        <f>VICE_Global!N7</f>
        <v>NM</v>
      </c>
    </row>
    <row r="19" spans="2:16">
      <c r="B19" s="186" t="s">
        <v>51</v>
      </c>
      <c r="C19" s="197">
        <f>Motherboard_Global!C7</f>
        <v>1.2437388499896467</v>
      </c>
      <c r="D19" s="198">
        <f>Motherboard_Global!D7</f>
        <v>1.2609357727409058</v>
      </c>
      <c r="E19" s="198">
        <f>Motherboard_Global!E7</f>
        <v>1.3113112245190093</v>
      </c>
      <c r="F19" s="198">
        <f>Motherboard_Global!F7</f>
        <v>1.2946996394863692</v>
      </c>
      <c r="G19" s="198">
        <f>Motherboard_Global!G7</f>
        <v>1.2734670598353786</v>
      </c>
      <c r="H19" s="198" t="str">
        <f>Motherboard_Global!H7</f>
        <v>NM</v>
      </c>
      <c r="I19" s="198" t="str">
        <f>Motherboard_Global!I7</f>
        <v>NM</v>
      </c>
      <c r="J19" s="198" t="str">
        <f>Motherboard_Global!J7</f>
        <v>NM</v>
      </c>
      <c r="K19" s="198" t="str">
        <f>Motherboard_Global!K7</f>
        <v>NM</v>
      </c>
      <c r="L19" s="198" t="str">
        <f>Motherboard_Global!L7</f>
        <v>NM</v>
      </c>
      <c r="M19" s="198" t="str">
        <f>Motherboard_Global!M7</f>
        <v>NM</v>
      </c>
      <c r="N19" s="199" t="str">
        <f>Motherboard_Global!N7</f>
        <v>NM</v>
      </c>
    </row>
    <row r="20" spans="2:16">
      <c r="B20" s="186" t="s">
        <v>52</v>
      </c>
      <c r="C20" s="197">
        <f>Noisey_Global!C7</f>
        <v>1.377309020087349</v>
      </c>
      <c r="D20" s="198">
        <f>Noisey_Global!D7</f>
        <v>1.3883940610079155</v>
      </c>
      <c r="E20" s="198">
        <f>Noisey_Global!E7</f>
        <v>1.3786481153256422</v>
      </c>
      <c r="F20" s="198">
        <f>Noisey_Global!F7</f>
        <v>1.4162456311958616</v>
      </c>
      <c r="G20" s="198">
        <f>Noisey_Global!G7</f>
        <v>1.4337867283386136</v>
      </c>
      <c r="H20" s="198" t="str">
        <f>Noisey_Global!H7</f>
        <v>NM</v>
      </c>
      <c r="I20" s="198" t="str">
        <f>Noisey_Global!I7</f>
        <v>NM</v>
      </c>
      <c r="J20" s="198" t="str">
        <f>Noisey_Global!J7</f>
        <v>NM</v>
      </c>
      <c r="K20" s="198" t="str">
        <f>Noisey_Global!K7</f>
        <v>NM</v>
      </c>
      <c r="L20" s="198" t="str">
        <f>Noisey_Global!L7</f>
        <v>NM</v>
      </c>
      <c r="M20" s="198" t="str">
        <f>Noisey_Global!M7</f>
        <v>NM</v>
      </c>
      <c r="N20" s="199" t="str">
        <f>Noisey_Global!N7</f>
        <v>NM</v>
      </c>
    </row>
    <row r="21" spans="2:16">
      <c r="B21" s="186" t="s">
        <v>180</v>
      </c>
      <c r="C21" s="327" t="str">
        <f>News_Global!C7</f>
        <v>NM</v>
      </c>
      <c r="D21" s="327" t="str">
        <f>News_Global!D7</f>
        <v>NM</v>
      </c>
      <c r="E21" s="327">
        <f>News_Global!E7</f>
        <v>1.5698824405507157</v>
      </c>
      <c r="F21" s="327">
        <f>News_Global!F7</f>
        <v>1.4942514862501792</v>
      </c>
      <c r="G21" s="327">
        <f>News_Global!G7</f>
        <v>1.5664447666702634</v>
      </c>
      <c r="H21" s="327" t="str">
        <f>News_Global!H7</f>
        <v>NM</v>
      </c>
      <c r="I21" s="327" t="str">
        <f>News_Global!I7</f>
        <v>NM</v>
      </c>
      <c r="J21" s="327" t="str">
        <f>News_Global!J7</f>
        <v>NM</v>
      </c>
      <c r="K21" s="327" t="str">
        <f>News_Global!K7</f>
        <v>NM</v>
      </c>
      <c r="L21" s="327" t="str">
        <f>News_Global!L7</f>
        <v>NM</v>
      </c>
      <c r="M21" s="327" t="str">
        <f>News_Global!M7</f>
        <v>NM</v>
      </c>
      <c r="N21" s="375" t="str">
        <f>News_Global!N7</f>
        <v>NM</v>
      </c>
    </row>
    <row r="22" spans="2:16">
      <c r="B22" s="186" t="s">
        <v>188</v>
      </c>
      <c r="C22" s="187">
        <f>Munchies_Global!C29</f>
        <v>0</v>
      </c>
      <c r="D22" s="187">
        <f>Munchies_Global!D29</f>
        <v>0</v>
      </c>
      <c r="E22" s="187">
        <f>Munchies_Global!E29</f>
        <v>0</v>
      </c>
      <c r="F22" s="327">
        <f>Munchies_Global!F7</f>
        <v>1.3618129662538225</v>
      </c>
      <c r="G22" s="327">
        <f>Munchies_Global!G7</f>
        <v>1.4183995180634468</v>
      </c>
      <c r="H22" s="327" t="str">
        <f>Munchies_Global!H7</f>
        <v>NM</v>
      </c>
      <c r="I22" s="327" t="str">
        <f>Munchies_Global!I7</f>
        <v>NM</v>
      </c>
      <c r="J22" s="327" t="str">
        <f>Munchies_Global!J7</f>
        <v>NM</v>
      </c>
      <c r="K22" s="327" t="str">
        <f>Munchies_Global!K7</f>
        <v>NM</v>
      </c>
      <c r="L22" s="327" t="str">
        <f>Munchies_Global!L7</f>
        <v>NM</v>
      </c>
      <c r="M22" s="327" t="str">
        <f>Munchies_Global!M7</f>
        <v>NM</v>
      </c>
      <c r="N22" s="375" t="str">
        <f>Munchies_Global!N7</f>
        <v>NM</v>
      </c>
      <c r="O22" s="105"/>
      <c r="P22" s="321"/>
    </row>
    <row r="23" spans="2:16">
      <c r="B23" s="186" t="s">
        <v>53</v>
      </c>
      <c r="C23" s="197">
        <f>TCP_Global!C7</f>
        <v>1.2622313336912838</v>
      </c>
      <c r="D23" s="198">
        <f>TCP_Global!D7</f>
        <v>1.2586108401839209</v>
      </c>
      <c r="E23" s="198">
        <f>TCP_Global!E7</f>
        <v>1.2579177284310157</v>
      </c>
      <c r="F23" s="198">
        <f>TCP_Global!F7</f>
        <v>1.310321603767727</v>
      </c>
      <c r="G23" s="198">
        <f>TCP_Global!G7</f>
        <v>1.3113926684623656</v>
      </c>
      <c r="H23" s="198" t="str">
        <f>TCP_Global!H7</f>
        <v>NM</v>
      </c>
      <c r="I23" s="198" t="str">
        <f>TCP_Global!I7</f>
        <v>NM</v>
      </c>
      <c r="J23" s="198" t="str">
        <f>TCP_Global!J7</f>
        <v>NM</v>
      </c>
      <c r="K23" s="198" t="str">
        <f>TCP_Global!K7</f>
        <v>NM</v>
      </c>
      <c r="L23" s="198" t="str">
        <f>TCP_Global!L7</f>
        <v>NM</v>
      </c>
      <c r="M23" s="198" t="str">
        <f>TCP_Global!M7</f>
        <v>NM</v>
      </c>
      <c r="N23" s="199" t="str">
        <f>TCP_Global!N7</f>
        <v>NM</v>
      </c>
    </row>
    <row r="24" spans="2:16">
      <c r="B24" s="186" t="s">
        <v>54</v>
      </c>
      <c r="C24" s="197">
        <f>[1]Fightland_Global!C7</f>
        <v>1.3739463211829173</v>
      </c>
      <c r="D24" s="198">
        <f>[1]Fightland_Global!D7</f>
        <v>1.3924005416759968</v>
      </c>
      <c r="E24" s="198">
        <f>Fightland_Global!E7</f>
        <v>1.3797159841479525</v>
      </c>
      <c r="F24" s="198">
        <f>Fightland_Global!F7</f>
        <v>1.5178955085582788</v>
      </c>
      <c r="G24" s="198">
        <f>Fightland_Global!G7</f>
        <v>1.523667519315097</v>
      </c>
      <c r="H24" s="198" t="str">
        <f>Fightland_Global!H7</f>
        <v>NM</v>
      </c>
      <c r="I24" s="198" t="str">
        <f>Fightland_Global!I7</f>
        <v>NM</v>
      </c>
      <c r="J24" s="198" t="str">
        <f>Fightland_Global!J7</f>
        <v>NM</v>
      </c>
      <c r="K24" s="198" t="str">
        <f>Fightland_Global!K7</f>
        <v>NM</v>
      </c>
      <c r="L24" s="198" t="str">
        <f>Fightland_Global!L7</f>
        <v>NM</v>
      </c>
      <c r="M24" s="198" t="str">
        <f>Fightland_Global!M7</f>
        <v>NM</v>
      </c>
      <c r="N24" s="199" t="str">
        <f>Fightland_Global!N7</f>
        <v>NM</v>
      </c>
    </row>
    <row r="25" spans="2:16">
      <c r="B25" s="186" t="s">
        <v>55</v>
      </c>
      <c r="C25" s="197">
        <f>Thump_Global!C7</f>
        <v>1.3444298098826477</v>
      </c>
      <c r="D25" s="198">
        <f>Thump_Global!D7</f>
        <v>1.3478939909828578</v>
      </c>
      <c r="E25" s="198">
        <f>Thump_Global!E7</f>
        <v>1.3479875411893285</v>
      </c>
      <c r="F25" s="198">
        <f>Thump_Global!F7</f>
        <v>1.4028945387363123</v>
      </c>
      <c r="G25" s="198">
        <f>Thump_Global!G7</f>
        <v>1.4105907728738205</v>
      </c>
      <c r="H25" s="198" t="str">
        <f>Thump_Global!H7</f>
        <v>NM</v>
      </c>
      <c r="I25" s="198" t="str">
        <f>Thump_Global!I7</f>
        <v>NM</v>
      </c>
      <c r="J25" s="198" t="str">
        <f>Thump_Global!J7</f>
        <v>NM</v>
      </c>
      <c r="K25" s="198" t="str">
        <f>Thump_Global!K7</f>
        <v>NM</v>
      </c>
      <c r="L25" s="198" t="str">
        <f>Thump_Global!L7</f>
        <v>NM</v>
      </c>
      <c r="M25" s="198" t="str">
        <f>Thump_Global!M7</f>
        <v>NM</v>
      </c>
      <c r="N25" s="199" t="str">
        <f>Thump_Global!N7</f>
        <v>NM</v>
      </c>
    </row>
    <row r="26" spans="2:16">
      <c r="B26" s="189" t="s">
        <v>56</v>
      </c>
      <c r="C26" s="201">
        <f>iD_Global!C7</f>
        <v>1.4009211806681803</v>
      </c>
      <c r="D26" s="201">
        <f>iD_Global!D7</f>
        <v>1.3054971980181944</v>
      </c>
      <c r="E26" s="201">
        <f>iD_Global!E7</f>
        <v>1.3220024940836368</v>
      </c>
      <c r="F26" s="201">
        <f>iD_Global!F7</f>
        <v>1.3789952199419899</v>
      </c>
      <c r="G26" s="201">
        <f>iD_Global!G7</f>
        <v>1.4490143655227454</v>
      </c>
      <c r="H26" s="201" t="str">
        <f>iD_Global!H7</f>
        <v>NM</v>
      </c>
      <c r="I26" s="201" t="str">
        <f>iD_Global!I7</f>
        <v>NM</v>
      </c>
      <c r="J26" s="201" t="str">
        <f>iD_Global!J7</f>
        <v>NM</v>
      </c>
      <c r="K26" s="201" t="str">
        <f>iD_Global!K7</f>
        <v>NM</v>
      </c>
      <c r="L26" s="201" t="str">
        <f>iD_Global!L7</f>
        <v>NM</v>
      </c>
      <c r="M26" s="201" t="str">
        <f>iD_Global!M7</f>
        <v>NM</v>
      </c>
      <c r="N26" s="202" t="str">
        <f>iD_Global!N7</f>
        <v>NM</v>
      </c>
    </row>
    <row r="27" spans="2:16">
      <c r="D27" s="203"/>
      <c r="E27" s="203"/>
      <c r="F27" s="203"/>
      <c r="G27" s="5"/>
      <c r="H27" s="203"/>
      <c r="I27" s="203"/>
      <c r="J27" s="203"/>
      <c r="K27" s="203"/>
      <c r="L27" s="203"/>
      <c r="M27" s="203"/>
      <c r="N27" s="203"/>
    </row>
    <row r="28" spans="2:16">
      <c r="B28" s="80" t="s">
        <v>57</v>
      </c>
      <c r="C28" s="204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</row>
    <row r="29" spans="2:16">
      <c r="B29" s="183" t="s">
        <v>117</v>
      </c>
      <c r="C29" s="194">
        <f>VICE_Global!C8</f>
        <v>2.7991929999987319</v>
      </c>
      <c r="D29" s="195">
        <f>VICE_Global!D8</f>
        <v>2.8148589220703397</v>
      </c>
      <c r="E29" s="195">
        <f>VICE_Global!E8</f>
        <v>2.54013693686528</v>
      </c>
      <c r="F29" s="195">
        <f>VICE_Global!F8</f>
        <v>2.7130127325333495</v>
      </c>
      <c r="G29" s="195">
        <f>VICE_Global!G8</f>
        <v>2.363817765238291</v>
      </c>
      <c r="H29" s="195" t="str">
        <f>VICE_Global!H8</f>
        <v>NM</v>
      </c>
      <c r="I29" s="195" t="str">
        <f>VICE_Global!I8</f>
        <v>NM</v>
      </c>
      <c r="J29" s="195" t="str">
        <f>VICE_Global!J8</f>
        <v>NM</v>
      </c>
      <c r="K29" s="195" t="str">
        <f>VICE_Global!K8</f>
        <v>NM</v>
      </c>
      <c r="L29" s="195" t="str">
        <f>VICE_Global!L8</f>
        <v>NM</v>
      </c>
      <c r="M29" s="195" t="str">
        <f>VICE_Global!M8</f>
        <v>NM</v>
      </c>
      <c r="N29" s="195" t="str">
        <f>VICE_Global!N8</f>
        <v>NM</v>
      </c>
    </row>
    <row r="30" spans="2:16">
      <c r="B30" s="186" t="s">
        <v>118</v>
      </c>
      <c r="C30" s="197">
        <f>Motherboard_Global!C8</f>
        <v>1.4335425785113209</v>
      </c>
      <c r="D30" s="198">
        <f>Motherboard_Global!D8</f>
        <v>1.3932616760757592</v>
      </c>
      <c r="E30" s="198">
        <f>Motherboard_Global!E8</f>
        <v>1.3809995658455159</v>
      </c>
      <c r="F30" s="198">
        <f>Motherboard_Global!F8</f>
        <v>1.4117148615423925</v>
      </c>
      <c r="G30" s="198">
        <f>Motherboard_Global!G8</f>
        <v>1.3990659323183463</v>
      </c>
      <c r="H30" s="198" t="str">
        <f>Motherboard_Global!H8</f>
        <v>NM</v>
      </c>
      <c r="I30" s="198" t="str">
        <f>Motherboard_Global!I8</f>
        <v>NM</v>
      </c>
      <c r="J30" s="198" t="str">
        <f>Motherboard_Global!J8</f>
        <v>NM</v>
      </c>
      <c r="K30" s="198" t="str">
        <f>Motherboard_Global!K8</f>
        <v>NM</v>
      </c>
      <c r="L30" s="198" t="str">
        <f>Motherboard_Global!L8</f>
        <v>NM</v>
      </c>
      <c r="M30" s="198" t="str">
        <f>Motherboard_Global!M8</f>
        <v>NM</v>
      </c>
      <c r="N30" s="198" t="str">
        <f>Motherboard_Global!N8</f>
        <v>NM</v>
      </c>
    </row>
    <row r="31" spans="2:16">
      <c r="B31" s="186" t="s">
        <v>119</v>
      </c>
      <c r="C31" s="197">
        <f>Noisey_Global!C8</f>
        <v>1.4061457396385535</v>
      </c>
      <c r="D31" s="198">
        <f>Noisey_Global!D8</f>
        <v>1.4023260167851903</v>
      </c>
      <c r="E31" s="198">
        <f>Noisey_Global!E8</f>
        <v>1.3912930556139438</v>
      </c>
      <c r="F31" s="198">
        <f>Noisey_Global!F8</f>
        <v>1.3964075534283833</v>
      </c>
      <c r="G31" s="198">
        <f>Noisey_Global!G8</f>
        <v>1.3998631830346964</v>
      </c>
      <c r="H31" s="198" t="str">
        <f>Noisey_Global!H8</f>
        <v>NM</v>
      </c>
      <c r="I31" s="198" t="str">
        <f>Noisey_Global!I8</f>
        <v>NM</v>
      </c>
      <c r="J31" s="198" t="str">
        <f>Noisey_Global!J8</f>
        <v>NM</v>
      </c>
      <c r="K31" s="198" t="str">
        <f>Noisey_Global!K8</f>
        <v>NM</v>
      </c>
      <c r="L31" s="198" t="str">
        <f>Noisey_Global!L8</f>
        <v>NM</v>
      </c>
      <c r="M31" s="198" t="str">
        <f>Noisey_Global!M8</f>
        <v>NM</v>
      </c>
      <c r="N31" s="198" t="str">
        <f>Noisey_Global!N8</f>
        <v>NM</v>
      </c>
    </row>
    <row r="32" spans="2:16">
      <c r="B32" s="186" t="s">
        <v>180</v>
      </c>
      <c r="C32" s="328" t="str">
        <f>News_Global!C8</f>
        <v>NM</v>
      </c>
      <c r="D32" s="328" t="str">
        <f>News_Global!D8</f>
        <v>NM</v>
      </c>
      <c r="E32" s="328">
        <f>News_Global!E8</f>
        <v>1.6458505408267503</v>
      </c>
      <c r="F32" s="328">
        <f>News_Global!F8</f>
        <v>1.4809935655717976</v>
      </c>
      <c r="G32" s="328">
        <f>News_Global!G8</f>
        <v>1.4768839350922467</v>
      </c>
      <c r="H32" s="328" t="str">
        <f>News_Global!H8</f>
        <v>NM</v>
      </c>
      <c r="I32" s="328" t="str">
        <f>News_Global!I8</f>
        <v>NM</v>
      </c>
      <c r="J32" s="328" t="str">
        <f>News_Global!J8</f>
        <v>NM</v>
      </c>
      <c r="K32" s="328" t="str">
        <f>News_Global!K8</f>
        <v>NM</v>
      </c>
      <c r="L32" s="328" t="str">
        <f>News_Global!L8</f>
        <v>NM</v>
      </c>
      <c r="M32" s="328" t="str">
        <f>News_Global!M8</f>
        <v>NM</v>
      </c>
      <c r="N32" s="328" t="str">
        <f>News_Global!N8</f>
        <v>NM</v>
      </c>
    </row>
    <row r="33" spans="2:14">
      <c r="B33" s="186" t="s">
        <v>188</v>
      </c>
      <c r="C33" s="328" t="str">
        <f>Munchies_Global!C8</f>
        <v>NM</v>
      </c>
      <c r="D33" s="328" t="str">
        <f>Munchies_Global!D8</f>
        <v>NM</v>
      </c>
      <c r="E33" s="328" t="str">
        <f>Munchies_Global!E8</f>
        <v>NM</v>
      </c>
      <c r="F33" s="328">
        <f>Munchies_Global!F8</f>
        <v>1.4639616515363785</v>
      </c>
      <c r="G33" s="328">
        <f>Munchies_Global!G8</f>
        <v>1.6073357745671157</v>
      </c>
      <c r="H33" s="328" t="str">
        <f>Munchies_Global!H8</f>
        <v>NM</v>
      </c>
      <c r="I33" s="328" t="str">
        <f>Munchies_Global!I8</f>
        <v>NM</v>
      </c>
      <c r="J33" s="328" t="str">
        <f>Munchies_Global!J8</f>
        <v>NM</v>
      </c>
      <c r="K33" s="328" t="str">
        <f>Munchies_Global!K8</f>
        <v>NM</v>
      </c>
      <c r="L33" s="328" t="str">
        <f>Munchies_Global!L8</f>
        <v>NM</v>
      </c>
      <c r="M33" s="328" t="str">
        <f>Munchies_Global!M8</f>
        <v>NM</v>
      </c>
      <c r="N33" s="328" t="str">
        <f>Munchies_Global!N8</f>
        <v>NM</v>
      </c>
    </row>
    <row r="34" spans="2:14">
      <c r="B34" s="186" t="s">
        <v>120</v>
      </c>
      <c r="C34" s="197">
        <f>TCP_Global!C8</f>
        <v>1.6680424862718812</v>
      </c>
      <c r="D34" s="198">
        <f>TCP_Global!D8</f>
        <v>1.5418749296564653</v>
      </c>
      <c r="E34" s="198">
        <f>TCP_Global!E8</f>
        <v>1.5369342625049982</v>
      </c>
      <c r="F34" s="198">
        <f>TCP_Global!F8</f>
        <v>1.5003286855615299</v>
      </c>
      <c r="G34" s="198">
        <f>TCP_Global!G8</f>
        <v>1.4002436543211618</v>
      </c>
      <c r="H34" s="198" t="str">
        <f>TCP_Global!H8</f>
        <v>NM</v>
      </c>
      <c r="I34" s="198" t="str">
        <f>TCP_Global!I8</f>
        <v>NM</v>
      </c>
      <c r="J34" s="198" t="str">
        <f>TCP_Global!J8</f>
        <v>NM</v>
      </c>
      <c r="K34" s="198" t="str">
        <f>TCP_Global!K8</f>
        <v>NM</v>
      </c>
      <c r="L34" s="198" t="str">
        <f>TCP_Global!L8</f>
        <v>NM</v>
      </c>
      <c r="M34" s="198" t="str">
        <f>TCP_Global!M8</f>
        <v>NM</v>
      </c>
      <c r="N34" s="198" t="str">
        <f>TCP_Global!N8</f>
        <v>NM</v>
      </c>
    </row>
    <row r="35" spans="2:14">
      <c r="B35" s="186" t="s">
        <v>121</v>
      </c>
      <c r="C35" s="197">
        <f>[1]Fightland_Global!C8</f>
        <v>1.9938740572803406</v>
      </c>
      <c r="D35" s="198">
        <f>[1]Fightland_Global!D8</f>
        <v>1.8785183426696328</v>
      </c>
      <c r="E35" s="198">
        <f>Fightland_Global!E8</f>
        <v>1.7093169099378138</v>
      </c>
      <c r="F35" s="198">
        <f>Fightland_Global!F8</f>
        <v>1.7954688258167808</v>
      </c>
      <c r="G35" s="198">
        <f>Fightland_Global!G8</f>
        <v>1.6718872457697891</v>
      </c>
      <c r="H35" s="198" t="str">
        <f>Fightland_Global!H8</f>
        <v>NM</v>
      </c>
      <c r="I35" s="198" t="str">
        <f>Fightland_Global!I8</f>
        <v>NM</v>
      </c>
      <c r="J35" s="198" t="str">
        <f>Fightland_Global!J8</f>
        <v>NM</v>
      </c>
      <c r="K35" s="198" t="str">
        <f>Fightland_Global!K8</f>
        <v>NM</v>
      </c>
      <c r="L35" s="198" t="str">
        <f>Fightland_Global!L8</f>
        <v>NM</v>
      </c>
      <c r="M35" s="198" t="str">
        <f>Fightland_Global!M8</f>
        <v>NM</v>
      </c>
      <c r="N35" s="198" t="str">
        <f>Fightland_Global!N8</f>
        <v>NM</v>
      </c>
    </row>
    <row r="36" spans="2:14">
      <c r="B36" s="186" t="s">
        <v>122</v>
      </c>
      <c r="C36" s="197">
        <f>Thump_Global!C8</f>
        <v>1.4064446059399103</v>
      </c>
      <c r="D36" s="198">
        <f>Thump_Global!D8</f>
        <v>1.3713077904577922</v>
      </c>
      <c r="E36" s="198">
        <f>Thump_Global!E8</f>
        <v>1.3332998679639061</v>
      </c>
      <c r="F36" s="198">
        <f>Thump_Global!F8</f>
        <v>1.2916594068042104</v>
      </c>
      <c r="G36" s="198">
        <f>Thump_Global!G8</f>
        <v>1.2857034347724678</v>
      </c>
      <c r="H36" s="198" t="str">
        <f>Thump_Global!H8</f>
        <v>NM</v>
      </c>
      <c r="I36" s="198" t="str">
        <f>Thump_Global!I8</f>
        <v>NM</v>
      </c>
      <c r="J36" s="198" t="str">
        <f>Thump_Global!J8</f>
        <v>NM</v>
      </c>
      <c r="K36" s="198" t="str">
        <f>Thump_Global!K8</f>
        <v>NM</v>
      </c>
      <c r="L36" s="198" t="str">
        <f>Thump_Global!L8</f>
        <v>NM</v>
      </c>
      <c r="M36" s="198" t="str">
        <f>Thump_Global!M8</f>
        <v>NM</v>
      </c>
      <c r="N36" s="198" t="str">
        <f>Thump_Global!N8</f>
        <v>NM</v>
      </c>
    </row>
    <row r="37" spans="2:14">
      <c r="B37" s="189" t="s">
        <v>123</v>
      </c>
      <c r="C37" s="201">
        <f>iD_Global!C8</f>
        <v>2.1748258872342001</v>
      </c>
      <c r="D37" s="201">
        <f>iD_Global!D8</f>
        <v>1.8896363547284438</v>
      </c>
      <c r="E37" s="201">
        <f>iD_Global!E8</f>
        <v>1.7617771512947564</v>
      </c>
      <c r="F37" s="201">
        <f>iD_Global!F8</f>
        <v>1.676224933605327</v>
      </c>
      <c r="G37" s="201">
        <f>iD_Global!G8</f>
        <v>1.8592928566904328</v>
      </c>
      <c r="H37" s="201" t="str">
        <f>iD_Global!H8</f>
        <v>NM</v>
      </c>
      <c r="I37" s="201" t="str">
        <f>iD_Global!I8</f>
        <v>NM</v>
      </c>
      <c r="J37" s="201" t="str">
        <f>iD_Global!J8</f>
        <v>NM</v>
      </c>
      <c r="K37" s="201" t="str">
        <f>iD_Global!K8</f>
        <v>NM</v>
      </c>
      <c r="L37" s="201" t="str">
        <f>iD_Global!L8</f>
        <v>NM</v>
      </c>
      <c r="M37" s="201" t="str">
        <f>iD_Global!M8</f>
        <v>NM</v>
      </c>
      <c r="N37" s="201" t="str">
        <f>iD_Global!N8</f>
        <v>NM</v>
      </c>
    </row>
    <row r="38" spans="2:14">
      <c r="D38" s="206"/>
      <c r="E38" s="206"/>
      <c r="F38" s="206"/>
      <c r="G38" s="5">
        <f>AVERAGE(G29:G37)</f>
        <v>1.6071215313116163</v>
      </c>
      <c r="H38" s="206"/>
      <c r="I38" s="206"/>
      <c r="J38" s="206"/>
      <c r="K38" s="206"/>
      <c r="L38" s="206"/>
      <c r="M38" s="206"/>
      <c r="N38" s="206"/>
    </row>
    <row r="39" spans="2:14">
      <c r="B39" s="182" t="s">
        <v>124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</row>
    <row r="40" spans="2:14">
      <c r="B40" s="183" t="s">
        <v>125</v>
      </c>
      <c r="C40" s="339">
        <f>VICE_Global!C20</f>
        <v>5.0999999999999996</v>
      </c>
      <c r="D40" s="207">
        <f>VICE_Global!D20</f>
        <v>4.3</v>
      </c>
      <c r="E40" s="207">
        <f>VICE_Global!E20</f>
        <v>4.33</v>
      </c>
      <c r="F40" s="207">
        <f>VICE_Global!F20</f>
        <v>4.38</v>
      </c>
      <c r="G40" s="207">
        <f>VICE_Global!G20</f>
        <v>4.13</v>
      </c>
      <c r="H40" s="207">
        <f>VICE_Global!H20</f>
        <v>0</v>
      </c>
      <c r="I40" s="207">
        <f>VICE_Global!I20</f>
        <v>0</v>
      </c>
      <c r="J40" s="207">
        <f>VICE_Global!J20</f>
        <v>0</v>
      </c>
      <c r="K40" s="207">
        <f>VICE_Global!K20</f>
        <v>0</v>
      </c>
      <c r="L40" s="207">
        <f>VICE_Global!L20</f>
        <v>0</v>
      </c>
      <c r="M40" s="207">
        <f>VICE_Global!M20</f>
        <v>0</v>
      </c>
      <c r="N40" s="208">
        <f>VICE_Global!N20</f>
        <v>0</v>
      </c>
    </row>
    <row r="41" spans="2:14">
      <c r="B41" s="186" t="s">
        <v>126</v>
      </c>
      <c r="C41" s="340">
        <f>Motherboard_Global!C20</f>
        <v>1.54</v>
      </c>
      <c r="D41" s="209">
        <f>Motherboard_Global!D20</f>
        <v>2.17</v>
      </c>
      <c r="E41" s="209">
        <f>Motherboard_Global!E20</f>
        <v>3.39</v>
      </c>
      <c r="F41" s="209">
        <f>Motherboard_Global!F20</f>
        <v>3.28</v>
      </c>
      <c r="G41" s="209">
        <f>Motherboard_Global!G20</f>
        <v>2.2400000000000002</v>
      </c>
      <c r="H41" s="209">
        <f>Motherboard_Global!H20</f>
        <v>0</v>
      </c>
      <c r="I41" s="209">
        <f>Motherboard_Global!I20</f>
        <v>0</v>
      </c>
      <c r="J41" s="209">
        <f>Motherboard_Global!J20</f>
        <v>0</v>
      </c>
      <c r="K41" s="209">
        <f>Motherboard_Global!K20</f>
        <v>0</v>
      </c>
      <c r="L41" s="209">
        <f>Motherboard_Global!L20</f>
        <v>0</v>
      </c>
      <c r="M41" s="209">
        <f>Motherboard_Global!M20</f>
        <v>0</v>
      </c>
      <c r="N41" s="210">
        <f>Motherboard_Global!N20</f>
        <v>0</v>
      </c>
    </row>
    <row r="42" spans="2:14">
      <c r="B42" s="186" t="s">
        <v>127</v>
      </c>
      <c r="C42" s="340">
        <f>Noisey_Global!C20</f>
        <v>2.06</v>
      </c>
      <c r="D42" s="209">
        <f>Noisey_Global!D20</f>
        <v>2.0299999999999998</v>
      </c>
      <c r="E42" s="209">
        <f>Noisey_Global!E20</f>
        <v>2.02</v>
      </c>
      <c r="F42" s="209">
        <f>Noisey_Global!F20</f>
        <v>2</v>
      </c>
      <c r="G42" s="209">
        <f>Noisey_Global!G20</f>
        <v>2.06</v>
      </c>
      <c r="H42" s="209">
        <f>Noisey_Global!H20</f>
        <v>0</v>
      </c>
      <c r="I42" s="209">
        <f>Noisey_Global!I20</f>
        <v>0</v>
      </c>
      <c r="J42" s="209">
        <f>Noisey_Global!J20</f>
        <v>0</v>
      </c>
      <c r="K42" s="209">
        <f>Noisey_Global!K20</f>
        <v>0</v>
      </c>
      <c r="L42" s="209">
        <f>Noisey_Global!L20</f>
        <v>0</v>
      </c>
      <c r="M42" s="209">
        <f>Noisey_Global!M20</f>
        <v>0</v>
      </c>
      <c r="N42" s="210">
        <f>Noisey_Global!N20</f>
        <v>0</v>
      </c>
    </row>
    <row r="43" spans="2:14">
      <c r="B43" s="186" t="s">
        <v>180</v>
      </c>
      <c r="C43" s="341">
        <f>News_Global!C20</f>
        <v>0</v>
      </c>
      <c r="D43" s="326">
        <f>News_Global!D20</f>
        <v>0</v>
      </c>
      <c r="E43" s="326">
        <f>News_Global!E20</f>
        <v>3.08</v>
      </c>
      <c r="F43" s="326">
        <f>News_Global!F20</f>
        <v>2.14</v>
      </c>
      <c r="G43" s="326">
        <f>News_Global!G20</f>
        <v>2.2799999999999998</v>
      </c>
      <c r="H43" s="326">
        <f>News_Global!H20</f>
        <v>0</v>
      </c>
      <c r="I43" s="326">
        <f>News_Global!I20</f>
        <v>0</v>
      </c>
      <c r="J43" s="326">
        <f>News_Global!J20</f>
        <v>0</v>
      </c>
      <c r="K43" s="326">
        <f>News_Global!K20</f>
        <v>0</v>
      </c>
      <c r="L43" s="326">
        <f>News_Global!L20</f>
        <v>0</v>
      </c>
      <c r="M43" s="326">
        <f>News_Global!M20</f>
        <v>0</v>
      </c>
      <c r="N43" s="342">
        <f>News_Global!N20</f>
        <v>0</v>
      </c>
    </row>
    <row r="44" spans="2:14">
      <c r="B44" s="186" t="s">
        <v>188</v>
      </c>
      <c r="C44" s="341"/>
      <c r="D44" s="326"/>
      <c r="E44" s="326"/>
      <c r="F44" s="326">
        <f>Munchies_Global!F20</f>
        <v>2.54</v>
      </c>
      <c r="G44" s="326">
        <f>Munchies_Global!G20</f>
        <v>3.33</v>
      </c>
      <c r="H44" s="326">
        <f>Munchies_Global!H20</f>
        <v>0</v>
      </c>
      <c r="I44" s="326">
        <f>Munchies_Global!I20</f>
        <v>0</v>
      </c>
      <c r="J44" s="326">
        <f>Munchies_Global!J20</f>
        <v>0</v>
      </c>
      <c r="K44" s="326">
        <f>Munchies_Global!K20</f>
        <v>0</v>
      </c>
      <c r="L44" s="326">
        <f>Munchies_Global!L20</f>
        <v>0</v>
      </c>
      <c r="M44" s="326">
        <f>Munchies_Global!M20</f>
        <v>0</v>
      </c>
      <c r="N44" s="342">
        <f>Munchies_Global!N20</f>
        <v>0</v>
      </c>
    </row>
    <row r="45" spans="2:14">
      <c r="B45" s="186" t="s">
        <v>128</v>
      </c>
      <c r="C45" s="340">
        <f>TCP_Global!C20</f>
        <v>2.36</v>
      </c>
      <c r="D45" s="209">
        <f>TCP_Global!D20</f>
        <v>2.1</v>
      </c>
      <c r="E45" s="209">
        <f>TCP_Global!E20</f>
        <v>2.04</v>
      </c>
      <c r="F45" s="209">
        <f>TCP_Global!F20</f>
        <v>2.11</v>
      </c>
      <c r="G45" s="209">
        <f>TCP_Global!G20</f>
        <v>1.36</v>
      </c>
      <c r="H45" s="209">
        <f>TCP_Global!H20</f>
        <v>0</v>
      </c>
      <c r="I45" s="209">
        <f>TCP_Global!I20</f>
        <v>0</v>
      </c>
      <c r="J45" s="209">
        <f>TCP_Global!J20</f>
        <v>0</v>
      </c>
      <c r="K45" s="209">
        <f>TCP_Global!K20</f>
        <v>0</v>
      </c>
      <c r="L45" s="209">
        <f>TCP_Global!L20</f>
        <v>0</v>
      </c>
      <c r="M45" s="209">
        <f>TCP_Global!M20</f>
        <v>0</v>
      </c>
      <c r="N45" s="210">
        <f>TCP_Global!N20</f>
        <v>0</v>
      </c>
    </row>
    <row r="46" spans="2:14">
      <c r="B46" s="186" t="s">
        <v>129</v>
      </c>
      <c r="C46" s="340">
        <f>Fightland_Global!C20</f>
        <v>3.56</v>
      </c>
      <c r="D46" s="197">
        <f>Fightland_Global!D20</f>
        <v>3.34</v>
      </c>
      <c r="E46" s="197">
        <f>Fightland_Global!E20</f>
        <v>3.05</v>
      </c>
      <c r="F46" s="197">
        <f>Fightland_Global!F20</f>
        <v>4.07</v>
      </c>
      <c r="G46" s="197">
        <f>Fightland_Global!G20</f>
        <v>3.27</v>
      </c>
      <c r="H46" s="197">
        <f>Fightland_Global!H20</f>
        <v>0</v>
      </c>
      <c r="I46" s="197">
        <f>Fightland_Global!I20</f>
        <v>0</v>
      </c>
      <c r="J46" s="197">
        <f>Fightland_Global!J20</f>
        <v>0</v>
      </c>
      <c r="K46" s="197">
        <f>Fightland_Global!K20</f>
        <v>0</v>
      </c>
      <c r="L46" s="197">
        <f>Fightland_Global!L20</f>
        <v>0</v>
      </c>
      <c r="M46" s="197">
        <f>Fightland_Global!M20</f>
        <v>0</v>
      </c>
      <c r="N46" s="343">
        <f>Fightland_Global!N20</f>
        <v>0</v>
      </c>
    </row>
    <row r="47" spans="2:14">
      <c r="B47" s="186" t="s">
        <v>130</v>
      </c>
      <c r="C47" s="340">
        <f>Thump_Global!C20</f>
        <v>2.34</v>
      </c>
      <c r="D47" s="209">
        <f>Thump_Global!D20</f>
        <v>1.55</v>
      </c>
      <c r="E47" s="209">
        <f>Thump_Global!E20</f>
        <v>1.4</v>
      </c>
      <c r="F47" s="209">
        <f>Thump_Global!F20</f>
        <v>1.31</v>
      </c>
      <c r="G47" s="209">
        <f>Thump_Global!G20</f>
        <v>1.41</v>
      </c>
      <c r="H47" s="209">
        <f>Thump_Global!H20</f>
        <v>0</v>
      </c>
      <c r="I47" s="209">
        <f>Thump_Global!I20</f>
        <v>0</v>
      </c>
      <c r="J47" s="209">
        <f>Thump_Global!J20</f>
        <v>0</v>
      </c>
      <c r="K47" s="209">
        <f>Thump_Global!K20</f>
        <v>0</v>
      </c>
      <c r="L47" s="209">
        <f>Thump_Global!L20</f>
        <v>0</v>
      </c>
      <c r="M47" s="209">
        <f>Thump_Global!M20</f>
        <v>0</v>
      </c>
      <c r="N47" s="210">
        <f>Thump_Global!N20</f>
        <v>0</v>
      </c>
    </row>
    <row r="48" spans="2:14">
      <c r="B48" s="189" t="s">
        <v>131</v>
      </c>
      <c r="C48" s="344">
        <f>iD_Global!C20</f>
        <v>1.48</v>
      </c>
      <c r="D48" s="200">
        <f>iD_Global!D20</f>
        <v>1.28</v>
      </c>
      <c r="E48" s="200">
        <f>iD_Global!E20</f>
        <v>1.2</v>
      </c>
      <c r="F48" s="200">
        <f>iD_Global!F20</f>
        <v>1.1599999999999999</v>
      </c>
      <c r="G48" s="200">
        <f>iD_Global!G20</f>
        <v>1.32</v>
      </c>
      <c r="H48" s="200">
        <f>iD_Global!H20</f>
        <v>0</v>
      </c>
      <c r="I48" s="200">
        <f>iD_Global!I20</f>
        <v>0</v>
      </c>
      <c r="J48" s="200">
        <f>iD_Global!J20</f>
        <v>0</v>
      </c>
      <c r="K48" s="200">
        <f>iD_Global!K20</f>
        <v>0</v>
      </c>
      <c r="L48" s="200">
        <f>iD_Global!L20</f>
        <v>0</v>
      </c>
      <c r="M48" s="200">
        <f>iD_Global!M20</f>
        <v>0</v>
      </c>
      <c r="N48" s="338">
        <f>iD_Global!N20</f>
        <v>0</v>
      </c>
    </row>
    <row r="49" spans="2:14">
      <c r="D49" s="206"/>
      <c r="E49" s="206"/>
      <c r="F49" s="206"/>
      <c r="G49" s="380">
        <f>AVERAGE(G40:G48)</f>
        <v>2.3777777777777778</v>
      </c>
      <c r="H49" s="206"/>
      <c r="I49" s="206"/>
      <c r="J49" s="206"/>
      <c r="K49" s="206"/>
      <c r="L49" s="206"/>
      <c r="M49" s="206"/>
      <c r="N49" s="206"/>
    </row>
    <row r="50" spans="2:14">
      <c r="B50" s="80" t="s">
        <v>132</v>
      </c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</row>
    <row r="51" spans="2:14">
      <c r="B51" s="183" t="s">
        <v>133</v>
      </c>
      <c r="C51" s="339">
        <f>VICE_Global!C11</f>
        <v>6.0049168883679567</v>
      </c>
      <c r="D51" s="195">
        <f>VICE_Global!D11</f>
        <v>5.8201044292144761</v>
      </c>
      <c r="E51" s="195">
        <f>VICE_Global!E11</f>
        <v>5.6026006411875997</v>
      </c>
      <c r="F51" s="195">
        <f>VICE_Global!F11</f>
        <v>5.8222183739381137</v>
      </c>
      <c r="G51" s="195">
        <f>VICE_Global!G11</f>
        <v>5.5691021393956239</v>
      </c>
      <c r="H51" s="195" t="str">
        <f>VICE_Global!H11</f>
        <v>NM</v>
      </c>
      <c r="I51" s="195" t="str">
        <f>VICE_Global!I11</f>
        <v>NM</v>
      </c>
      <c r="J51" s="195" t="str">
        <f>VICE_Global!J11</f>
        <v>NM</v>
      </c>
      <c r="K51" s="195" t="str">
        <f>VICE_Global!K11</f>
        <v>NM</v>
      </c>
      <c r="L51" s="195" t="str">
        <f>VICE_Global!L11</f>
        <v>NM</v>
      </c>
      <c r="M51" s="195" t="str">
        <f>VICE_Global!M11</f>
        <v>NM</v>
      </c>
      <c r="N51" s="196" t="str">
        <f>VICE_Global!N11</f>
        <v>NM</v>
      </c>
    </row>
    <row r="52" spans="2:14">
      <c r="B52" s="186" t="s">
        <v>134</v>
      </c>
      <c r="C52" s="340">
        <f>Motherboard_Global!C11</f>
        <v>6.3234564640197739</v>
      </c>
      <c r="D52" s="198">
        <f>Motherboard_Global!D11</f>
        <v>6.5171275396033899</v>
      </c>
      <c r="E52" s="198">
        <f>Motherboard_Global!E11</f>
        <v>7.061015858110899</v>
      </c>
      <c r="F52" s="198">
        <f>Motherboard_Global!F11</f>
        <v>6.5798425071606097</v>
      </c>
      <c r="G52" s="198">
        <f>Motherboard_Global!G11</f>
        <v>6.2319164939257918</v>
      </c>
      <c r="H52" s="198" t="str">
        <f>Motherboard_Global!H11</f>
        <v>NM</v>
      </c>
      <c r="I52" s="198" t="str">
        <f>Motherboard_Global!I11</f>
        <v>NM</v>
      </c>
      <c r="J52" s="198" t="str">
        <f>Motherboard_Global!J11</f>
        <v>NM</v>
      </c>
      <c r="K52" s="198" t="str">
        <f>Motherboard_Global!K11</f>
        <v>NM</v>
      </c>
      <c r="L52" s="198" t="str">
        <f>Motherboard_Global!L11</f>
        <v>NM</v>
      </c>
      <c r="M52" s="198" t="str">
        <f>Motherboard_Global!M11</f>
        <v>NM</v>
      </c>
      <c r="N52" s="199" t="str">
        <f>Motherboard_Global!N11</f>
        <v>NM</v>
      </c>
    </row>
    <row r="53" spans="2:14">
      <c r="B53" s="186" t="s">
        <v>135</v>
      </c>
      <c r="C53" s="340">
        <f>Noisey_Global!C11</f>
        <v>3.1026188548927469</v>
      </c>
      <c r="D53" s="198">
        <f>Noisey_Global!D11</f>
        <v>3.4196451670460046</v>
      </c>
      <c r="E53" s="198">
        <f>Noisey_Global!E11</f>
        <v>3.5730091540428184</v>
      </c>
      <c r="F53" s="198">
        <f>Noisey_Global!F11</f>
        <v>3.2645696706156171</v>
      </c>
      <c r="G53" s="198">
        <f>Noisey_Global!G11</f>
        <v>3.3629413037173954</v>
      </c>
      <c r="H53" s="198" t="str">
        <f>Noisey_Global!H11</f>
        <v>NM</v>
      </c>
      <c r="I53" s="198" t="str">
        <f>Noisey_Global!I11</f>
        <v>NM</v>
      </c>
      <c r="J53" s="198" t="str">
        <f>Noisey_Global!J11</f>
        <v>NM</v>
      </c>
      <c r="K53" s="198" t="str">
        <f>Noisey_Global!K11</f>
        <v>NM</v>
      </c>
      <c r="L53" s="198" t="str">
        <f>Noisey_Global!L11</f>
        <v>NM</v>
      </c>
      <c r="M53" s="198" t="str">
        <f>Noisey_Global!M11</f>
        <v>NM</v>
      </c>
      <c r="N53" s="199" t="str">
        <f>Noisey_Global!N11</f>
        <v>NM</v>
      </c>
    </row>
    <row r="54" spans="2:14">
      <c r="B54" s="186" t="s">
        <v>180</v>
      </c>
      <c r="C54" s="345" t="str">
        <f>News_Global!C11</f>
        <v>NM</v>
      </c>
      <c r="D54" s="328" t="str">
        <f>News_Global!D11</f>
        <v>NM</v>
      </c>
      <c r="E54" s="328">
        <f>News_Global!E11</f>
        <v>6.2108899120830836</v>
      </c>
      <c r="F54" s="328">
        <f>News_Global!F11</f>
        <v>6.5288893209115226</v>
      </c>
      <c r="G54" s="328">
        <f>News_Global!G11</f>
        <v>6.6162819899062519</v>
      </c>
      <c r="H54" s="328" t="str">
        <f>News_Global!H11</f>
        <v>NM</v>
      </c>
      <c r="I54" s="328" t="str">
        <f>News_Global!I11</f>
        <v>NM</v>
      </c>
      <c r="J54" s="328" t="str">
        <f>News_Global!J11</f>
        <v>NM</v>
      </c>
      <c r="K54" s="328" t="str">
        <f>News_Global!K11</f>
        <v>NM</v>
      </c>
      <c r="L54" s="328" t="str">
        <f>News_Global!L11</f>
        <v>NM</v>
      </c>
      <c r="M54" s="328" t="str">
        <f>News_Global!M11</f>
        <v>NM</v>
      </c>
      <c r="N54" s="346" t="str">
        <f>News_Global!N11</f>
        <v>NM</v>
      </c>
    </row>
    <row r="55" spans="2:14">
      <c r="B55" s="186" t="s">
        <v>188</v>
      </c>
      <c r="C55" s="345"/>
      <c r="D55" s="328"/>
      <c r="E55" s="328"/>
      <c r="F55" s="328">
        <f>Munchies_Global!F11</f>
        <v>4.0748280784609614</v>
      </c>
      <c r="G55" s="328">
        <f>Munchies_Global!G11</f>
        <v>5.2827019317913031</v>
      </c>
      <c r="H55" s="328" t="str">
        <f>Munchies_Global!H11</f>
        <v>NM</v>
      </c>
      <c r="I55" s="328" t="str">
        <f>Munchies_Global!I11</f>
        <v>NM</v>
      </c>
      <c r="J55" s="328" t="str">
        <f>Munchies_Global!J11</f>
        <v>NM</v>
      </c>
      <c r="K55" s="328" t="str">
        <f>Munchies_Global!K11</f>
        <v>NM</v>
      </c>
      <c r="L55" s="328" t="str">
        <f>Munchies_Global!L11</f>
        <v>NM</v>
      </c>
      <c r="M55" s="328" t="str">
        <f>Munchies_Global!M11</f>
        <v>NM</v>
      </c>
      <c r="N55" s="346" t="str">
        <f>Munchies_Global!N11</f>
        <v>NM</v>
      </c>
    </row>
    <row r="56" spans="2:14">
      <c r="B56" s="186" t="s">
        <v>136</v>
      </c>
      <c r="C56" s="347">
        <f>TCP_Global!C11</f>
        <v>3.1379183334240914</v>
      </c>
      <c r="D56" s="198">
        <f>TCP_Global!D11</f>
        <v>3.0416408212619284</v>
      </c>
      <c r="E56" s="198">
        <f>TCP_Global!E11</f>
        <v>2.9385425612986733</v>
      </c>
      <c r="F56" s="198">
        <f>TCP_Global!F11</f>
        <v>3.1358713774563984</v>
      </c>
      <c r="G56" s="198">
        <f>TCP_Global!G11</f>
        <v>1.6618705556933524</v>
      </c>
      <c r="H56" s="198" t="str">
        <f>TCP_Global!H11</f>
        <v>NM</v>
      </c>
      <c r="I56" s="198" t="str">
        <f>TCP_Global!I11</f>
        <v>NM</v>
      </c>
      <c r="J56" s="198" t="str">
        <f>TCP_Global!J11</f>
        <v>NM</v>
      </c>
      <c r="K56" s="198" t="str">
        <f>TCP_Global!K11</f>
        <v>NM</v>
      </c>
      <c r="L56" s="198" t="str">
        <f>TCP_Global!L11</f>
        <v>NM</v>
      </c>
      <c r="M56" s="198" t="str">
        <f>TCP_Global!M11</f>
        <v>NM</v>
      </c>
      <c r="N56" s="199" t="str">
        <f>TCP_Global!N11</f>
        <v>NM</v>
      </c>
    </row>
    <row r="57" spans="2:14">
      <c r="B57" s="186" t="s">
        <v>137</v>
      </c>
      <c r="C57" s="347">
        <f>Fightland_Global!C11</f>
        <v>3.7253556727088903</v>
      </c>
      <c r="D57" s="198">
        <f>Fightland_Global!D11</f>
        <v>4.2090146847639787</v>
      </c>
      <c r="E57" s="198">
        <f>Fightland_Global!E11</f>
        <v>3.2555169799273718</v>
      </c>
      <c r="F57" s="198">
        <f>Fightland_Global!F11</f>
        <v>3.8664627588061311</v>
      </c>
      <c r="G57" s="198">
        <f>Fightland_Global!G11</f>
        <v>3.5512947428750059</v>
      </c>
      <c r="H57" s="198" t="str">
        <f>Fightland_Global!H11</f>
        <v>NM</v>
      </c>
      <c r="I57" s="198" t="str">
        <f>Fightland_Global!I11</f>
        <v>NM</v>
      </c>
      <c r="J57" s="198" t="str">
        <f>Fightland_Global!J11</f>
        <v>NM</v>
      </c>
      <c r="K57" s="198" t="str">
        <f>Fightland_Global!K11</f>
        <v>NM</v>
      </c>
      <c r="L57" s="198" t="str">
        <f>Fightland_Global!L11</f>
        <v>NM</v>
      </c>
      <c r="M57" s="198" t="str">
        <f>Fightland_Global!M11</f>
        <v>NM</v>
      </c>
      <c r="N57" s="199" t="str">
        <f>Fightland_Global!N11</f>
        <v>NM</v>
      </c>
    </row>
    <row r="58" spans="2:14">
      <c r="B58" s="186" t="s">
        <v>138</v>
      </c>
      <c r="C58" s="347">
        <f>Thump_Global!C11</f>
        <v>3.8992943141361933</v>
      </c>
      <c r="D58" s="198">
        <f>Thump_Global!D11</f>
        <v>4.1920559463632818</v>
      </c>
      <c r="E58" s="198">
        <f>Thump_Global!E11</f>
        <v>3.4250654516802634</v>
      </c>
      <c r="F58" s="198">
        <f>Thump_Global!F11</f>
        <v>3.0152750966788351</v>
      </c>
      <c r="G58" s="198">
        <f>Thump_Global!G11</f>
        <v>3.6033455147404378</v>
      </c>
      <c r="H58" s="198" t="str">
        <f>Thump_Global!H11</f>
        <v>NM</v>
      </c>
      <c r="I58" s="198" t="str">
        <f>Thump_Global!I11</f>
        <v>NM</v>
      </c>
      <c r="J58" s="198" t="str">
        <f>Thump_Global!J11</f>
        <v>NM</v>
      </c>
      <c r="K58" s="198" t="str">
        <f>Thump_Global!K11</f>
        <v>NM</v>
      </c>
      <c r="L58" s="198" t="str">
        <f>Thump_Global!L11</f>
        <v>NM</v>
      </c>
      <c r="M58" s="198" t="str">
        <f>Thump_Global!M11</f>
        <v>NM</v>
      </c>
      <c r="N58" s="199" t="str">
        <f>Thump_Global!N11</f>
        <v>NM</v>
      </c>
    </row>
    <row r="59" spans="2:14">
      <c r="B59" s="189" t="s">
        <v>139</v>
      </c>
      <c r="C59" s="348">
        <f>iD_Global!C11</f>
        <v>2.6691113470523211</v>
      </c>
      <c r="D59" s="201">
        <f>iD_Global!D11</f>
        <v>2.634892468225801</v>
      </c>
      <c r="E59" s="201">
        <f>iD_Global!E11</f>
        <v>2.3841276979730348</v>
      </c>
      <c r="F59" s="201">
        <f>iD_Global!F11</f>
        <v>2.2294189111227118</v>
      </c>
      <c r="G59" s="201">
        <f>iD_Global!G11</f>
        <v>2.356910559491006</v>
      </c>
      <c r="H59" s="201" t="str">
        <f>iD_Global!H11</f>
        <v>NM</v>
      </c>
      <c r="I59" s="201" t="str">
        <f>iD_Global!I11</f>
        <v>NM</v>
      </c>
      <c r="J59" s="201" t="str">
        <f>iD_Global!J11</f>
        <v>NM</v>
      </c>
      <c r="K59" s="201" t="str">
        <f>iD_Global!K11</f>
        <v>NM</v>
      </c>
      <c r="L59" s="201" t="str">
        <f>iD_Global!L11</f>
        <v>NM</v>
      </c>
      <c r="M59" s="201" t="str">
        <f>iD_Global!M11</f>
        <v>NM</v>
      </c>
      <c r="N59" s="202" t="str">
        <f>iD_Global!N11</f>
        <v>NM</v>
      </c>
    </row>
    <row r="60" spans="2:14"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</row>
    <row r="61" spans="2:14">
      <c r="B61" s="80" t="s">
        <v>140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</row>
    <row r="62" spans="2:14">
      <c r="B62" s="183" t="s">
        <v>141</v>
      </c>
      <c r="C62" s="349">
        <f>VICE_Global!C9</f>
        <v>0.2274065145756583</v>
      </c>
      <c r="D62" s="195">
        <f>VICE_Global!D9</f>
        <v>0.17738170777758089</v>
      </c>
      <c r="E62" s="195">
        <f>VICE_Global!E9</f>
        <v>0.19115451156794422</v>
      </c>
      <c r="F62" s="195">
        <f>VICE_Global!F9</f>
        <v>0.13723785180132103</v>
      </c>
      <c r="G62" s="195">
        <f>VICE_Global!G9</f>
        <v>0.10467327070420067</v>
      </c>
      <c r="H62" s="195" t="str">
        <f>VICE_Global!H9</f>
        <v>NM</v>
      </c>
      <c r="I62" s="195" t="str">
        <f>VICE_Global!I9</f>
        <v>NM</v>
      </c>
      <c r="J62" s="195" t="str">
        <f>VICE_Global!J9</f>
        <v>NM</v>
      </c>
      <c r="K62" s="195" t="str">
        <f>VICE_Global!K9</f>
        <v>NM</v>
      </c>
      <c r="L62" s="195" t="str">
        <f>VICE_Global!L9</f>
        <v>NM</v>
      </c>
      <c r="M62" s="195" t="str">
        <f>VICE_Global!M9</f>
        <v>NM</v>
      </c>
      <c r="N62" s="196" t="str">
        <f>VICE_Global!N9</f>
        <v>NM</v>
      </c>
    </row>
    <row r="63" spans="2:14">
      <c r="B63" s="186" t="s">
        <v>142</v>
      </c>
      <c r="C63" s="350">
        <f>Motherboard_Global!C9</f>
        <v>2.1889919948186738E-2</v>
      </c>
      <c r="D63" s="198">
        <f>Motherboard_Global!D9</f>
        <v>1.3269912854607942E-2</v>
      </c>
      <c r="E63" s="198">
        <f>Motherboard_Global!E9</f>
        <v>3.0228941636163572E-2</v>
      </c>
      <c r="F63" s="198">
        <f>Motherboard_Global!F9</f>
        <v>2.5800293054045527E-2</v>
      </c>
      <c r="G63" s="198">
        <f>Motherboard_Global!G9</f>
        <v>2.4256303266256857E-2</v>
      </c>
      <c r="H63" s="198" t="str">
        <f>Motherboard_Global!H9</f>
        <v>NM</v>
      </c>
      <c r="I63" s="198" t="str">
        <f>Motherboard_Global!I9</f>
        <v>NM</v>
      </c>
      <c r="J63" s="198" t="str">
        <f>Motherboard_Global!J9</f>
        <v>NM</v>
      </c>
      <c r="K63" s="198" t="str">
        <f>Motherboard_Global!K9</f>
        <v>NM</v>
      </c>
      <c r="L63" s="198" t="str">
        <f>Motherboard_Global!L9</f>
        <v>NM</v>
      </c>
      <c r="M63" s="198" t="str">
        <f>Motherboard_Global!M9</f>
        <v>NM</v>
      </c>
      <c r="N63" s="199" t="str">
        <f>Motherboard_Global!N9</f>
        <v>NM</v>
      </c>
    </row>
    <row r="64" spans="2:14">
      <c r="B64" s="186" t="s">
        <v>143</v>
      </c>
      <c r="C64" s="350">
        <f>Noisey_Global!C9</f>
        <v>7.2898791563270157E-2</v>
      </c>
      <c r="D64" s="198">
        <f>Noisey_Global!D9</f>
        <v>9.6253232490282725E-2</v>
      </c>
      <c r="E64" s="198">
        <f>Noisey_Global!E9</f>
        <v>8.8448825852528279E-2</v>
      </c>
      <c r="F64" s="198">
        <f>Noisey_Global!F9</f>
        <v>4.6412242028156456E-2</v>
      </c>
      <c r="G64" s="198">
        <f>Noisey_Global!G9</f>
        <v>4.4464142125052078E-2</v>
      </c>
      <c r="H64" s="198" t="str">
        <f>Noisey_Global!H9</f>
        <v>NM</v>
      </c>
      <c r="I64" s="198" t="str">
        <f>Noisey_Global!I9</f>
        <v>NM</v>
      </c>
      <c r="J64" s="198" t="str">
        <f>Noisey_Global!J9</f>
        <v>NM</v>
      </c>
      <c r="K64" s="198" t="str">
        <f>Noisey_Global!K9</f>
        <v>NM</v>
      </c>
      <c r="L64" s="198" t="str">
        <f>Noisey_Global!L9</f>
        <v>NM</v>
      </c>
      <c r="M64" s="198" t="str">
        <f>Noisey_Global!M9</f>
        <v>NM</v>
      </c>
      <c r="N64" s="199" t="str">
        <f>Noisey_Global!N9</f>
        <v>NM</v>
      </c>
    </row>
    <row r="65" spans="2:14">
      <c r="B65" s="186" t="s">
        <v>180</v>
      </c>
      <c r="C65" s="351" t="str">
        <f>News_Global!C9</f>
        <v>NM</v>
      </c>
      <c r="D65" s="352" t="str">
        <f>News_Global!D9</f>
        <v>NM</v>
      </c>
      <c r="E65" s="352">
        <f>News_Global!E9</f>
        <v>0.58508806422374005</v>
      </c>
      <c r="F65" s="352">
        <f>News_Global!F9</f>
        <v>0.2310680160862065</v>
      </c>
      <c r="G65" s="352">
        <f>News_Global!G9</f>
        <v>0.23611709943949247</v>
      </c>
      <c r="H65" s="352" t="str">
        <f>News_Global!H9</f>
        <v>NM</v>
      </c>
      <c r="I65" s="352" t="str">
        <f>News_Global!I9</f>
        <v>NM</v>
      </c>
      <c r="J65" s="352" t="str">
        <f>News_Global!J9</f>
        <v>NM</v>
      </c>
      <c r="K65" s="352" t="str">
        <f>News_Global!K9</f>
        <v>NM</v>
      </c>
      <c r="L65" s="352" t="str">
        <f>News_Global!L9</f>
        <v>NM</v>
      </c>
      <c r="M65" s="352" t="str">
        <f>News_Global!M9</f>
        <v>NM</v>
      </c>
      <c r="N65" s="353" t="str">
        <f>News_Global!N9</f>
        <v>NM</v>
      </c>
    </row>
    <row r="66" spans="2:14">
      <c r="B66" s="186" t="s">
        <v>188</v>
      </c>
      <c r="C66" s="351"/>
      <c r="D66" s="352"/>
      <c r="E66" s="352"/>
      <c r="F66" s="352">
        <f>Munchies_Global!F9</f>
        <v>9.959052725825486E-2</v>
      </c>
      <c r="G66" s="352">
        <f>Munchies_Global!G9</f>
        <v>0.22816337222275521</v>
      </c>
      <c r="H66" s="352" t="str">
        <f>Munchies_Global!H9</f>
        <v>NM</v>
      </c>
      <c r="I66" s="352" t="str">
        <f>Munchies_Global!I9</f>
        <v>NM</v>
      </c>
      <c r="J66" s="352" t="str">
        <f>Munchies_Global!J9</f>
        <v>NM</v>
      </c>
      <c r="K66" s="352" t="str">
        <f>Munchies_Global!K9</f>
        <v>NM</v>
      </c>
      <c r="L66" s="352" t="str">
        <f>Munchies_Global!L9</f>
        <v>NM</v>
      </c>
      <c r="M66" s="352" t="str">
        <f>Munchies_Global!M9</f>
        <v>NM</v>
      </c>
      <c r="N66" s="353" t="str">
        <f>Munchies_Global!N9</f>
        <v>NM</v>
      </c>
    </row>
    <row r="67" spans="2:14">
      <c r="B67" s="186" t="s">
        <v>144</v>
      </c>
      <c r="C67" s="350">
        <f>TCP_Global!C9</f>
        <v>0.14930779344659567</v>
      </c>
      <c r="D67" s="198">
        <f>TCP_Global!D9</f>
        <v>9.6504871924027139E-2</v>
      </c>
      <c r="E67" s="198">
        <f>TCP_Global!E9</f>
        <v>0.10300549381304232</v>
      </c>
      <c r="F67" s="198">
        <f>TCP_Global!F9</f>
        <v>8.1539536437923388E-2</v>
      </c>
      <c r="G67" s="198">
        <f>TCP_Global!G9</f>
        <v>4.8324479854442111E-2</v>
      </c>
      <c r="H67" s="198" t="str">
        <f>TCP_Global!H9</f>
        <v>NM</v>
      </c>
      <c r="I67" s="198" t="str">
        <f>TCP_Global!I9</f>
        <v>NM</v>
      </c>
      <c r="J67" s="198" t="str">
        <f>TCP_Global!J9</f>
        <v>NM</v>
      </c>
      <c r="K67" s="198" t="str">
        <f>TCP_Global!K9</f>
        <v>NM</v>
      </c>
      <c r="L67" s="198" t="str">
        <f>TCP_Global!L9</f>
        <v>NM</v>
      </c>
      <c r="M67" s="198" t="str">
        <f>TCP_Global!M9</f>
        <v>NM</v>
      </c>
      <c r="N67" s="199" t="str">
        <f>TCP_Global!N9</f>
        <v>NM</v>
      </c>
    </row>
    <row r="68" spans="2:14">
      <c r="B68" s="186" t="s">
        <v>145</v>
      </c>
      <c r="C68" s="347">
        <f>Fightland_Global!C9</f>
        <v>0.23687132744181744</v>
      </c>
      <c r="D68" s="198">
        <f>Fightland_Global!D9</f>
        <v>0.21840048704468787</v>
      </c>
      <c r="E68" s="198">
        <f>Fightland_Global!E9</f>
        <v>0.16265815816055418</v>
      </c>
      <c r="F68" s="198">
        <f>Fightland_Global!F9</f>
        <v>0.21242674072533671</v>
      </c>
      <c r="G68" s="198">
        <f>Fightland_Global!G9</f>
        <v>0.15734114492995688</v>
      </c>
      <c r="H68" s="198" t="str">
        <f>Fightland_Global!H9</f>
        <v>NM</v>
      </c>
      <c r="I68" s="198" t="str">
        <f>Fightland_Global!I9</f>
        <v>NM</v>
      </c>
      <c r="J68" s="198" t="str">
        <f>Fightland_Global!J9</f>
        <v>NM</v>
      </c>
      <c r="K68" s="198" t="str">
        <f>Fightland_Global!K9</f>
        <v>NM</v>
      </c>
      <c r="L68" s="198" t="str">
        <f>Fightland_Global!L9</f>
        <v>NM</v>
      </c>
      <c r="M68" s="198" t="str">
        <f>Fightland_Global!M9</f>
        <v>NM</v>
      </c>
      <c r="N68" s="199" t="str">
        <f>Fightland_Global!N9</f>
        <v>NM</v>
      </c>
    </row>
    <row r="69" spans="2:14">
      <c r="B69" s="186" t="s">
        <v>146</v>
      </c>
      <c r="C69" s="350">
        <f>Thump_Global!C9</f>
        <v>0.15604410164578156</v>
      </c>
      <c r="D69" s="198">
        <f>Thump_Global!D9</f>
        <v>5.0718070411842099E-2</v>
      </c>
      <c r="E69" s="198">
        <f>Thump_Global!E9</f>
        <v>4.2920857443610849E-2</v>
      </c>
      <c r="F69" s="198">
        <f>Thump_Global!F9</f>
        <v>3.7022626185317299E-2</v>
      </c>
      <c r="G69" s="198">
        <f>Thump_Global!G9</f>
        <v>3.4396827929929659E-2</v>
      </c>
      <c r="H69" s="198" t="str">
        <f>Thump_Global!H9</f>
        <v>NM</v>
      </c>
      <c r="I69" s="198" t="str">
        <f>Thump_Global!I9</f>
        <v>NM</v>
      </c>
      <c r="J69" s="198" t="str">
        <f>Thump_Global!J9</f>
        <v>NM</v>
      </c>
      <c r="K69" s="198" t="str">
        <f>Thump_Global!K9</f>
        <v>NM</v>
      </c>
      <c r="L69" s="198" t="str">
        <f>Thump_Global!L9</f>
        <v>NM</v>
      </c>
      <c r="M69" s="198" t="str">
        <f>Thump_Global!M9</f>
        <v>NM</v>
      </c>
      <c r="N69" s="199" t="str">
        <f>Thump_Global!N9</f>
        <v>NM</v>
      </c>
    </row>
    <row r="70" spans="2:14">
      <c r="B70" s="189" t="s">
        <v>147</v>
      </c>
      <c r="C70" s="348">
        <f>iD_Global!C9</f>
        <v>6.4968141068385563E-3</v>
      </c>
      <c r="D70" s="201">
        <f>iD_Global!D9</f>
        <v>5.9169144610143175E-3</v>
      </c>
      <c r="E70" s="201">
        <f>iD_Global!E9</f>
        <v>3.8241071500352396E-3</v>
      </c>
      <c r="F70" s="201">
        <f>iD_Global!F9</f>
        <v>1.5452468659223822E-2</v>
      </c>
      <c r="G70" s="201">
        <f>iD_Global!G9</f>
        <v>6.3146647279296543E-3</v>
      </c>
      <c r="H70" s="201" t="str">
        <f>iD_Global!H9</f>
        <v>NM</v>
      </c>
      <c r="I70" s="201" t="str">
        <f>iD_Global!I9</f>
        <v>NM</v>
      </c>
      <c r="J70" s="201" t="str">
        <f>iD_Global!J9</f>
        <v>NM</v>
      </c>
      <c r="K70" s="201" t="str">
        <f>iD_Global!K9</f>
        <v>NM</v>
      </c>
      <c r="L70" s="201" t="str">
        <f>iD_Global!L9</f>
        <v>NM</v>
      </c>
      <c r="M70" s="201" t="str">
        <f>iD_Global!M9</f>
        <v>NM</v>
      </c>
      <c r="N70" s="202" t="str">
        <f>iD_Global!N9</f>
        <v>NM</v>
      </c>
    </row>
    <row r="71" spans="2:14">
      <c r="G71" s="107">
        <f>AVERAGE(G62:G70)</f>
        <v>9.8227922800001727E-2</v>
      </c>
    </row>
    <row r="72" spans="2:14">
      <c r="B72" s="80" t="s">
        <v>148</v>
      </c>
    </row>
    <row r="73" spans="2:14">
      <c r="B73" s="183" t="s">
        <v>149</v>
      </c>
      <c r="C73" s="354">
        <f>VICE_Global!C33</f>
        <v>0.67930000000000001</v>
      </c>
      <c r="D73" s="214">
        <f>VICE_Global!D33</f>
        <v>0.68899999999999995</v>
      </c>
      <c r="E73" s="214">
        <f>VICE_Global!E33</f>
        <v>0.5796</v>
      </c>
      <c r="F73" s="214">
        <f>VICE_Global!F33</f>
        <v>0.48</v>
      </c>
      <c r="G73" s="214">
        <f>VICE_Global!G33</f>
        <v>0.71</v>
      </c>
      <c r="H73" s="214">
        <f>VICE_Global!H33</f>
        <v>0</v>
      </c>
      <c r="I73" s="214">
        <f>VICE_Global!I33</f>
        <v>0</v>
      </c>
      <c r="J73" s="214">
        <f>VICE_Global!J33</f>
        <v>0</v>
      </c>
      <c r="K73" s="214">
        <f>VICE_Global!K33</f>
        <v>0</v>
      </c>
      <c r="L73" s="214">
        <f>VICE_Global!L33</f>
        <v>0</v>
      </c>
      <c r="M73" s="214">
        <f>VICE_Global!M33</f>
        <v>0</v>
      </c>
      <c r="N73" s="215">
        <f>VICE_Global!N33</f>
        <v>0</v>
      </c>
    </row>
    <row r="74" spans="2:14">
      <c r="B74" s="186" t="s">
        <v>150</v>
      </c>
      <c r="C74" s="355">
        <f>Motherboard_Global!C33</f>
        <v>0.80349999999999999</v>
      </c>
      <c r="D74" s="216">
        <f>Motherboard_Global!D33</f>
        <v>0.73550000000000004</v>
      </c>
      <c r="E74" s="216">
        <f>Motherboard_Global!E33</f>
        <v>0.65739999999999998</v>
      </c>
      <c r="F74" s="216">
        <f>Motherboard_Global!F33</f>
        <v>0.69799999999999995</v>
      </c>
      <c r="G74" s="216">
        <f>Motherboard_Global!G33</f>
        <v>0.81230000000000002</v>
      </c>
      <c r="H74" s="216">
        <f>Motherboard_Global!H33</f>
        <v>0</v>
      </c>
      <c r="I74" s="216">
        <f>Motherboard_Global!I33</f>
        <v>0</v>
      </c>
      <c r="J74" s="216">
        <f>Motherboard_Global!J33</f>
        <v>0</v>
      </c>
      <c r="K74" s="216">
        <f>Motherboard_Global!K33</f>
        <v>0</v>
      </c>
      <c r="L74" s="216">
        <f>Motherboard_Global!L33</f>
        <v>0</v>
      </c>
      <c r="M74" s="216">
        <f>Motherboard_Global!M33</f>
        <v>0</v>
      </c>
      <c r="N74" s="217">
        <f>Motherboard_Global!N33</f>
        <v>0</v>
      </c>
    </row>
    <row r="75" spans="2:14">
      <c r="B75" s="186" t="s">
        <v>151</v>
      </c>
      <c r="C75" s="355">
        <f>Noisey_Global!C33</f>
        <v>0.8256</v>
      </c>
      <c r="D75" s="216">
        <f>Noisey_Global!D33</f>
        <v>0.82620000000000005</v>
      </c>
      <c r="E75" s="216">
        <f>Noisey_Global!E33</f>
        <v>0.8256</v>
      </c>
      <c r="F75" s="216">
        <f>Noisey_Global!F33</f>
        <v>0.82740000000000002</v>
      </c>
      <c r="G75" s="216">
        <f>Noisey_Global!G33</f>
        <v>0.82569999999999999</v>
      </c>
      <c r="H75" s="216">
        <f>Noisey_Global!H33</f>
        <v>0</v>
      </c>
      <c r="I75" s="216">
        <f>Noisey_Global!I33</f>
        <v>0</v>
      </c>
      <c r="J75" s="216">
        <f>Noisey_Global!J33</f>
        <v>0</v>
      </c>
      <c r="K75" s="216">
        <f>Noisey_Global!K33</f>
        <v>0</v>
      </c>
      <c r="L75" s="216">
        <f>Noisey_Global!L33</f>
        <v>0</v>
      </c>
      <c r="M75" s="216">
        <f>Noisey_Global!M33</f>
        <v>0</v>
      </c>
      <c r="N75" s="217">
        <f>Noisey_Global!N33</f>
        <v>0</v>
      </c>
    </row>
    <row r="76" spans="2:14">
      <c r="B76" s="186" t="s">
        <v>180</v>
      </c>
      <c r="C76" s="359">
        <f>News_Global!C33</f>
        <v>0</v>
      </c>
      <c r="D76" s="360">
        <f>News_Global!D33</f>
        <v>0</v>
      </c>
      <c r="E76" s="360">
        <f>News_Global!E33</f>
        <v>0.65029999999999999</v>
      </c>
      <c r="F76" s="360">
        <f>News_Global!F33</f>
        <v>0.76539999999999997</v>
      </c>
      <c r="G76" s="360">
        <f>News_Global!G33</f>
        <v>0.76549999999999996</v>
      </c>
      <c r="H76" s="360">
        <f>News_Global!H33</f>
        <v>0</v>
      </c>
      <c r="I76" s="360">
        <f>News_Global!I33</f>
        <v>0</v>
      </c>
      <c r="J76" s="360">
        <f>News_Global!J33</f>
        <v>0</v>
      </c>
      <c r="K76" s="360">
        <f>News_Global!K33</f>
        <v>0</v>
      </c>
      <c r="L76" s="360">
        <f>News_Global!L33</f>
        <v>0</v>
      </c>
      <c r="M76" s="360">
        <f>News_Global!M33</f>
        <v>0</v>
      </c>
      <c r="N76" s="361">
        <f>News_Global!N33</f>
        <v>0</v>
      </c>
    </row>
    <row r="77" spans="2:14">
      <c r="B77" s="186" t="s">
        <v>188</v>
      </c>
      <c r="C77" s="359"/>
      <c r="D77" s="360"/>
      <c r="E77" s="360"/>
      <c r="F77" s="360">
        <f>Munchies_Global!F33</f>
        <v>9.5399999999999999E-2</v>
      </c>
      <c r="G77" s="360">
        <f>Munchies_Global!G33</f>
        <v>0.12429999999999999</v>
      </c>
      <c r="H77" s="360">
        <f>Munchies_Global!H33</f>
        <v>0</v>
      </c>
      <c r="I77" s="360">
        <f>Munchies_Global!I33</f>
        <v>0</v>
      </c>
      <c r="J77" s="360">
        <f>Munchies_Global!J33</f>
        <v>0</v>
      </c>
      <c r="K77" s="360">
        <f>Munchies_Global!K33</f>
        <v>0</v>
      </c>
      <c r="L77" s="360">
        <f>Munchies_Global!L33</f>
        <v>0</v>
      </c>
      <c r="M77" s="360">
        <f>Munchies_Global!M33</f>
        <v>0</v>
      </c>
      <c r="N77" s="361">
        <f>Munchies_Global!N33</f>
        <v>0</v>
      </c>
    </row>
    <row r="78" spans="2:14">
      <c r="B78" s="186" t="s">
        <v>152</v>
      </c>
      <c r="C78" s="355">
        <f>TCP_Global!C33</f>
        <v>0.77910000000000001</v>
      </c>
      <c r="D78" s="216">
        <f>TCP_Global!D33</f>
        <v>0.79579999999999995</v>
      </c>
      <c r="E78" s="216">
        <f>TCP_Global!E33</f>
        <v>0.8</v>
      </c>
      <c r="F78" s="216">
        <f>TCP_Global!F33</f>
        <v>0.80959999999999999</v>
      </c>
      <c r="G78" s="216">
        <f>TCP_Global!G33</f>
        <v>0.83479999999999999</v>
      </c>
      <c r="H78" s="216">
        <f>TCP_Global!H33</f>
        <v>0</v>
      </c>
      <c r="I78" s="216">
        <f>TCP_Global!I33</f>
        <v>0</v>
      </c>
      <c r="J78" s="216">
        <f>TCP_Global!J33</f>
        <v>0</v>
      </c>
      <c r="K78" s="216">
        <f>TCP_Global!K33</f>
        <v>0</v>
      </c>
      <c r="L78" s="216">
        <f>TCP_Global!L33</f>
        <v>0</v>
      </c>
      <c r="M78" s="216">
        <f>TCP_Global!M33</f>
        <v>0</v>
      </c>
      <c r="N78" s="217">
        <f>TCP_Global!N33</f>
        <v>0</v>
      </c>
    </row>
    <row r="79" spans="2:14">
      <c r="B79" s="186" t="s">
        <v>145</v>
      </c>
      <c r="C79" s="355">
        <f>Fightland_Global!C33</f>
        <v>0.70369999999999999</v>
      </c>
      <c r="D79" s="216">
        <f>Fightland_Global!D33</f>
        <v>0.7147</v>
      </c>
      <c r="E79" s="216">
        <f>Fightland_Global!E33</f>
        <v>0.66059999999999997</v>
      </c>
      <c r="F79" s="216">
        <f>Fightland_Global!F33</f>
        <v>0.46089999999999998</v>
      </c>
      <c r="G79" s="216">
        <f>Fightland_Global!G33</f>
        <v>0.45889999999999997</v>
      </c>
      <c r="H79" s="216">
        <f>Fightland_Global!H33</f>
        <v>0</v>
      </c>
      <c r="I79" s="216">
        <f>Fightland_Global!I33</f>
        <v>0</v>
      </c>
      <c r="J79" s="216">
        <f>Fightland_Global!J33</f>
        <v>0</v>
      </c>
      <c r="K79" s="216">
        <f>Fightland_Global!K33</f>
        <v>0</v>
      </c>
      <c r="L79" s="216">
        <f>Fightland_Global!L33</f>
        <v>0</v>
      </c>
      <c r="M79" s="216">
        <f>Fightland_Global!M33</f>
        <v>0</v>
      </c>
      <c r="N79" s="217">
        <f>Fightland_Global!N33</f>
        <v>0</v>
      </c>
    </row>
    <row r="80" spans="2:14">
      <c r="B80" s="186" t="s">
        <v>146</v>
      </c>
      <c r="C80" s="355">
        <f>Thump_Global!C33</f>
        <v>0.82599999999999996</v>
      </c>
      <c r="D80" s="216">
        <f>Thump_Global!D33</f>
        <v>0.84</v>
      </c>
      <c r="E80" s="216">
        <f>Thump_Global!E33</f>
        <v>0.85389999999999999</v>
      </c>
      <c r="F80" s="216">
        <f>Thump_Global!F33</f>
        <v>0.86609999999999998</v>
      </c>
      <c r="G80" s="216">
        <f>Thump_Global!G33</f>
        <v>0.86</v>
      </c>
      <c r="H80" s="216">
        <f>Thump_Global!H33</f>
        <v>0</v>
      </c>
      <c r="I80" s="216">
        <f>Thump_Global!I33</f>
        <v>0</v>
      </c>
      <c r="J80" s="216">
        <f>Thump_Global!J33</f>
        <v>0</v>
      </c>
      <c r="K80" s="216">
        <f>Thump_Global!K33</f>
        <v>0</v>
      </c>
      <c r="L80" s="216">
        <f>Thump_Global!L33</f>
        <v>0</v>
      </c>
      <c r="M80" s="216">
        <f>Thump_Global!M33</f>
        <v>0</v>
      </c>
      <c r="N80" s="217">
        <f>Thump_Global!N33</f>
        <v>0</v>
      </c>
    </row>
    <row r="81" spans="2:14">
      <c r="B81" s="189" t="s">
        <v>147</v>
      </c>
      <c r="C81" s="358">
        <f>iD_Global!C33</f>
        <v>0.69130000000000003</v>
      </c>
      <c r="D81" s="218">
        <f>iD_Global!D33</f>
        <v>0.74380000000000002</v>
      </c>
      <c r="E81" s="218">
        <f>iD_Global!E33</f>
        <v>0.76</v>
      </c>
      <c r="F81" s="218">
        <f>iD_Global!F33</f>
        <v>0.77100000000000002</v>
      </c>
      <c r="G81" s="218">
        <f>iD_Global!G33</f>
        <v>0.7238</v>
      </c>
      <c r="H81" s="218">
        <f>iD_Global!H33</f>
        <v>0</v>
      </c>
      <c r="I81" s="218">
        <f>iD_Global!I33</f>
        <v>0</v>
      </c>
      <c r="J81" s="218">
        <f>iD_Global!J33</f>
        <v>0</v>
      </c>
      <c r="K81" s="218">
        <f>iD_Global!K33</f>
        <v>0</v>
      </c>
      <c r="L81" s="218">
        <f>iD_Global!L33</f>
        <v>0</v>
      </c>
      <c r="M81" s="218">
        <f>iD_Global!M33</f>
        <v>0</v>
      </c>
      <c r="N81" s="219">
        <f>iD_Global!N33</f>
        <v>0</v>
      </c>
    </row>
    <row r="82" spans="2:14">
      <c r="G82" s="6">
        <f>AVERAGE(G73:G81)</f>
        <v>0.67947777777777774</v>
      </c>
    </row>
    <row r="83" spans="2:14">
      <c r="B83" s="80" t="s">
        <v>98</v>
      </c>
    </row>
    <row r="84" spans="2:14">
      <c r="B84" s="183" t="s">
        <v>149</v>
      </c>
      <c r="C84" s="354">
        <f>VICE_Global!C35</f>
        <v>0.51659999999999995</v>
      </c>
      <c r="D84" s="214">
        <f>VICE_Global!D35</f>
        <v>0.52659999999999996</v>
      </c>
      <c r="E84" s="214">
        <f>VICE_Global!E35</f>
        <v>0.56000000000000005</v>
      </c>
      <c r="F84" s="214">
        <f>VICE_Global!F35</f>
        <v>0.60010000000000008</v>
      </c>
      <c r="G84" s="214">
        <f>VICE_Global!G35</f>
        <v>0.59760000000000002</v>
      </c>
      <c r="H84" s="214">
        <f>VICE_Global!H35</f>
        <v>0</v>
      </c>
      <c r="I84" s="214">
        <f>VICE_Global!I35</f>
        <v>0</v>
      </c>
      <c r="J84" s="214">
        <f>VICE_Global!J35</f>
        <v>0</v>
      </c>
      <c r="K84" s="214">
        <f>VICE_Global!K35</f>
        <v>0</v>
      </c>
      <c r="L84" s="214">
        <f>VICE_Global!L35</f>
        <v>0</v>
      </c>
      <c r="M84" s="214">
        <f>VICE_Global!M35</f>
        <v>0</v>
      </c>
      <c r="N84" s="215">
        <f>VICE_Global!N35</f>
        <v>0</v>
      </c>
    </row>
    <row r="85" spans="2:14">
      <c r="B85" s="186" t="s">
        <v>150</v>
      </c>
      <c r="C85" s="355">
        <f>Motherboard_Global!C35</f>
        <v>0.27900000000000003</v>
      </c>
      <c r="D85" s="216">
        <f>Motherboard_Global!D35</f>
        <v>0.31999999999999995</v>
      </c>
      <c r="E85" s="216">
        <f>Motherboard_Global!E35</f>
        <v>0.35360000000000003</v>
      </c>
      <c r="F85" s="216">
        <f>Motherboard_Global!F35</f>
        <v>0.35</v>
      </c>
      <c r="G85" s="216">
        <f>Motherboard_Global!G35</f>
        <v>0.32230000000000003</v>
      </c>
      <c r="H85" s="216">
        <f>Motherboard_Global!H35</f>
        <v>0</v>
      </c>
      <c r="I85" s="216">
        <f>Motherboard_Global!I35</f>
        <v>0</v>
      </c>
      <c r="J85" s="216">
        <f>Motherboard_Global!J35</f>
        <v>0</v>
      </c>
      <c r="K85" s="216">
        <f>Motherboard_Global!K35</f>
        <v>0</v>
      </c>
      <c r="L85" s="216">
        <f>Motherboard_Global!L35</f>
        <v>0</v>
      </c>
      <c r="M85" s="216">
        <f>Motherboard_Global!M35</f>
        <v>0</v>
      </c>
      <c r="N85" s="217">
        <f>Motherboard_Global!N35</f>
        <v>0</v>
      </c>
    </row>
    <row r="86" spans="2:14">
      <c r="B86" s="186" t="s">
        <v>151</v>
      </c>
      <c r="C86" s="355">
        <f>Noisey_Global!C35</f>
        <v>0.36509999999999998</v>
      </c>
      <c r="D86" s="216">
        <f>Noisey_Global!D35</f>
        <v>0.39059999999999995</v>
      </c>
      <c r="E86" s="216">
        <f>Noisey_Global!E35</f>
        <v>0.38529999999999998</v>
      </c>
      <c r="F86" s="216">
        <f>Noisey_Global!F35</f>
        <v>0.39510000000000001</v>
      </c>
      <c r="G86" s="216">
        <f>Noisey_Global!G35</f>
        <v>0.42659999999999998</v>
      </c>
      <c r="H86" s="216">
        <f>Noisey_Global!H35</f>
        <v>0</v>
      </c>
      <c r="I86" s="216">
        <f>Noisey_Global!I35</f>
        <v>0</v>
      </c>
      <c r="J86" s="216">
        <f>Noisey_Global!J35</f>
        <v>0</v>
      </c>
      <c r="K86" s="216">
        <f>Noisey_Global!K35</f>
        <v>0</v>
      </c>
      <c r="L86" s="216">
        <f>Noisey_Global!L35</f>
        <v>0</v>
      </c>
      <c r="M86" s="216">
        <f>Noisey_Global!M35</f>
        <v>0</v>
      </c>
      <c r="N86" s="217">
        <f>Noisey_Global!N35</f>
        <v>0</v>
      </c>
    </row>
    <row r="87" spans="2:14">
      <c r="B87" s="186" t="s">
        <v>180</v>
      </c>
      <c r="C87" s="356">
        <f>News_Global!C35</f>
        <v>0</v>
      </c>
      <c r="D87" s="329">
        <f>News_Global!D35</f>
        <v>0</v>
      </c>
      <c r="E87" s="329">
        <f>News_Global!E35</f>
        <v>0.38</v>
      </c>
      <c r="F87" s="329">
        <f>News_Global!F35</f>
        <v>0.38390000000000002</v>
      </c>
      <c r="G87" s="329">
        <f>News_Global!G35</f>
        <v>0.46060000000000001</v>
      </c>
      <c r="H87" s="329">
        <f>News_Global!H35</f>
        <v>0</v>
      </c>
      <c r="I87" s="329">
        <f>News_Global!I35</f>
        <v>0</v>
      </c>
      <c r="J87" s="329">
        <f>News_Global!J35</f>
        <v>0</v>
      </c>
      <c r="K87" s="329">
        <f>News_Global!K35</f>
        <v>0</v>
      </c>
      <c r="L87" s="329">
        <f>News_Global!L35</f>
        <v>0</v>
      </c>
      <c r="M87" s="329">
        <f>News_Global!M35</f>
        <v>0</v>
      </c>
      <c r="N87" s="357">
        <f>News_Global!N35</f>
        <v>0</v>
      </c>
    </row>
    <row r="88" spans="2:14">
      <c r="B88" s="186" t="s">
        <v>188</v>
      </c>
      <c r="C88" s="356">
        <f>Munchies_Global!C35</f>
        <v>0</v>
      </c>
      <c r="D88" s="329">
        <f>Munchies_Global!D35</f>
        <v>0</v>
      </c>
      <c r="E88" s="329">
        <f>Munchies_Global!E35</f>
        <v>0</v>
      </c>
      <c r="F88" s="329">
        <f>Munchies_Global!F35</f>
        <v>0.35119999999999996</v>
      </c>
      <c r="G88" s="329">
        <f>Munchies_Global!G35</f>
        <v>0.41390000000000005</v>
      </c>
      <c r="H88" s="329">
        <f>Munchies_Global!H35</f>
        <v>0</v>
      </c>
      <c r="I88" s="329">
        <f>Munchies_Global!I35</f>
        <v>0</v>
      </c>
      <c r="J88" s="329">
        <f>Munchies_Global!J35</f>
        <v>0</v>
      </c>
      <c r="K88" s="329">
        <f>Munchies_Global!K35</f>
        <v>0</v>
      </c>
      <c r="L88" s="329">
        <f>Munchies_Global!L35</f>
        <v>0</v>
      </c>
      <c r="M88" s="329">
        <f>Munchies_Global!M35</f>
        <v>0</v>
      </c>
      <c r="N88" s="357">
        <f>Munchies_Global!N35</f>
        <v>0</v>
      </c>
    </row>
    <row r="89" spans="2:14">
      <c r="B89" s="186" t="s">
        <v>152</v>
      </c>
      <c r="C89" s="355">
        <f>TCP_Global!C35</f>
        <v>0.27939999999999998</v>
      </c>
      <c r="D89" s="216">
        <f>TCP_Global!D35</f>
        <v>0.27059999999999995</v>
      </c>
      <c r="E89" s="216">
        <f>TCP_Global!E35</f>
        <v>0.28000000000000003</v>
      </c>
      <c r="F89" s="216">
        <f>TCP_Global!F35</f>
        <v>0.31789999999999996</v>
      </c>
      <c r="G89" s="216">
        <f>TCP_Global!G35</f>
        <v>0.31230000000000002</v>
      </c>
      <c r="H89" s="216">
        <f>TCP_Global!H35</f>
        <v>0</v>
      </c>
      <c r="I89" s="216">
        <f>TCP_Global!I35</f>
        <v>0</v>
      </c>
      <c r="J89" s="216">
        <f>TCP_Global!J35</f>
        <v>0</v>
      </c>
      <c r="K89" s="216">
        <f>TCP_Global!K35</f>
        <v>0</v>
      </c>
      <c r="L89" s="216">
        <f>TCP_Global!L35</f>
        <v>0</v>
      </c>
      <c r="M89" s="216">
        <f>TCP_Global!M35</f>
        <v>0</v>
      </c>
      <c r="N89" s="217">
        <f>TCP_Global!N35</f>
        <v>0</v>
      </c>
    </row>
    <row r="90" spans="2:14">
      <c r="B90" s="186" t="s">
        <v>145</v>
      </c>
      <c r="C90" s="355">
        <f>Fightland_Global!C35</f>
        <v>0.37839999999999996</v>
      </c>
      <c r="D90" s="216">
        <f>Fightland_Global!D35</f>
        <v>0.38349999999999995</v>
      </c>
      <c r="E90" s="216">
        <f>Fightland_Global!E35</f>
        <v>0.3609</v>
      </c>
      <c r="F90" s="216">
        <f>Fightland_Global!F35</f>
        <v>0.4335</v>
      </c>
      <c r="G90" s="216">
        <f>Fightland_Global!G35</f>
        <v>0.45120000000000005</v>
      </c>
      <c r="H90" s="216">
        <f>Fightland_Global!H35</f>
        <v>0</v>
      </c>
      <c r="I90" s="216">
        <f>Fightland_Global!I35</f>
        <v>0</v>
      </c>
      <c r="J90" s="216">
        <f>Fightland_Global!J35</f>
        <v>0</v>
      </c>
      <c r="K90" s="216">
        <f>Fightland_Global!K35</f>
        <v>0</v>
      </c>
      <c r="L90" s="216">
        <f>Fightland_Global!L35</f>
        <v>0</v>
      </c>
      <c r="M90" s="216">
        <f>Fightland_Global!M35</f>
        <v>0</v>
      </c>
      <c r="N90" s="217">
        <f>Fightland_Global!N35</f>
        <v>0</v>
      </c>
    </row>
    <row r="91" spans="2:14">
      <c r="B91" s="186" t="s">
        <v>146</v>
      </c>
      <c r="C91" s="355">
        <f>Thump_Global!C35</f>
        <v>0.31100000000000005</v>
      </c>
      <c r="D91" s="216">
        <f>Thump_Global!D35</f>
        <v>0.3357</v>
      </c>
      <c r="E91" s="216">
        <f>Thump_Global!E35</f>
        <v>0.33330000000000004</v>
      </c>
      <c r="F91" s="216">
        <f>Thump_Global!F35</f>
        <v>0.35770000000000002</v>
      </c>
      <c r="G91" s="216">
        <f>Thump_Global!G35</f>
        <v>0.36719999999999997</v>
      </c>
      <c r="H91" s="216">
        <f>Thump_Global!H35</f>
        <v>0</v>
      </c>
      <c r="I91" s="216">
        <f>Thump_Global!I35</f>
        <v>0</v>
      </c>
      <c r="J91" s="216">
        <f>Thump_Global!J35</f>
        <v>0</v>
      </c>
      <c r="K91" s="216">
        <f>Thump_Global!K35</f>
        <v>0</v>
      </c>
      <c r="L91" s="216">
        <f>Thump_Global!L35</f>
        <v>0</v>
      </c>
      <c r="M91" s="216">
        <f>Thump_Global!M35</f>
        <v>0</v>
      </c>
      <c r="N91" s="217">
        <f>Thump_Global!N35</f>
        <v>0</v>
      </c>
    </row>
    <row r="92" spans="2:14">
      <c r="B92" s="189" t="s">
        <v>147</v>
      </c>
      <c r="C92" s="358">
        <f>iD_Global!C35</f>
        <v>0.379</v>
      </c>
      <c r="D92" s="218">
        <f>iD_Global!D35</f>
        <v>0.32569999999999999</v>
      </c>
      <c r="E92" s="218">
        <f>iD_Global!E35</f>
        <v>0.33999999999999997</v>
      </c>
      <c r="F92" s="218">
        <f>iD_Global!F35</f>
        <v>0.37790000000000001</v>
      </c>
      <c r="G92" s="218">
        <f>iD_Global!G35</f>
        <v>0.44230000000000003</v>
      </c>
      <c r="H92" s="218">
        <f>iD_Global!H35</f>
        <v>0</v>
      </c>
      <c r="I92" s="218">
        <f>iD_Global!I35</f>
        <v>0</v>
      </c>
      <c r="J92" s="218">
        <f>iD_Global!J35</f>
        <v>0</v>
      </c>
      <c r="K92" s="218">
        <f>iD_Global!K35</f>
        <v>0</v>
      </c>
      <c r="L92" s="218">
        <f>iD_Global!L35</f>
        <v>0</v>
      </c>
      <c r="M92" s="218">
        <f>iD_Global!M35</f>
        <v>0</v>
      </c>
      <c r="N92" s="219">
        <f>iD_Global!N35</f>
        <v>0</v>
      </c>
    </row>
    <row r="93" spans="2:14">
      <c r="G93" s="6">
        <f>AVERAGE(G84:G92)</f>
        <v>0.42155555555555557</v>
      </c>
    </row>
    <row r="94" spans="2:14">
      <c r="B94" s="80" t="s">
        <v>16</v>
      </c>
    </row>
    <row r="95" spans="2:14">
      <c r="B95" s="183" t="s">
        <v>149</v>
      </c>
      <c r="C95" s="333">
        <f>VICE_Global!C12</f>
        <v>0.33502388457977045</v>
      </c>
      <c r="D95" s="221">
        <f>VICE_Global!D12</f>
        <v>0.35056158861579534</v>
      </c>
      <c r="E95" s="221">
        <f>VICE_Global!E12</f>
        <v>0.38578434999177474</v>
      </c>
      <c r="F95" s="221">
        <f>VICE_Global!F12</f>
        <v>0.39016770349499658</v>
      </c>
      <c r="G95" s="221">
        <f>VICE_Global!G12</f>
        <v>0.41531622222707754</v>
      </c>
      <c r="H95" s="221" t="str">
        <f>VICE_Global!H12</f>
        <v>NM</v>
      </c>
      <c r="I95" s="221" t="str">
        <f>VICE_Global!I12</f>
        <v>NM</v>
      </c>
      <c r="J95" s="221" t="str">
        <f>VICE_Global!J12</f>
        <v>NM</v>
      </c>
      <c r="K95" s="221" t="str">
        <f>VICE_Global!K12</f>
        <v>NM</v>
      </c>
      <c r="L95" s="221" t="str">
        <f>VICE_Global!L12</f>
        <v>NM</v>
      </c>
      <c r="M95" s="221" t="str">
        <f>VICE_Global!M12</f>
        <v>NM</v>
      </c>
      <c r="N95" s="222" t="str">
        <f>VICE_Global!N12</f>
        <v>NM</v>
      </c>
    </row>
    <row r="96" spans="2:14">
      <c r="B96" s="186" t="s">
        <v>150</v>
      </c>
      <c r="C96" s="334">
        <f>Motherboard_Global!C12</f>
        <v>0.30500539676656624</v>
      </c>
      <c r="D96" s="223">
        <f>Motherboard_Global!D12</f>
        <v>0.30531027578937497</v>
      </c>
      <c r="E96" s="223">
        <f>Motherboard_Global!E12</f>
        <v>0.2962873553754064</v>
      </c>
      <c r="F96" s="223">
        <f>Motherboard_Global!F12</f>
        <v>0.31543754741922109</v>
      </c>
      <c r="G96" s="223">
        <f>Motherboard_Global!G12</f>
        <v>0.32865554484845827</v>
      </c>
      <c r="H96" s="223" t="str">
        <f>Motherboard_Global!H12</f>
        <v>NM</v>
      </c>
      <c r="I96" s="223" t="str">
        <f>Motherboard_Global!I12</f>
        <v>NM</v>
      </c>
      <c r="J96" s="223" t="str">
        <f>Motherboard_Global!J12</f>
        <v>NM</v>
      </c>
      <c r="K96" s="223" t="str">
        <f>Motherboard_Global!K12</f>
        <v>NM</v>
      </c>
      <c r="L96" s="223" t="str">
        <f>Motherboard_Global!L12</f>
        <v>NM</v>
      </c>
      <c r="M96" s="223" t="str">
        <f>Motherboard_Global!M12</f>
        <v>NM</v>
      </c>
      <c r="N96" s="224" t="str">
        <f>Motherboard_Global!N12</f>
        <v>NM</v>
      </c>
    </row>
    <row r="97" spans="2:14">
      <c r="B97" s="186" t="s">
        <v>127</v>
      </c>
      <c r="C97" s="334">
        <f>Noisey_Global!C12</f>
        <v>0.33480374332574209</v>
      </c>
      <c r="D97" s="223">
        <f>Noisey_Global!D12</f>
        <v>0.36527847778822492</v>
      </c>
      <c r="E97" s="223">
        <f>Noisey_Global!E12</f>
        <v>0.37552469670434013</v>
      </c>
      <c r="F97" s="223">
        <f>Noisey_Global!F12</f>
        <v>0.43244198469746481</v>
      </c>
      <c r="G97" s="223">
        <f>Noisey_Global!G12</f>
        <v>0.4011488853189224</v>
      </c>
      <c r="H97" s="223" t="str">
        <f>Noisey_Global!H12</f>
        <v>NM</v>
      </c>
      <c r="I97" s="223" t="str">
        <f>Noisey_Global!I12</f>
        <v>NM</v>
      </c>
      <c r="J97" s="223" t="str">
        <f>Noisey_Global!J12</f>
        <v>NM</v>
      </c>
      <c r="K97" s="223" t="str">
        <f>Noisey_Global!K12</f>
        <v>NM</v>
      </c>
      <c r="L97" s="223" t="str">
        <f>Noisey_Global!L12</f>
        <v>NM</v>
      </c>
      <c r="M97" s="223" t="str">
        <f>Noisey_Global!M12</f>
        <v>NM</v>
      </c>
      <c r="N97" s="224" t="str">
        <f>Noisey_Global!N12</f>
        <v>NM</v>
      </c>
    </row>
    <row r="98" spans="2:14">
      <c r="B98" s="186" t="s">
        <v>180</v>
      </c>
      <c r="C98" s="335" t="str">
        <f>News_Global!C12</f>
        <v>NM</v>
      </c>
      <c r="D98" s="330" t="str">
        <f>News_Global!D12</f>
        <v>NM</v>
      </c>
      <c r="E98" s="330">
        <f>News_Global!E12</f>
        <v>0.35799006767876201</v>
      </c>
      <c r="F98" s="330">
        <f>News_Global!F12</f>
        <v>0.43702084804779195</v>
      </c>
      <c r="G98" s="330">
        <f>News_Global!G12</f>
        <v>0.41748170085565706</v>
      </c>
      <c r="H98" s="330" t="str">
        <f>News_Global!H12</f>
        <v>NM</v>
      </c>
      <c r="I98" s="330" t="str">
        <f>News_Global!I12</f>
        <v>NM</v>
      </c>
      <c r="J98" s="330" t="str">
        <f>News_Global!J12</f>
        <v>NM</v>
      </c>
      <c r="K98" s="330" t="str">
        <f>News_Global!K12</f>
        <v>NM</v>
      </c>
      <c r="L98" s="330" t="str">
        <f>News_Global!L12</f>
        <v>NM</v>
      </c>
      <c r="M98" s="330" t="str">
        <f>News_Global!M12</f>
        <v>NM</v>
      </c>
      <c r="N98" s="336" t="str">
        <f>News_Global!N12</f>
        <v>NM</v>
      </c>
    </row>
    <row r="99" spans="2:14">
      <c r="B99" s="186" t="s">
        <v>188</v>
      </c>
      <c r="C99" s="330" t="str">
        <f>Munchies_Global!C12</f>
        <v>NM</v>
      </c>
      <c r="D99" s="330" t="str">
        <f>Munchies_Global!D12</f>
        <v>NM</v>
      </c>
      <c r="E99" s="330" t="str">
        <f>Munchies_Global!E12</f>
        <v>NM</v>
      </c>
      <c r="F99" s="330">
        <f>Munchies_Global!F12</f>
        <v>0.41828153928189366</v>
      </c>
      <c r="G99" s="330">
        <f>Munchies_Global!G12</f>
        <v>0.37702186007353883</v>
      </c>
      <c r="H99" s="330" t="str">
        <f>Munchies_Global!H12</f>
        <v>NM</v>
      </c>
      <c r="I99" s="330" t="str">
        <f>Munchies_Global!I12</f>
        <v>NM</v>
      </c>
      <c r="J99" s="330" t="str">
        <f>Munchies_Global!J12</f>
        <v>NM</v>
      </c>
      <c r="K99" s="330" t="str">
        <f>Munchies_Global!K12</f>
        <v>NM</v>
      </c>
      <c r="L99" s="330" t="str">
        <f>Munchies_Global!L12</f>
        <v>NM</v>
      </c>
      <c r="M99" s="330" t="str">
        <f>Munchies_Global!M12</f>
        <v>NM</v>
      </c>
      <c r="N99" s="336" t="str">
        <f>Munchies_Global!N12</f>
        <v>NM</v>
      </c>
    </row>
    <row r="100" spans="2:14">
      <c r="B100" s="186" t="s">
        <v>152</v>
      </c>
      <c r="C100" s="334">
        <f>TCP_Global!C12</f>
        <v>0.19002552269973447</v>
      </c>
      <c r="D100" s="223">
        <f>TCP_Global!D12</f>
        <v>0.23101462592000119</v>
      </c>
      <c r="E100" s="223">
        <f>TCP_Global!E12</f>
        <v>0.2508405642866367</v>
      </c>
      <c r="F100" s="223">
        <f>TCP_Global!F12</f>
        <v>0.24366718308575594</v>
      </c>
      <c r="G100" s="223">
        <f>TCP_Global!G12</f>
        <v>0.27183412465157608</v>
      </c>
      <c r="H100" s="223" t="str">
        <f>TCP_Global!H12</f>
        <v>NM</v>
      </c>
      <c r="I100" s="223" t="str">
        <f>TCP_Global!I12</f>
        <v>NM</v>
      </c>
      <c r="J100" s="223" t="str">
        <f>TCP_Global!J12</f>
        <v>NM</v>
      </c>
      <c r="K100" s="223" t="str">
        <f>TCP_Global!K12</f>
        <v>NM</v>
      </c>
      <c r="L100" s="223" t="str">
        <f>TCP_Global!L12</f>
        <v>NM</v>
      </c>
      <c r="M100" s="223" t="str">
        <f>TCP_Global!M12</f>
        <v>NM</v>
      </c>
      <c r="N100" s="224" t="str">
        <f>TCP_Global!N12</f>
        <v>NM</v>
      </c>
    </row>
    <row r="101" spans="2:14">
      <c r="B101" s="186" t="s">
        <v>145</v>
      </c>
      <c r="C101" s="334">
        <f>Fightland_Global!C12</f>
        <v>0.21998334335816408</v>
      </c>
      <c r="D101" s="223">
        <f>Fightland_Global!D12</f>
        <v>0.27661994049784239</v>
      </c>
      <c r="E101" s="223">
        <f>Fightland_Global!E12</f>
        <v>0.38917080363255124</v>
      </c>
      <c r="F101" s="223">
        <f>Fightland_Global!F12</f>
        <v>0.30867170677059924</v>
      </c>
      <c r="G101" s="223">
        <f>Fightland_Global!G12</f>
        <v>0.33977661574567769</v>
      </c>
      <c r="H101" s="223" t="str">
        <f>Fightland_Global!H12</f>
        <v>NM</v>
      </c>
      <c r="I101" s="223" t="str">
        <f>Fightland_Global!I12</f>
        <v>NM</v>
      </c>
      <c r="J101" s="223" t="str">
        <f>Fightland_Global!J12</f>
        <v>NM</v>
      </c>
      <c r="K101" s="223" t="str">
        <f>Fightland_Global!K12</f>
        <v>NM</v>
      </c>
      <c r="L101" s="223" t="str">
        <f>Fightland_Global!L12</f>
        <v>NM</v>
      </c>
      <c r="M101" s="223" t="str">
        <f>Fightland_Global!M12</f>
        <v>NM</v>
      </c>
      <c r="N101" s="224" t="str">
        <f>Fightland_Global!N12</f>
        <v>NM</v>
      </c>
    </row>
    <row r="102" spans="2:14">
      <c r="B102" s="186" t="s">
        <v>146</v>
      </c>
      <c r="C102" s="334">
        <f>Thump_Global!C12</f>
        <v>0.31371431095193547</v>
      </c>
      <c r="D102" s="223">
        <f>Thump_Global!D12</f>
        <v>0.29065852601787923</v>
      </c>
      <c r="E102" s="223">
        <f>Thump_Global!E12</f>
        <v>0.33882013276624745</v>
      </c>
      <c r="F102" s="223">
        <f>Thump_Global!F12</f>
        <v>0.37770881947688373</v>
      </c>
      <c r="G102" s="223">
        <f>Thump_Global!G12</f>
        <v>0.40522151704496628</v>
      </c>
      <c r="H102" s="223" t="str">
        <f>Thump_Global!H12</f>
        <v>NM</v>
      </c>
      <c r="I102" s="223" t="str">
        <f>Thump_Global!I12</f>
        <v>NM</v>
      </c>
      <c r="J102" s="223" t="str">
        <f>Thump_Global!J12</f>
        <v>NM</v>
      </c>
      <c r="K102" s="223" t="str">
        <f>Thump_Global!K12</f>
        <v>NM</v>
      </c>
      <c r="L102" s="223" t="str">
        <f>Thump_Global!L12</f>
        <v>NM</v>
      </c>
      <c r="M102" s="223" t="str">
        <f>Thump_Global!M12</f>
        <v>NM</v>
      </c>
      <c r="N102" s="224" t="str">
        <f>Thump_Global!N12</f>
        <v>NM</v>
      </c>
    </row>
    <row r="103" spans="2:14">
      <c r="B103" s="189" t="s">
        <v>147</v>
      </c>
      <c r="C103" s="337">
        <f>iD_Global!C12</f>
        <v>0.30353041416611098</v>
      </c>
      <c r="D103" s="225">
        <f>iD_Global!D12</f>
        <v>0.30192092439540064</v>
      </c>
      <c r="E103" s="225">
        <f>iD_Global!E12</f>
        <v>0.32786560152642708</v>
      </c>
      <c r="F103" s="225">
        <f>iD_Global!F12</f>
        <v>0.35780445891454615</v>
      </c>
      <c r="G103" s="225">
        <f>iD_Global!G12</f>
        <v>0.23871801015083044</v>
      </c>
      <c r="H103" s="225" t="str">
        <f>iD_Global!H12</f>
        <v>NM</v>
      </c>
      <c r="I103" s="225" t="str">
        <f>iD_Global!I12</f>
        <v>NM</v>
      </c>
      <c r="J103" s="225" t="str">
        <f>iD_Global!J12</f>
        <v>NM</v>
      </c>
      <c r="K103" s="225" t="str">
        <f>iD_Global!K12</f>
        <v>NM</v>
      </c>
      <c r="L103" s="225" t="str">
        <f>iD_Global!L12</f>
        <v>NM</v>
      </c>
      <c r="M103" s="225" t="str">
        <f>iD_Global!M12</f>
        <v>NM</v>
      </c>
      <c r="N103" s="226" t="str">
        <f>iD_Global!N12</f>
        <v>NM</v>
      </c>
    </row>
    <row r="105" spans="2:14">
      <c r="B105" s="80" t="s">
        <v>85</v>
      </c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</row>
    <row r="106" spans="2:14">
      <c r="B106" s="183" t="s">
        <v>149</v>
      </c>
      <c r="C106" s="221">
        <f>VICE_Global!C36</f>
        <v>0.124</v>
      </c>
      <c r="D106" s="221">
        <f>VICE_Global!D36</f>
        <v>0.1249</v>
      </c>
      <c r="E106" s="221">
        <f>VICE_Global!E36</f>
        <v>0.12620000000000001</v>
      </c>
      <c r="F106" s="221">
        <f>VICE_Global!F36</f>
        <v>0.13880000000000001</v>
      </c>
      <c r="G106" s="221">
        <f>VICE_Global!G36</f>
        <v>0.14399999999999999</v>
      </c>
      <c r="H106" s="221">
        <f>VICE_Global!H36</f>
        <v>0</v>
      </c>
      <c r="I106" s="221">
        <f>VICE_Global!I36</f>
        <v>0</v>
      </c>
      <c r="J106" s="221">
        <f>VICE_Global!J36</f>
        <v>0</v>
      </c>
      <c r="K106" s="221">
        <f>VICE_Global!K36</f>
        <v>0</v>
      </c>
      <c r="L106" s="221">
        <f>VICE_Global!L36</f>
        <v>0</v>
      </c>
      <c r="M106" s="221">
        <f>VICE_Global!M36</f>
        <v>0</v>
      </c>
      <c r="N106" s="222">
        <f>VICE_Global!N36</f>
        <v>0</v>
      </c>
    </row>
    <row r="107" spans="2:14">
      <c r="B107" s="186" t="s">
        <v>150</v>
      </c>
      <c r="C107" s="223">
        <f>Motherboard_Global!C36</f>
        <v>2.1000000000000001E-2</v>
      </c>
      <c r="D107" s="223">
        <f>Motherboard_Global!D36</f>
        <v>2.93E-2</v>
      </c>
      <c r="E107" s="223">
        <f>Motherboard_Global!E36</f>
        <v>3.0599999999999999E-2</v>
      </c>
      <c r="F107" s="223">
        <f>Motherboard_Global!F36</f>
        <v>3.6499999999999998E-2</v>
      </c>
      <c r="G107" s="223">
        <f>Motherboard_Global!G36</f>
        <v>0.04</v>
      </c>
      <c r="H107" s="223">
        <f>Motherboard_Global!H36</f>
        <v>0</v>
      </c>
      <c r="I107" s="223">
        <f>Motherboard_Global!I36</f>
        <v>0</v>
      </c>
      <c r="J107" s="223">
        <f>Motherboard_Global!J36</f>
        <v>0</v>
      </c>
      <c r="K107" s="223">
        <f>Motherboard_Global!K36</f>
        <v>0</v>
      </c>
      <c r="L107" s="223">
        <f>Motherboard_Global!L36</f>
        <v>0</v>
      </c>
      <c r="M107" s="223">
        <f>Motherboard_Global!M36</f>
        <v>0</v>
      </c>
      <c r="N107" s="224">
        <f>Motherboard_Global!N36</f>
        <v>0</v>
      </c>
    </row>
    <row r="108" spans="2:14">
      <c r="B108" s="186" t="s">
        <v>127</v>
      </c>
      <c r="C108" s="223">
        <f>Noisey_Global!C36</f>
        <v>4.5400000000000003E-2</v>
      </c>
      <c r="D108" s="223">
        <f>Noisey_Global!D36</f>
        <v>4.9700000000000001E-2</v>
      </c>
      <c r="E108" s="223">
        <f>Noisey_Global!E36</f>
        <v>0.05</v>
      </c>
      <c r="F108" s="223">
        <f>Noisey_Global!F36</f>
        <v>4.9200000000000001E-2</v>
      </c>
      <c r="G108" s="223">
        <f>Noisey_Global!G36</f>
        <v>5.8500000000000003E-2</v>
      </c>
      <c r="H108" s="223">
        <f>Noisey_Global!H36</f>
        <v>0</v>
      </c>
      <c r="I108" s="223">
        <f>Noisey_Global!I36</f>
        <v>0</v>
      </c>
      <c r="J108" s="223">
        <f>Noisey_Global!J36</f>
        <v>0</v>
      </c>
      <c r="K108" s="223">
        <f>Noisey_Global!K36</f>
        <v>0</v>
      </c>
      <c r="L108" s="223">
        <f>Noisey_Global!L36</f>
        <v>0</v>
      </c>
      <c r="M108" s="223">
        <f>Noisey_Global!M36</f>
        <v>0</v>
      </c>
      <c r="N108" s="224">
        <f>Noisey_Global!N36</f>
        <v>0</v>
      </c>
    </row>
    <row r="109" spans="2:14">
      <c r="B109" s="186" t="s">
        <v>180</v>
      </c>
      <c r="C109" s="330">
        <f>News_Global!C36</f>
        <v>0</v>
      </c>
      <c r="D109" s="330">
        <f>News_Global!D36</f>
        <v>0</v>
      </c>
      <c r="E109" s="330">
        <f>News_Global!E36</f>
        <v>3.1800000000000002E-2</v>
      </c>
      <c r="F109" s="330">
        <f>News_Global!F36</f>
        <v>0.04</v>
      </c>
      <c r="G109" s="330">
        <f>News_Global!G36</f>
        <v>6.5799999999999997E-2</v>
      </c>
      <c r="H109" s="330">
        <f>News_Global!H36</f>
        <v>0</v>
      </c>
      <c r="I109" s="330">
        <f>News_Global!I36</f>
        <v>0</v>
      </c>
      <c r="J109" s="330">
        <f>News_Global!J36</f>
        <v>0</v>
      </c>
      <c r="K109" s="330">
        <f>News_Global!K36</f>
        <v>0</v>
      </c>
      <c r="L109" s="330">
        <f>News_Global!L36</f>
        <v>0</v>
      </c>
      <c r="M109" s="330">
        <f>News_Global!M36</f>
        <v>0</v>
      </c>
      <c r="N109" s="336">
        <f>News_Global!N36</f>
        <v>0</v>
      </c>
    </row>
    <row r="110" spans="2:14">
      <c r="B110" s="186" t="s">
        <v>188</v>
      </c>
      <c r="C110" s="330">
        <f>Munchies_Global!C36</f>
        <v>0</v>
      </c>
      <c r="D110" s="330">
        <f>Munchies_Global!D36</f>
        <v>0</v>
      </c>
      <c r="E110" s="330">
        <f>Munchies_Global!E36</f>
        <v>0</v>
      </c>
      <c r="F110" s="330">
        <f>Munchies_Global!F36</f>
        <v>1.7100000000000001E-2</v>
      </c>
      <c r="G110" s="330">
        <f>Munchies_Global!G36</f>
        <v>3.5700000000000003E-2</v>
      </c>
      <c r="H110" s="330">
        <f>Munchies_Global!H36</f>
        <v>0</v>
      </c>
      <c r="I110" s="330">
        <f>Munchies_Global!I36</f>
        <v>0</v>
      </c>
      <c r="J110" s="330">
        <f>Munchies_Global!J36</f>
        <v>0</v>
      </c>
      <c r="K110" s="330">
        <f>Munchies_Global!K36</f>
        <v>0</v>
      </c>
      <c r="L110" s="330">
        <f>Munchies_Global!L36</f>
        <v>0</v>
      </c>
      <c r="M110" s="330">
        <f>Munchies_Global!M36</f>
        <v>0</v>
      </c>
      <c r="N110" s="336">
        <f>Munchies_Global!N36</f>
        <v>0</v>
      </c>
    </row>
    <row r="111" spans="2:14">
      <c r="B111" s="186" t="s">
        <v>152</v>
      </c>
      <c r="C111" s="223">
        <f>TCP_Global!C36</f>
        <v>3.9300000000000002E-2</v>
      </c>
      <c r="D111" s="223">
        <f>TCP_Global!D36</f>
        <v>3.0499999999999999E-2</v>
      </c>
      <c r="E111" s="223">
        <f>TCP_Global!E36</f>
        <v>0.03</v>
      </c>
      <c r="F111" s="223">
        <f>TCP_Global!F36</f>
        <v>3.0200000000000001E-2</v>
      </c>
      <c r="G111" s="223">
        <f>TCP_Global!G36</f>
        <v>3.2399999999999998E-2</v>
      </c>
      <c r="H111" s="223">
        <f>TCP_Global!H36</f>
        <v>0</v>
      </c>
      <c r="I111" s="223">
        <f>TCP_Global!I36</f>
        <v>0</v>
      </c>
      <c r="J111" s="223">
        <f>TCP_Global!J36</f>
        <v>0</v>
      </c>
      <c r="K111" s="223">
        <f>TCP_Global!K36</f>
        <v>0</v>
      </c>
      <c r="L111" s="223">
        <f>TCP_Global!L36</f>
        <v>0</v>
      </c>
      <c r="M111" s="223">
        <f>TCP_Global!M36</f>
        <v>0</v>
      </c>
      <c r="N111" s="224">
        <f>TCP_Global!N36</f>
        <v>0</v>
      </c>
    </row>
    <row r="112" spans="2:14">
      <c r="B112" s="186" t="s">
        <v>145</v>
      </c>
      <c r="C112" s="223">
        <f>Fightland_Global!C36</f>
        <v>7.6399999999999996E-2</v>
      </c>
      <c r="D112" s="223">
        <f>Fightland_Global!D36</f>
        <v>7.3400000000000007E-2</v>
      </c>
      <c r="E112" s="223">
        <f>Fightland_Global!E36</f>
        <v>6.88E-2</v>
      </c>
      <c r="F112" s="223">
        <f>Fightland_Global!F36</f>
        <v>8.09E-2</v>
      </c>
      <c r="G112" s="223">
        <f>Fightland_Global!G36</f>
        <v>0.1</v>
      </c>
      <c r="H112" s="223">
        <f>Fightland_Global!H36</f>
        <v>0</v>
      </c>
      <c r="I112" s="223">
        <f>Fightland_Global!I36</f>
        <v>0</v>
      </c>
      <c r="J112" s="223">
        <f>Fightland_Global!J36</f>
        <v>0</v>
      </c>
      <c r="K112" s="223">
        <f>Fightland_Global!K36</f>
        <v>0</v>
      </c>
      <c r="L112" s="223">
        <f>Fightland_Global!L36</f>
        <v>0</v>
      </c>
      <c r="M112" s="223">
        <f>Fightland_Global!M36</f>
        <v>0</v>
      </c>
      <c r="N112" s="224">
        <f>Fightland_Global!N36</f>
        <v>0</v>
      </c>
    </row>
    <row r="113" spans="2:14">
      <c r="B113" s="186" t="s">
        <v>146</v>
      </c>
      <c r="C113" s="223">
        <f>Thump_Global!C36</f>
        <v>1.6500000000000001E-2</v>
      </c>
      <c r="D113" s="223">
        <f>Thump_Global!D36</f>
        <v>1.6500000000000001E-2</v>
      </c>
      <c r="E113" s="223">
        <f>Thump_Global!E36</f>
        <v>1.9300000000000001E-2</v>
      </c>
      <c r="F113" s="223">
        <f>Thump_Global!F36</f>
        <v>2.0199999999999999E-2</v>
      </c>
      <c r="G113" s="223">
        <f>Thump_Global!G36</f>
        <v>0.02</v>
      </c>
      <c r="H113" s="223">
        <f>Thump_Global!H36</f>
        <v>0</v>
      </c>
      <c r="I113" s="223">
        <f>Thump_Global!I36</f>
        <v>0</v>
      </c>
      <c r="J113" s="223">
        <f>Thump_Global!J36</f>
        <v>0</v>
      </c>
      <c r="K113" s="223">
        <f>Thump_Global!K36</f>
        <v>0</v>
      </c>
      <c r="L113" s="223">
        <f>Thump_Global!L36</f>
        <v>0</v>
      </c>
      <c r="M113" s="223">
        <f>Thump_Global!M36</f>
        <v>0</v>
      </c>
      <c r="N113" s="224">
        <f>Thump_Global!N36</f>
        <v>0</v>
      </c>
    </row>
    <row r="114" spans="2:14">
      <c r="B114" s="189" t="s">
        <v>147</v>
      </c>
      <c r="C114" s="225">
        <f>iD_Global!C36</f>
        <v>3.4799999999999998E-2</v>
      </c>
      <c r="D114" s="225">
        <f>iD_Global!D36</f>
        <v>3.6400000000000002E-2</v>
      </c>
      <c r="E114" s="225">
        <f>iD_Global!E36</f>
        <v>0.03</v>
      </c>
      <c r="F114" s="225">
        <f>iD_Global!F36</f>
        <v>3.3099999999999997E-2</v>
      </c>
      <c r="G114" s="225">
        <f>iD_Global!G36</f>
        <v>0.05</v>
      </c>
      <c r="H114" s="225">
        <f>iD_Global!H36</f>
        <v>0</v>
      </c>
      <c r="I114" s="225">
        <f>iD_Global!I36</f>
        <v>0</v>
      </c>
      <c r="J114" s="225">
        <f>iD_Global!J36</f>
        <v>0</v>
      </c>
      <c r="K114" s="225">
        <f>iD_Global!K36</f>
        <v>0</v>
      </c>
      <c r="L114" s="225">
        <f>iD_Global!L36</f>
        <v>0</v>
      </c>
      <c r="M114" s="225">
        <f>iD_Global!M36</f>
        <v>0</v>
      </c>
      <c r="N114" s="226">
        <f>iD_Global!N36</f>
        <v>0</v>
      </c>
    </row>
    <row r="115" spans="2:14">
      <c r="G115" s="4">
        <f>AVERAGE(G106:G114)</f>
        <v>6.0711111111111125E-2</v>
      </c>
    </row>
    <row r="116" spans="2:14">
      <c r="B116" s="80" t="s">
        <v>86</v>
      </c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</row>
    <row r="117" spans="2:14">
      <c r="B117" s="183" t="s">
        <v>149</v>
      </c>
      <c r="C117" s="221">
        <f>VICE_Global!C37</f>
        <v>0.74869999999999992</v>
      </c>
      <c r="D117" s="221">
        <f>VICE_Global!D37</f>
        <v>0.75970000000000004</v>
      </c>
      <c r="E117" s="221">
        <f>VICE_Global!E37</f>
        <v>0.75880000000000003</v>
      </c>
      <c r="F117" s="221">
        <f>VICE_Global!F37</f>
        <v>0.75550000000000006</v>
      </c>
      <c r="G117" s="221">
        <f>VICE_Global!G37</f>
        <v>0.77049999999999996</v>
      </c>
      <c r="H117" s="221">
        <f>VICE_Global!H37</f>
        <v>0</v>
      </c>
      <c r="I117" s="221">
        <f>VICE_Global!I37</f>
        <v>0</v>
      </c>
      <c r="J117" s="221">
        <f>VICE_Global!J37</f>
        <v>0</v>
      </c>
      <c r="K117" s="221">
        <f>VICE_Global!K37</f>
        <v>0</v>
      </c>
      <c r="L117" s="221">
        <f>VICE_Global!L37</f>
        <v>0</v>
      </c>
      <c r="M117" s="221">
        <f>VICE_Global!M37</f>
        <v>0</v>
      </c>
      <c r="N117" s="222">
        <f>VICE_Global!N37</f>
        <v>0</v>
      </c>
    </row>
    <row r="118" spans="2:14">
      <c r="B118" s="186" t="s">
        <v>150</v>
      </c>
      <c r="C118" s="223">
        <f>Motherboard_Global!C37</f>
        <v>0.85570000000000002</v>
      </c>
      <c r="D118" s="223">
        <f>Motherboard_Global!D37</f>
        <v>0.80220000000000002</v>
      </c>
      <c r="E118" s="223">
        <f>Motherboard_Global!E37</f>
        <v>0.75619999999999998</v>
      </c>
      <c r="F118" s="223">
        <f>Motherboard_Global!F37</f>
        <v>0.77479999999999993</v>
      </c>
      <c r="G118" s="223">
        <f>Motherboard_Global!G37</f>
        <v>0.8569</v>
      </c>
      <c r="H118" s="223">
        <f>Motherboard_Global!H37</f>
        <v>1</v>
      </c>
      <c r="I118" s="223">
        <f>Motherboard_Global!I37</f>
        <v>1</v>
      </c>
      <c r="J118" s="223">
        <f>Motherboard_Global!J37</f>
        <v>1</v>
      </c>
      <c r="K118" s="223">
        <f>Motherboard_Global!K37</f>
        <v>1</v>
      </c>
      <c r="L118" s="223">
        <f>Motherboard_Global!L37</f>
        <v>1</v>
      </c>
      <c r="M118" s="223">
        <f>Motherboard_Global!M37</f>
        <v>1</v>
      </c>
      <c r="N118" s="224">
        <f>Motherboard_Global!N37</f>
        <v>1</v>
      </c>
    </row>
    <row r="119" spans="2:14">
      <c r="B119" s="186" t="s">
        <v>127</v>
      </c>
      <c r="C119" s="223">
        <f>Noisey_Global!C37</f>
        <v>0.86360000000000003</v>
      </c>
      <c r="D119" s="223">
        <f>Noisey_Global!D37</f>
        <v>0.86619999999999997</v>
      </c>
      <c r="E119" s="223">
        <f>Noisey_Global!E37</f>
        <v>0.86660000000000004</v>
      </c>
      <c r="F119" s="223">
        <f>Noisey_Global!F37</f>
        <v>0.86</v>
      </c>
      <c r="G119" s="223">
        <f>Noisey_Global!G37</f>
        <v>0.86070000000000002</v>
      </c>
      <c r="H119" s="223">
        <f>Noisey_Global!H37</f>
        <v>0</v>
      </c>
      <c r="I119" s="223">
        <f>Noisey_Global!I37</f>
        <v>0</v>
      </c>
      <c r="J119" s="223">
        <f>Noisey_Global!J37</f>
        <v>0</v>
      </c>
      <c r="K119" s="223">
        <f>Noisey_Global!K37</f>
        <v>0</v>
      </c>
      <c r="L119" s="223">
        <f>Noisey_Global!L37</f>
        <v>0</v>
      </c>
      <c r="M119" s="223">
        <f>Noisey_Global!M37</f>
        <v>0</v>
      </c>
      <c r="N119" s="224">
        <f>Noisey_Global!N37</f>
        <v>0</v>
      </c>
    </row>
    <row r="120" spans="2:14">
      <c r="B120" s="186" t="s">
        <v>180</v>
      </c>
      <c r="C120" s="330">
        <f>News_Global!C37</f>
        <v>0</v>
      </c>
      <c r="D120" s="330">
        <f>News_Global!D37</f>
        <v>0</v>
      </c>
      <c r="E120" s="330">
        <f>News_Global!E37</f>
        <v>0.75729999999999997</v>
      </c>
      <c r="F120" s="330">
        <f>News_Global!F37</f>
        <v>0.82240000000000002</v>
      </c>
      <c r="G120" s="330">
        <f>News_Global!G37</f>
        <v>0.81969999999999998</v>
      </c>
      <c r="H120" s="330">
        <f>News_Global!H37</f>
        <v>0</v>
      </c>
      <c r="I120" s="330">
        <f>News_Global!I37</f>
        <v>0</v>
      </c>
      <c r="J120" s="330">
        <f>News_Global!J37</f>
        <v>0</v>
      </c>
      <c r="K120" s="330">
        <f>News_Global!K37</f>
        <v>0</v>
      </c>
      <c r="L120" s="330">
        <f>News_Global!L37</f>
        <v>0</v>
      </c>
      <c r="M120" s="330">
        <f>News_Global!M37</f>
        <v>0</v>
      </c>
      <c r="N120" s="336">
        <f>News_Global!N37</f>
        <v>0</v>
      </c>
    </row>
    <row r="121" spans="2:14">
      <c r="B121" s="186" t="s">
        <v>188</v>
      </c>
      <c r="C121" s="330">
        <f>Munchies_Global!C37</f>
        <v>0</v>
      </c>
      <c r="D121" s="330">
        <f>Munchies_Global!D37</f>
        <v>0</v>
      </c>
      <c r="E121" s="330">
        <f>Munchies_Global!E37</f>
        <v>0</v>
      </c>
      <c r="F121" s="330">
        <f>Munchies_Global!F37</f>
        <v>0.7389</v>
      </c>
      <c r="G121" s="330">
        <f>Munchies_Global!G37</f>
        <v>0.73530000000000006</v>
      </c>
      <c r="H121" s="330">
        <f>Munchies_Global!H37</f>
        <v>0</v>
      </c>
      <c r="I121" s="330">
        <f>Munchies_Global!I37</f>
        <v>0</v>
      </c>
      <c r="J121" s="330">
        <f>Munchies_Global!J37</f>
        <v>0</v>
      </c>
      <c r="K121" s="330">
        <f>Munchies_Global!K37</f>
        <v>0</v>
      </c>
      <c r="L121" s="330">
        <f>Munchies_Global!L37</f>
        <v>0</v>
      </c>
      <c r="M121" s="330">
        <f>Munchies_Global!M37</f>
        <v>0</v>
      </c>
      <c r="N121" s="336">
        <f>Munchies_Global!N37</f>
        <v>0</v>
      </c>
    </row>
    <row r="122" spans="2:14">
      <c r="B122" s="186" t="s">
        <v>152</v>
      </c>
      <c r="C122" s="223">
        <f>TCP_Global!C37</f>
        <v>0.8458</v>
      </c>
      <c r="D122" s="223">
        <f>TCP_Global!D37</f>
        <v>0.86009999999999998</v>
      </c>
      <c r="E122" s="223">
        <f>TCP_Global!E37</f>
        <v>0.86099999999999999</v>
      </c>
      <c r="F122" s="223">
        <f>TCP_Global!F37</f>
        <v>0.86180000000000001</v>
      </c>
      <c r="G122" s="223">
        <f>TCP_Global!G37</f>
        <v>0.88480000000000003</v>
      </c>
      <c r="H122" s="223">
        <f>TCP_Global!H37</f>
        <v>0</v>
      </c>
      <c r="I122" s="223">
        <f>TCP_Global!I37</f>
        <v>0</v>
      </c>
      <c r="J122" s="223">
        <f>TCP_Global!J37</f>
        <v>0</v>
      </c>
      <c r="K122" s="223">
        <f>TCP_Global!K37</f>
        <v>0</v>
      </c>
      <c r="L122" s="223">
        <f>TCP_Global!L37</f>
        <v>0</v>
      </c>
      <c r="M122" s="223">
        <f>TCP_Global!M37</f>
        <v>0</v>
      </c>
      <c r="N122" s="224">
        <f>TCP_Global!N37</f>
        <v>0</v>
      </c>
    </row>
    <row r="123" spans="2:14">
      <c r="B123" s="186" t="s">
        <v>145</v>
      </c>
      <c r="C123" s="223">
        <f>Fightland_Global!C37</f>
        <v>0.78939999999999999</v>
      </c>
      <c r="D123" s="223">
        <f>Fightland_Global!D37</f>
        <v>0.80190000000000006</v>
      </c>
      <c r="E123" s="223">
        <f>Fightland_Global!E37</f>
        <v>0.78110000000000002</v>
      </c>
      <c r="F123" s="223">
        <f>Fightland_Global!F37</f>
        <v>0.64129999999999998</v>
      </c>
      <c r="G123" s="223">
        <f>Fightland_Global!G37</f>
        <v>0.63680000000000003</v>
      </c>
      <c r="H123" s="223">
        <f>Fightland_Global!H37</f>
        <v>0</v>
      </c>
      <c r="I123" s="223">
        <f>Fightland_Global!I37</f>
        <v>0</v>
      </c>
      <c r="J123" s="223">
        <f>Fightland_Global!J37</f>
        <v>0</v>
      </c>
      <c r="K123" s="223">
        <f>Fightland_Global!K37</f>
        <v>0</v>
      </c>
      <c r="L123" s="223">
        <f>Fightland_Global!L37</f>
        <v>0</v>
      </c>
      <c r="M123" s="223">
        <f>Fightland_Global!M37</f>
        <v>0</v>
      </c>
      <c r="N123" s="224">
        <f>Fightland_Global!N37</f>
        <v>0</v>
      </c>
    </row>
    <row r="124" spans="2:14">
      <c r="B124" s="186" t="s">
        <v>146</v>
      </c>
      <c r="C124" s="223">
        <f>Thump_Global!C37</f>
        <v>0.87829999999999997</v>
      </c>
      <c r="D124" s="223">
        <f>Thump_Global!D37</f>
        <v>0.8891</v>
      </c>
      <c r="E124" s="223">
        <f>Thump_Global!E37</f>
        <v>0.9</v>
      </c>
      <c r="F124" s="223">
        <f>Thump_Global!F37</f>
        <v>0.90720000000000001</v>
      </c>
      <c r="G124" s="223">
        <f>Thump_Global!G37</f>
        <v>0.89680000000000004</v>
      </c>
      <c r="H124" s="223">
        <f>Thump_Global!H37</f>
        <v>0</v>
      </c>
      <c r="I124" s="223">
        <f>Thump_Global!I37</f>
        <v>0</v>
      </c>
      <c r="J124" s="223">
        <f>Thump_Global!J37</f>
        <v>0</v>
      </c>
      <c r="K124" s="223">
        <f>Thump_Global!K37</f>
        <v>0</v>
      </c>
      <c r="L124" s="223">
        <f>Thump_Global!L37</f>
        <v>0</v>
      </c>
      <c r="M124" s="223">
        <f>Thump_Global!M37</f>
        <v>0</v>
      </c>
      <c r="N124" s="224">
        <f>Thump_Global!N37</f>
        <v>0</v>
      </c>
    </row>
    <row r="125" spans="2:14">
      <c r="B125" s="189" t="s">
        <v>147</v>
      </c>
      <c r="C125" s="225">
        <f>iD_Global!C37</f>
        <v>0.80530000000000002</v>
      </c>
      <c r="D125" s="225">
        <f>iD_Global!D37</f>
        <v>0.84060000000000001</v>
      </c>
      <c r="E125" s="225">
        <f>iD_Global!E37</f>
        <v>0.84929999999999994</v>
      </c>
      <c r="F125" s="225">
        <f>iD_Global!F37</f>
        <v>0.85640000000000005</v>
      </c>
      <c r="G125" s="225">
        <f>iD_Global!G37</f>
        <v>0.83140000000000003</v>
      </c>
      <c r="H125" s="225">
        <f>iD_Global!H37</f>
        <v>0</v>
      </c>
      <c r="I125" s="225">
        <f>iD_Global!I37</f>
        <v>0</v>
      </c>
      <c r="J125" s="225">
        <f>iD_Global!J37</f>
        <v>0</v>
      </c>
      <c r="K125" s="225">
        <f>iD_Global!K37</f>
        <v>0</v>
      </c>
      <c r="L125" s="225">
        <f>iD_Global!L37</f>
        <v>0</v>
      </c>
      <c r="M125" s="225">
        <f>iD_Global!M37</f>
        <v>0</v>
      </c>
      <c r="N125" s="226">
        <f>iD_Global!N37</f>
        <v>0</v>
      </c>
    </row>
    <row r="126" spans="2:14">
      <c r="G126" s="4">
        <f>AVERAGE(G117:G125)</f>
        <v>0.81032222222222239</v>
      </c>
    </row>
    <row r="127" spans="2:14">
      <c r="B127" s="80" t="s">
        <v>87</v>
      </c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</row>
    <row r="128" spans="2:14">
      <c r="B128" s="183" t="s">
        <v>149</v>
      </c>
      <c r="C128" s="221">
        <f>VICE_Global!C44</f>
        <v>0.44469999999999998</v>
      </c>
      <c r="D128" s="221">
        <f>VICE_Global!D44</f>
        <v>0.433</v>
      </c>
      <c r="E128" s="221">
        <f>VICE_Global!E44</f>
        <v>0.4889</v>
      </c>
      <c r="F128" s="221">
        <f>VICE_Global!F44</f>
        <v>0.51500000000000001</v>
      </c>
      <c r="G128" s="221">
        <f>VICE_Global!G44</f>
        <v>0.53390000000000004</v>
      </c>
      <c r="H128" s="221">
        <f>VICE_Global!H44</f>
        <v>0</v>
      </c>
      <c r="I128" s="221">
        <f>VICE_Global!I44</f>
        <v>0</v>
      </c>
      <c r="J128" s="221">
        <f>VICE_Global!J44</f>
        <v>0</v>
      </c>
      <c r="K128" s="221">
        <f>VICE_Global!K44</f>
        <v>0</v>
      </c>
      <c r="L128" s="221">
        <f>VICE_Global!L44</f>
        <v>0</v>
      </c>
      <c r="M128" s="221">
        <f>VICE_Global!M44</f>
        <v>0</v>
      </c>
      <c r="N128" s="222">
        <f>VICE_Global!N44</f>
        <v>0</v>
      </c>
    </row>
    <row r="129" spans="2:14">
      <c r="B129" s="186" t="s">
        <v>150</v>
      </c>
      <c r="C129" s="223">
        <f>Motherboard_Global!C44</f>
        <v>0.24929999999999999</v>
      </c>
      <c r="D129" s="223">
        <f>Motherboard_Global!D44</f>
        <v>0.2044</v>
      </c>
      <c r="E129" s="223">
        <f>Motherboard_Global!E44</f>
        <v>0.19500000000000001</v>
      </c>
      <c r="F129" s="223">
        <f>Motherboard_Global!F44</f>
        <v>0.26</v>
      </c>
      <c r="G129" s="223">
        <f>Motherboard_Global!G44</f>
        <v>0.35</v>
      </c>
      <c r="H129" s="223">
        <f>Motherboard_Global!H44</f>
        <v>0</v>
      </c>
      <c r="I129" s="223">
        <f>Motherboard_Global!I44</f>
        <v>0</v>
      </c>
      <c r="J129" s="223">
        <f>Motherboard_Global!J44</f>
        <v>0</v>
      </c>
      <c r="K129" s="223">
        <f>Motherboard_Global!K44</f>
        <v>0</v>
      </c>
      <c r="L129" s="223">
        <f>Motherboard_Global!L44</f>
        <v>0</v>
      </c>
      <c r="M129" s="223">
        <f>Motherboard_Global!M44</f>
        <v>0</v>
      </c>
      <c r="N129" s="224">
        <f>Motherboard_Global!N44</f>
        <v>0</v>
      </c>
    </row>
    <row r="130" spans="2:14">
      <c r="B130" s="186" t="s">
        <v>127</v>
      </c>
      <c r="C130" s="223">
        <f>Noisey_Global!C44</f>
        <v>0.45340000000000003</v>
      </c>
      <c r="D130" s="223">
        <f>Noisey_Global!D44</f>
        <v>0.46710000000000002</v>
      </c>
      <c r="E130" s="223">
        <f>Noisey_Global!E44</f>
        <v>0.45</v>
      </c>
      <c r="F130" s="223">
        <f>Noisey_Global!F44</f>
        <v>0.53639999999999999</v>
      </c>
      <c r="G130" s="223">
        <f>Noisey_Global!G44</f>
        <v>0.54</v>
      </c>
      <c r="H130" s="223">
        <f>Noisey_Global!H44</f>
        <v>0</v>
      </c>
      <c r="I130" s="223">
        <f>Noisey_Global!I44</f>
        <v>0</v>
      </c>
      <c r="J130" s="223">
        <f>Noisey_Global!J44</f>
        <v>0</v>
      </c>
      <c r="K130" s="223">
        <f>Noisey_Global!K44</f>
        <v>0</v>
      </c>
      <c r="L130" s="223">
        <f>Noisey_Global!L44</f>
        <v>0</v>
      </c>
      <c r="M130" s="223">
        <f>Noisey_Global!M44</f>
        <v>0</v>
      </c>
      <c r="N130" s="224">
        <f>Noisey_Global!N44</f>
        <v>0</v>
      </c>
    </row>
    <row r="131" spans="2:14">
      <c r="B131" s="186" t="s">
        <v>180</v>
      </c>
      <c r="C131" s="330">
        <f>News_Global!C44</f>
        <v>0</v>
      </c>
      <c r="D131" s="330">
        <f>News_Global!D44</f>
        <v>0</v>
      </c>
      <c r="E131" s="330">
        <f>News_Global!E44</f>
        <v>0.52</v>
      </c>
      <c r="F131" s="330">
        <f>News_Global!F44</f>
        <v>0.6</v>
      </c>
      <c r="G131" s="330">
        <f>News_Global!G44</f>
        <v>0.66</v>
      </c>
      <c r="H131" s="330">
        <f>News_Global!H44</f>
        <v>0</v>
      </c>
      <c r="I131" s="330">
        <f>News_Global!I44</f>
        <v>0</v>
      </c>
      <c r="J131" s="330">
        <f>News_Global!J44</f>
        <v>0</v>
      </c>
      <c r="K131" s="330">
        <f>News_Global!K44</f>
        <v>0</v>
      </c>
      <c r="L131" s="330">
        <f>News_Global!L44</f>
        <v>0</v>
      </c>
      <c r="M131" s="330">
        <f>News_Global!M44</f>
        <v>0</v>
      </c>
      <c r="N131" s="336">
        <f>News_Global!N44</f>
        <v>0</v>
      </c>
    </row>
    <row r="132" spans="2:14">
      <c r="B132" s="186" t="s">
        <v>188</v>
      </c>
      <c r="C132" s="330">
        <f>Munchies_Global!C44</f>
        <v>0</v>
      </c>
      <c r="D132" s="330">
        <f>Munchies_Global!D44</f>
        <v>0</v>
      </c>
      <c r="E132" s="330">
        <f>Munchies_Global!E44</f>
        <v>0</v>
      </c>
      <c r="F132" s="330">
        <f>Munchies_Global!F44</f>
        <v>0.5</v>
      </c>
      <c r="G132" s="330">
        <f>Munchies_Global!G44</f>
        <v>0.47</v>
      </c>
      <c r="H132" s="330">
        <f>Munchies_Global!H44</f>
        <v>0</v>
      </c>
      <c r="I132" s="330">
        <f>Munchies_Global!I44</f>
        <v>0</v>
      </c>
      <c r="J132" s="330">
        <f>Munchies_Global!J44</f>
        <v>0</v>
      </c>
      <c r="K132" s="330">
        <f>Munchies_Global!K44</f>
        <v>0</v>
      </c>
      <c r="L132" s="330">
        <f>Munchies_Global!L44</f>
        <v>0</v>
      </c>
      <c r="M132" s="330">
        <f>Munchies_Global!M44</f>
        <v>0</v>
      </c>
      <c r="N132" s="336">
        <f>Munchies_Global!N44</f>
        <v>0</v>
      </c>
    </row>
    <row r="133" spans="2:14">
      <c r="B133" s="186" t="s">
        <v>152</v>
      </c>
      <c r="C133" s="223">
        <f>TCP_Global!C44</f>
        <v>0.2908</v>
      </c>
      <c r="D133" s="223">
        <f>TCP_Global!D44</f>
        <v>0.37</v>
      </c>
      <c r="E133" s="223">
        <f>TCP_Global!E44</f>
        <v>0.36</v>
      </c>
      <c r="F133" s="223">
        <f>TCP_Global!F44</f>
        <v>0.41499999999999998</v>
      </c>
      <c r="G133" s="223">
        <f>TCP_Global!G44</f>
        <v>0.45</v>
      </c>
      <c r="H133" s="223">
        <f>TCP_Global!H44</f>
        <v>0</v>
      </c>
      <c r="I133" s="223">
        <f>TCP_Global!I44</f>
        <v>0</v>
      </c>
      <c r="J133" s="223">
        <f>TCP_Global!J44</f>
        <v>0</v>
      </c>
      <c r="K133" s="223">
        <f>TCP_Global!K44</f>
        <v>0</v>
      </c>
      <c r="L133" s="223">
        <f>TCP_Global!L44</f>
        <v>0</v>
      </c>
      <c r="M133" s="223">
        <f>TCP_Global!M44</f>
        <v>0</v>
      </c>
      <c r="N133" s="224">
        <f>TCP_Global!N44</f>
        <v>0</v>
      </c>
    </row>
    <row r="134" spans="2:14">
      <c r="B134" s="186" t="s">
        <v>145</v>
      </c>
      <c r="C134" s="223">
        <f>Fightland_Global!C44</f>
        <v>0.19769999999999999</v>
      </c>
      <c r="D134" s="223">
        <f>Fightland_Global!D44</f>
        <v>0.2472</v>
      </c>
      <c r="E134" s="223">
        <f>Fightland_Global!E44</f>
        <v>0.46</v>
      </c>
      <c r="F134" s="223">
        <f>Fightland_Global!F44</f>
        <v>0.375</v>
      </c>
      <c r="G134" s="223">
        <f>Fightland_Global!G44</f>
        <v>0.46</v>
      </c>
      <c r="H134" s="223">
        <f>Fightland_Global!H44</f>
        <v>0</v>
      </c>
      <c r="I134" s="223">
        <f>Fightland_Global!I44</f>
        <v>0</v>
      </c>
      <c r="J134" s="223">
        <f>Fightland_Global!J44</f>
        <v>0</v>
      </c>
      <c r="K134" s="223">
        <f>Fightland_Global!K44</f>
        <v>0</v>
      </c>
      <c r="L134" s="223">
        <f>Fightland_Global!L44</f>
        <v>0</v>
      </c>
      <c r="M134" s="223">
        <f>Fightland_Global!M44</f>
        <v>0</v>
      </c>
      <c r="N134" s="224">
        <f>Fightland_Global!N44</f>
        <v>0</v>
      </c>
    </row>
    <row r="135" spans="2:14">
      <c r="B135" s="186" t="s">
        <v>146</v>
      </c>
      <c r="C135" s="223">
        <f>Thump_Global!C44</f>
        <v>0.52210000000000001</v>
      </c>
      <c r="D135" s="223">
        <f>Thump_Global!D44</f>
        <v>0.45550000000000002</v>
      </c>
      <c r="E135" s="223">
        <f>Thump_Global!E44</f>
        <v>0.5</v>
      </c>
      <c r="F135" s="223">
        <f>Thump_Global!F44</f>
        <v>0.45</v>
      </c>
      <c r="G135" s="223">
        <f>Thump_Global!G44</f>
        <v>0.52</v>
      </c>
      <c r="H135" s="223">
        <f>Thump_Global!H44</f>
        <v>0</v>
      </c>
      <c r="I135" s="223">
        <f>Thump_Global!I44</f>
        <v>0</v>
      </c>
      <c r="J135" s="223">
        <f>Thump_Global!J44</f>
        <v>0</v>
      </c>
      <c r="K135" s="223">
        <f>Thump_Global!K44</f>
        <v>0</v>
      </c>
      <c r="L135" s="223">
        <f>Thump_Global!L44</f>
        <v>0</v>
      </c>
      <c r="M135" s="223">
        <f>Thump_Global!M44</f>
        <v>0</v>
      </c>
      <c r="N135" s="224">
        <f>Thump_Global!N44</f>
        <v>0</v>
      </c>
    </row>
    <row r="136" spans="2:14">
      <c r="B136" s="189" t="s">
        <v>147</v>
      </c>
      <c r="C136" s="225">
        <f>iD_Global!C44</f>
        <v>0.61</v>
      </c>
      <c r="D136" s="225">
        <f>iD_Global!D44</f>
        <v>0.52370000000000005</v>
      </c>
      <c r="E136" s="225">
        <f>iD_Global!E44</f>
        <v>0.6</v>
      </c>
      <c r="F136" s="225">
        <f>iD_Global!F44</f>
        <v>0.65500000000000003</v>
      </c>
      <c r="G136" s="225">
        <f>iD_Global!G44</f>
        <v>0.67</v>
      </c>
      <c r="H136" s="225">
        <f>iD_Global!H44</f>
        <v>0</v>
      </c>
      <c r="I136" s="225">
        <f>iD_Global!I44</f>
        <v>0</v>
      </c>
      <c r="J136" s="225">
        <f>iD_Global!J44</f>
        <v>0</v>
      </c>
      <c r="K136" s="225">
        <f>iD_Global!K44</f>
        <v>0</v>
      </c>
      <c r="L136" s="225">
        <f>iD_Global!L44</f>
        <v>0</v>
      </c>
      <c r="M136" s="225">
        <f>iD_Global!M44</f>
        <v>0</v>
      </c>
      <c r="N136" s="226">
        <f>iD_Global!N44</f>
        <v>0</v>
      </c>
    </row>
    <row r="137" spans="2:14">
      <c r="G137" s="4">
        <f>AVERAGE(G128:G136)</f>
        <v>0.51710000000000012</v>
      </c>
    </row>
    <row r="138" spans="2:14">
      <c r="B138" s="80" t="s">
        <v>88</v>
      </c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</row>
    <row r="139" spans="2:14">
      <c r="B139" s="183" t="s">
        <v>149</v>
      </c>
      <c r="C139" s="221">
        <f>VICE_Global!C41</f>
        <v>0.20050000000000001</v>
      </c>
      <c r="D139" s="221">
        <f>VICE_Global!D41</f>
        <v>0.19239999999999999</v>
      </c>
      <c r="E139" s="221">
        <f>VICE_Global!E41</f>
        <v>0.20200000000000001</v>
      </c>
      <c r="F139" s="221">
        <f>VICE_Global!F41</f>
        <v>0.19070000000000001</v>
      </c>
      <c r="G139" s="221">
        <f>VICE_Global!G41</f>
        <v>0.19750000000000001</v>
      </c>
      <c r="H139" s="221">
        <f>VICE_Global!H41</f>
        <v>0</v>
      </c>
      <c r="I139" s="221">
        <f>VICE_Global!I41</f>
        <v>0</v>
      </c>
      <c r="J139" s="221">
        <f>VICE_Global!J41</f>
        <v>0</v>
      </c>
      <c r="K139" s="221">
        <f>VICE_Global!K41</f>
        <v>0</v>
      </c>
      <c r="L139" s="221">
        <f>VICE_Global!L41</f>
        <v>0</v>
      </c>
      <c r="M139" s="221">
        <f>VICE_Global!M41</f>
        <v>0</v>
      </c>
      <c r="N139" s="221">
        <f>VICE_Global!N41</f>
        <v>0</v>
      </c>
    </row>
    <row r="140" spans="2:14">
      <c r="B140" s="186" t="s">
        <v>150</v>
      </c>
      <c r="C140" s="223">
        <f>Motherboard_Global!C41</f>
        <v>0.22320000000000001</v>
      </c>
      <c r="D140" s="223">
        <f>Motherboard_Global!D41</f>
        <v>0.21160000000000001</v>
      </c>
      <c r="E140" s="223">
        <f>Motherboard_Global!E41</f>
        <v>0.20569999999999999</v>
      </c>
      <c r="F140" s="223">
        <f>Motherboard_Global!F41</f>
        <v>0.1885</v>
      </c>
      <c r="G140" s="223">
        <f>Motherboard_Global!G41</f>
        <v>0.1852</v>
      </c>
      <c r="H140" s="223">
        <f>Motherboard_Global!H41</f>
        <v>0</v>
      </c>
      <c r="I140" s="223">
        <f>Motherboard_Global!I41</f>
        <v>0</v>
      </c>
      <c r="J140" s="223">
        <f>Motherboard_Global!J41</f>
        <v>0</v>
      </c>
      <c r="K140" s="223">
        <f>Motherboard_Global!K41</f>
        <v>0</v>
      </c>
      <c r="L140" s="223">
        <f>Motherboard_Global!L41</f>
        <v>0</v>
      </c>
      <c r="M140" s="223">
        <f>Motherboard_Global!M41</f>
        <v>0</v>
      </c>
      <c r="N140" s="223">
        <f>Motherboard_Global!N41</f>
        <v>0</v>
      </c>
    </row>
    <row r="141" spans="2:14">
      <c r="B141" s="186" t="s">
        <v>127</v>
      </c>
      <c r="C141" s="223">
        <f>Noisey_Global!C41</f>
        <v>0.20710000000000001</v>
      </c>
      <c r="D141" s="223">
        <f>Noisey_Global!D41</f>
        <v>0.20899999999999999</v>
      </c>
      <c r="E141" s="223">
        <f>Noisey_Global!E41</f>
        <v>0.2142</v>
      </c>
      <c r="F141" s="223">
        <f>Noisey_Global!F41</f>
        <v>0.20630000000000001</v>
      </c>
      <c r="G141" s="223">
        <f>Noisey_Global!G41</f>
        <v>0.1741</v>
      </c>
      <c r="H141" s="223">
        <f>Noisey_Global!H41</f>
        <v>0</v>
      </c>
      <c r="I141" s="223">
        <f>Noisey_Global!I41</f>
        <v>0</v>
      </c>
      <c r="J141" s="223">
        <f>Noisey_Global!J41</f>
        <v>0</v>
      </c>
      <c r="K141" s="223">
        <f>Noisey_Global!K41</f>
        <v>0</v>
      </c>
      <c r="L141" s="223">
        <f>Noisey_Global!L41</f>
        <v>0</v>
      </c>
      <c r="M141" s="223">
        <f>Noisey_Global!M41</f>
        <v>0</v>
      </c>
      <c r="N141" s="223">
        <f>Noisey_Global!N41</f>
        <v>0</v>
      </c>
    </row>
    <row r="142" spans="2:14">
      <c r="B142" s="186" t="s">
        <v>180</v>
      </c>
      <c r="C142" s="330">
        <f>News_Global!C41</f>
        <v>0</v>
      </c>
      <c r="D142" s="330">
        <f>News_Global!D41</f>
        <v>0</v>
      </c>
      <c r="E142" s="330">
        <f>News_Global!E41</f>
        <v>0.28499999999999998</v>
      </c>
      <c r="F142" s="330">
        <f>News_Global!F41</f>
        <v>0.15679999999999999</v>
      </c>
      <c r="G142" s="330">
        <f>News_Global!G41</f>
        <v>0.1148</v>
      </c>
      <c r="H142" s="330">
        <f>News_Global!H41</f>
        <v>0</v>
      </c>
      <c r="I142" s="330">
        <f>News_Global!I41</f>
        <v>0</v>
      </c>
      <c r="J142" s="330">
        <f>News_Global!J41</f>
        <v>0</v>
      </c>
      <c r="K142" s="330">
        <f>News_Global!K41</f>
        <v>0</v>
      </c>
      <c r="L142" s="330">
        <f>News_Global!L41</f>
        <v>0</v>
      </c>
      <c r="M142" s="330">
        <f>News_Global!M41</f>
        <v>0</v>
      </c>
      <c r="N142" s="330">
        <f>News_Global!N41</f>
        <v>0</v>
      </c>
    </row>
    <row r="143" spans="2:14">
      <c r="B143" s="186" t="s">
        <v>188</v>
      </c>
      <c r="C143" s="330">
        <f>Munchies_Global!C41</f>
        <v>0</v>
      </c>
      <c r="D143" s="330">
        <f>Munchies_Global!D41</f>
        <v>0</v>
      </c>
      <c r="E143" s="330">
        <f>Munchies_Global!E41</f>
        <v>0</v>
      </c>
      <c r="F143" s="330">
        <f>Munchies_Global!F41</f>
        <v>0.27860000000000001</v>
      </c>
      <c r="G143" s="330">
        <f>Munchies_Global!G41</f>
        <v>0.1454</v>
      </c>
      <c r="H143" s="330">
        <f>Munchies_Global!H41</f>
        <v>0</v>
      </c>
      <c r="I143" s="330">
        <f>Munchies_Global!I41</f>
        <v>0</v>
      </c>
      <c r="J143" s="330">
        <f>Munchies_Global!J41</f>
        <v>0</v>
      </c>
      <c r="K143" s="330">
        <f>Munchies_Global!K41</f>
        <v>0</v>
      </c>
      <c r="L143" s="330">
        <f>Munchies_Global!L41</f>
        <v>0</v>
      </c>
      <c r="M143" s="330">
        <f>Munchies_Global!M41</f>
        <v>0</v>
      </c>
      <c r="N143" s="330">
        <f>Munchies_Global!N41</f>
        <v>0</v>
      </c>
    </row>
    <row r="144" spans="2:14">
      <c r="B144" s="186" t="s">
        <v>152</v>
      </c>
      <c r="C144" s="223">
        <f>TCP_Global!C41</f>
        <v>0.24779999999999999</v>
      </c>
      <c r="D144" s="223">
        <f>TCP_Global!D41</f>
        <v>0.23960000000000001</v>
      </c>
      <c r="E144" s="223">
        <f>TCP_Global!E41</f>
        <v>0.25309999999999999</v>
      </c>
      <c r="F144" s="223">
        <f>TCP_Global!F41</f>
        <v>0.25509999999999999</v>
      </c>
      <c r="G144" s="223">
        <f>TCP_Global!G41</f>
        <v>0.23880000000000001</v>
      </c>
      <c r="H144" s="223">
        <f>TCP_Global!H41</f>
        <v>0</v>
      </c>
      <c r="I144" s="223">
        <f>TCP_Global!I41</f>
        <v>0</v>
      </c>
      <c r="J144" s="223">
        <f>TCP_Global!J41</f>
        <v>0</v>
      </c>
      <c r="K144" s="223">
        <f>TCP_Global!K41</f>
        <v>0</v>
      </c>
      <c r="L144" s="223">
        <f>TCP_Global!L41</f>
        <v>0</v>
      </c>
      <c r="M144" s="223">
        <f>TCP_Global!M41</f>
        <v>0</v>
      </c>
      <c r="N144" s="223">
        <f>TCP_Global!N41</f>
        <v>0</v>
      </c>
    </row>
    <row r="145" spans="2:14">
      <c r="B145" s="186" t="s">
        <v>145</v>
      </c>
      <c r="C145" s="223">
        <f>Fightland_Global!C41</f>
        <v>0.23710000000000001</v>
      </c>
      <c r="D145" s="223">
        <f>Fightland_Global!D41</f>
        <v>0.22869999999999999</v>
      </c>
      <c r="E145" s="223">
        <f>Fightland_Global!E41</f>
        <v>0.17649999999999999</v>
      </c>
      <c r="F145" s="223">
        <f>Fightland_Global!F41</f>
        <v>0.19170000000000001</v>
      </c>
      <c r="G145" s="223">
        <f>Fightland_Global!G41</f>
        <v>0.192</v>
      </c>
      <c r="H145" s="223">
        <f>Fightland_Global!H41</f>
        <v>0</v>
      </c>
      <c r="I145" s="223">
        <f>Fightland_Global!I41</f>
        <v>0</v>
      </c>
      <c r="J145" s="223">
        <f>Fightland_Global!J41</f>
        <v>0</v>
      </c>
      <c r="K145" s="223">
        <f>Fightland_Global!K41</f>
        <v>0</v>
      </c>
      <c r="L145" s="223">
        <f>Fightland_Global!L41</f>
        <v>0</v>
      </c>
      <c r="M145" s="223">
        <f>Fightland_Global!M41</f>
        <v>0</v>
      </c>
      <c r="N145" s="223">
        <f>Fightland_Global!N41</f>
        <v>0</v>
      </c>
    </row>
    <row r="146" spans="2:14">
      <c r="B146" s="186" t="s">
        <v>146</v>
      </c>
      <c r="C146" s="223">
        <f>Thump_Global!C41</f>
        <v>0.21490000000000001</v>
      </c>
      <c r="D146" s="223">
        <f>Thump_Global!D41</f>
        <v>0.18959999999999999</v>
      </c>
      <c r="E146" s="223">
        <f>Thump_Global!E41</f>
        <v>0.1827</v>
      </c>
      <c r="F146" s="223">
        <f>Thump_Global!F41</f>
        <v>0.23350000000000001</v>
      </c>
      <c r="G146" s="223">
        <f>Thump_Global!G41</f>
        <v>0.27279999999999999</v>
      </c>
      <c r="H146" s="223">
        <f>Thump_Global!H41</f>
        <v>0</v>
      </c>
      <c r="I146" s="223">
        <f>Thump_Global!I41</f>
        <v>0</v>
      </c>
      <c r="J146" s="223">
        <f>Thump_Global!J41</f>
        <v>0</v>
      </c>
      <c r="K146" s="223">
        <f>Thump_Global!K41</f>
        <v>0</v>
      </c>
      <c r="L146" s="223">
        <f>Thump_Global!L41</f>
        <v>0</v>
      </c>
      <c r="M146" s="223">
        <f>Thump_Global!M41</f>
        <v>0</v>
      </c>
      <c r="N146" s="223">
        <f>Thump_Global!N41</f>
        <v>0</v>
      </c>
    </row>
    <row r="147" spans="2:14">
      <c r="B147" s="189" t="s">
        <v>147</v>
      </c>
      <c r="C147" s="225">
        <f>iD_Global!C41</f>
        <v>0.2001</v>
      </c>
      <c r="D147" s="225">
        <f>iD_Global!D41</f>
        <v>0.17519999999999999</v>
      </c>
      <c r="E147" s="225">
        <f>iD_Global!E41</f>
        <v>0.1709</v>
      </c>
      <c r="F147" s="225">
        <f>iD_Global!F41</f>
        <v>0.13139999999999999</v>
      </c>
      <c r="G147" s="225">
        <f>iD_Global!G41</f>
        <v>0.1206</v>
      </c>
      <c r="H147" s="225">
        <f>iD_Global!H41</f>
        <v>0</v>
      </c>
      <c r="I147" s="225">
        <f>iD_Global!I41</f>
        <v>0</v>
      </c>
      <c r="J147" s="225">
        <f>iD_Global!J41</f>
        <v>0</v>
      </c>
      <c r="K147" s="225">
        <f>iD_Global!K41</f>
        <v>0</v>
      </c>
      <c r="L147" s="225">
        <f>iD_Global!L41</f>
        <v>0</v>
      </c>
      <c r="M147" s="225">
        <f>iD_Global!M41</f>
        <v>0</v>
      </c>
      <c r="N147" s="225">
        <f>iD_Global!N41</f>
        <v>0</v>
      </c>
    </row>
    <row r="148" spans="2:14">
      <c r="G148" s="4">
        <f>AVERAGE(G139:G147)</f>
        <v>0.18235555555555555</v>
      </c>
    </row>
    <row r="149" spans="2:14">
      <c r="B149" s="80" t="s">
        <v>89</v>
      </c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</row>
    <row r="150" spans="2:14">
      <c r="B150" s="183" t="s">
        <v>149</v>
      </c>
      <c r="C150" s="221">
        <f>VICE_Global!C43</f>
        <v>0.22070000000000001</v>
      </c>
      <c r="D150" s="221">
        <f>VICE_Global!D43</f>
        <v>0.21490000000000001</v>
      </c>
      <c r="E150" s="221">
        <f>VICE_Global!E43</f>
        <v>0.23280000000000001</v>
      </c>
      <c r="F150" s="221">
        <f>VICE_Global!F43</f>
        <v>0.17810000000000001</v>
      </c>
      <c r="G150" s="221">
        <f>VICE_Global!G43</f>
        <v>0.1789</v>
      </c>
      <c r="H150" s="221">
        <f>VICE_Global!H43</f>
        <v>0</v>
      </c>
      <c r="I150" s="221">
        <f>VICE_Global!I43</f>
        <v>0</v>
      </c>
      <c r="J150" s="221">
        <f>VICE_Global!J43</f>
        <v>0</v>
      </c>
      <c r="K150" s="221">
        <f>VICE_Global!K43</f>
        <v>0</v>
      </c>
      <c r="L150" s="221">
        <f>VICE_Global!L43</f>
        <v>0</v>
      </c>
      <c r="M150" s="221">
        <f>VICE_Global!M43</f>
        <v>0</v>
      </c>
      <c r="N150" s="221">
        <f>VICE_Global!N43</f>
        <v>0</v>
      </c>
    </row>
    <row r="151" spans="2:14">
      <c r="B151" s="186" t="s">
        <v>150</v>
      </c>
      <c r="C151" s="223">
        <f>Motherboard_Global!C43</f>
        <v>0.18010000000000001</v>
      </c>
      <c r="D151" s="223">
        <f>Motherboard_Global!D43</f>
        <v>0.19650000000000001</v>
      </c>
      <c r="E151" s="223">
        <f>Motherboard_Global!E43</f>
        <v>0.14000000000000001</v>
      </c>
      <c r="F151" s="223">
        <f>Motherboard_Global!F43</f>
        <v>0.15</v>
      </c>
      <c r="G151" s="223">
        <f>Motherboard_Global!G43</f>
        <v>0.13500000000000001</v>
      </c>
      <c r="H151" s="223">
        <f>Motherboard_Global!H43</f>
        <v>0</v>
      </c>
      <c r="I151" s="223">
        <f>Motherboard_Global!I43</f>
        <v>0</v>
      </c>
      <c r="J151" s="223">
        <f>Motherboard_Global!J43</f>
        <v>0</v>
      </c>
      <c r="K151" s="223">
        <f>Motherboard_Global!K43</f>
        <v>0</v>
      </c>
      <c r="L151" s="223">
        <f>Motherboard_Global!L43</f>
        <v>0</v>
      </c>
      <c r="M151" s="223">
        <f>Motherboard_Global!M43</f>
        <v>0</v>
      </c>
      <c r="N151" s="223">
        <f>Motherboard_Global!N43</f>
        <v>0</v>
      </c>
    </row>
    <row r="152" spans="2:14">
      <c r="B152" s="186" t="s">
        <v>127</v>
      </c>
      <c r="C152" s="223">
        <f>Noisey_Global!C43</f>
        <v>0.1447</v>
      </c>
      <c r="D152" s="223">
        <f>Noisey_Global!D43</f>
        <v>0.14199999999999999</v>
      </c>
      <c r="E152" s="223">
        <f>Noisey_Global!E43</f>
        <v>0.14760000000000001</v>
      </c>
      <c r="F152" s="223">
        <f>Noisey_Global!F43</f>
        <v>0.125</v>
      </c>
      <c r="G152" s="223">
        <f>Noisey_Global!G43</f>
        <v>0.1502</v>
      </c>
      <c r="H152" s="223">
        <f>Noisey_Global!H43</f>
        <v>0</v>
      </c>
      <c r="I152" s="223">
        <f>Noisey_Global!I43</f>
        <v>0</v>
      </c>
      <c r="J152" s="223">
        <f>Noisey_Global!J43</f>
        <v>0</v>
      </c>
      <c r="K152" s="223">
        <f>Noisey_Global!K43</f>
        <v>0</v>
      </c>
      <c r="L152" s="223">
        <f>Noisey_Global!L43</f>
        <v>0</v>
      </c>
      <c r="M152" s="223">
        <f>Noisey_Global!M43</f>
        <v>0</v>
      </c>
      <c r="N152" s="223">
        <f>Noisey_Global!N43</f>
        <v>0</v>
      </c>
    </row>
    <row r="153" spans="2:14">
      <c r="B153" s="186" t="s">
        <v>180</v>
      </c>
      <c r="C153" s="330">
        <f>News_Global!C43</f>
        <v>0</v>
      </c>
      <c r="D153" s="330">
        <f>News_Global!D43</f>
        <v>0</v>
      </c>
      <c r="E153" s="330">
        <f>News_Global!E43</f>
        <v>7.7700000000000005E-2</v>
      </c>
      <c r="F153" s="330">
        <f>News_Global!F43</f>
        <v>6.3100000000000003E-2</v>
      </c>
      <c r="G153" s="330">
        <f>News_Global!G43</f>
        <v>0.09</v>
      </c>
      <c r="H153" s="330">
        <f>News_Global!H43</f>
        <v>0</v>
      </c>
      <c r="I153" s="330">
        <f>News_Global!I43</f>
        <v>0</v>
      </c>
      <c r="J153" s="330">
        <f>News_Global!J43</f>
        <v>0</v>
      </c>
      <c r="K153" s="330">
        <f>News_Global!K43</f>
        <v>0</v>
      </c>
      <c r="L153" s="330">
        <f>News_Global!L43</f>
        <v>0</v>
      </c>
      <c r="M153" s="330">
        <f>News_Global!M43</f>
        <v>0</v>
      </c>
      <c r="N153" s="330">
        <f>News_Global!N43</f>
        <v>0</v>
      </c>
    </row>
    <row r="154" spans="2:14">
      <c r="B154" s="186" t="s">
        <v>188</v>
      </c>
      <c r="C154" s="330">
        <f>Munchies_Global!C43</f>
        <v>0</v>
      </c>
      <c r="D154" s="330">
        <f>Munchies_Global!D43</f>
        <v>0</v>
      </c>
      <c r="E154" s="330">
        <f>Munchies_Global!E43</f>
        <v>0</v>
      </c>
      <c r="F154" s="330">
        <f>Munchies_Global!F43</f>
        <v>0.03</v>
      </c>
      <c r="G154" s="330">
        <f>Munchies_Global!G43</f>
        <v>0.04</v>
      </c>
      <c r="H154" s="330">
        <f>Munchies_Global!H43</f>
        <v>0</v>
      </c>
      <c r="I154" s="330">
        <f>Munchies_Global!I43</f>
        <v>0</v>
      </c>
      <c r="J154" s="330">
        <f>Munchies_Global!J43</f>
        <v>0</v>
      </c>
      <c r="K154" s="330">
        <f>Munchies_Global!K43</f>
        <v>0</v>
      </c>
      <c r="L154" s="330">
        <f>Munchies_Global!L43</f>
        <v>0</v>
      </c>
      <c r="M154" s="330">
        <f>Munchies_Global!M43</f>
        <v>0</v>
      </c>
      <c r="N154" s="330">
        <f>Munchies_Global!N43</f>
        <v>0</v>
      </c>
    </row>
    <row r="155" spans="2:14">
      <c r="B155" s="186" t="s">
        <v>152</v>
      </c>
      <c r="C155" s="223">
        <f>TCP_Global!C43</f>
        <v>0.245</v>
      </c>
      <c r="D155" s="223">
        <f>TCP_Global!D43</f>
        <v>0.16600000000000001</v>
      </c>
      <c r="E155" s="223">
        <f>TCP_Global!E43</f>
        <v>0.16</v>
      </c>
      <c r="F155" s="223">
        <f>TCP_Global!F43</f>
        <v>0.12</v>
      </c>
      <c r="G155" s="223">
        <f>TCP_Global!G43</f>
        <v>0.1</v>
      </c>
      <c r="H155" s="223">
        <f>TCP_Global!H43</f>
        <v>0</v>
      </c>
      <c r="I155" s="223">
        <f>TCP_Global!I43</f>
        <v>0</v>
      </c>
      <c r="J155" s="223">
        <f>TCP_Global!J43</f>
        <v>0</v>
      </c>
      <c r="K155" s="223">
        <f>TCP_Global!K43</f>
        <v>0</v>
      </c>
      <c r="L155" s="223">
        <f>TCP_Global!L43</f>
        <v>0</v>
      </c>
      <c r="M155" s="223">
        <f>TCP_Global!M43</f>
        <v>0</v>
      </c>
      <c r="N155" s="223">
        <f>TCP_Global!N43</f>
        <v>0</v>
      </c>
    </row>
    <row r="156" spans="2:14">
      <c r="B156" s="186" t="s">
        <v>145</v>
      </c>
      <c r="C156" s="223">
        <f>Fightland_Global!C43</f>
        <v>0.15920000000000001</v>
      </c>
      <c r="D156" s="223">
        <f>Fightland_Global!D43</f>
        <v>0.1399</v>
      </c>
      <c r="E156" s="223">
        <f>Fightland_Global!E43</f>
        <v>9.98E-2</v>
      </c>
      <c r="F156" s="223">
        <f>Fightland_Global!F43</f>
        <v>0.13500000000000001</v>
      </c>
      <c r="G156" s="223">
        <f>Fightland_Global!G43</f>
        <v>0.14119999999999999</v>
      </c>
      <c r="H156" s="223">
        <f>Fightland_Global!H43</f>
        <v>0</v>
      </c>
      <c r="I156" s="223">
        <f>Fightland_Global!I43</f>
        <v>0</v>
      </c>
      <c r="J156" s="223">
        <f>Fightland_Global!J43</f>
        <v>0</v>
      </c>
      <c r="K156" s="223">
        <f>Fightland_Global!K43</f>
        <v>0</v>
      </c>
      <c r="L156" s="223">
        <f>Fightland_Global!L43</f>
        <v>0</v>
      </c>
      <c r="M156" s="223">
        <f>Fightland_Global!M43</f>
        <v>0</v>
      </c>
      <c r="N156" s="223">
        <f>Fightland_Global!N43</f>
        <v>0</v>
      </c>
    </row>
    <row r="157" spans="2:14">
      <c r="B157" s="186" t="s">
        <v>146</v>
      </c>
      <c r="C157" s="223">
        <f>Thump_Global!C43</f>
        <v>0.1103</v>
      </c>
      <c r="D157" s="223">
        <f>Thump_Global!D43</f>
        <v>0.115</v>
      </c>
      <c r="E157" s="223">
        <f>Thump_Global!E43</f>
        <v>0.12</v>
      </c>
      <c r="F157" s="223">
        <f>Thump_Global!F43</f>
        <v>0.11</v>
      </c>
      <c r="G157" s="223">
        <f>Thump_Global!G43</f>
        <v>9.5000000000000001E-2</v>
      </c>
      <c r="H157" s="223">
        <f>Thump_Global!H43</f>
        <v>0</v>
      </c>
      <c r="I157" s="223">
        <f>Thump_Global!I43</f>
        <v>0</v>
      </c>
      <c r="J157" s="223">
        <f>Thump_Global!J43</f>
        <v>0</v>
      </c>
      <c r="K157" s="223">
        <f>Thump_Global!K43</f>
        <v>0</v>
      </c>
      <c r="L157" s="223">
        <f>Thump_Global!L43</f>
        <v>0</v>
      </c>
      <c r="M157" s="223">
        <f>Thump_Global!M43</f>
        <v>0</v>
      </c>
      <c r="N157" s="223">
        <f>Thump_Global!N43</f>
        <v>0</v>
      </c>
    </row>
    <row r="158" spans="2:14">
      <c r="B158" s="189" t="s">
        <v>147</v>
      </c>
      <c r="C158" s="225">
        <f>iD_Global!C43</f>
        <v>0.12479999999999999</v>
      </c>
      <c r="D158" s="225">
        <f>iD_Global!D43</f>
        <v>0.105</v>
      </c>
      <c r="E158" s="225">
        <f>iD_Global!E43</f>
        <v>9.3200000000000005E-2</v>
      </c>
      <c r="F158" s="225">
        <f>iD_Global!F43</f>
        <v>0.105</v>
      </c>
      <c r="G158" s="225">
        <f>iD_Global!G43</f>
        <v>0.1162</v>
      </c>
      <c r="H158" s="225">
        <f>iD_Global!H43</f>
        <v>0</v>
      </c>
      <c r="I158" s="225">
        <f>iD_Global!I43</f>
        <v>0</v>
      </c>
      <c r="J158" s="225">
        <f>iD_Global!J43</f>
        <v>0</v>
      </c>
      <c r="K158" s="225">
        <f>iD_Global!K43</f>
        <v>0</v>
      </c>
      <c r="L158" s="225">
        <f>iD_Global!L43</f>
        <v>0</v>
      </c>
      <c r="M158" s="225">
        <f>iD_Global!M43</f>
        <v>0</v>
      </c>
      <c r="N158" s="225">
        <f>iD_Global!N43</f>
        <v>0</v>
      </c>
    </row>
    <row r="159" spans="2:14">
      <c r="G159" s="4">
        <f>AVERAGE(G150:G158)</f>
        <v>0.11627777777777777</v>
      </c>
    </row>
    <row r="160" spans="2:14">
      <c r="B160" s="80" t="s">
        <v>90</v>
      </c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</row>
    <row r="161" spans="2:14">
      <c r="B161" s="183" t="s">
        <v>149</v>
      </c>
      <c r="C161" s="221">
        <f>VICE_Global!C50</f>
        <v>8.3000000000000074E-2</v>
      </c>
      <c r="D161" s="221">
        <f>VICE_Global!D50</f>
        <v>0.1129</v>
      </c>
      <c r="E161" s="221">
        <f>VICE_Global!E50</f>
        <v>3.4200000000000008E-2</v>
      </c>
      <c r="F161" s="221">
        <f>VICE_Global!F50</f>
        <v>7.3999999999999955E-2</v>
      </c>
      <c r="G161" s="221">
        <f>VICE_Global!G50</f>
        <v>5.1999999999999935E-2</v>
      </c>
      <c r="H161" s="221">
        <f>VICE_Global!H50</f>
        <v>1</v>
      </c>
      <c r="I161" s="221">
        <f>VICE_Global!I50</f>
        <v>1</v>
      </c>
      <c r="J161" s="221">
        <f>VICE_Global!J50</f>
        <v>1</v>
      </c>
      <c r="K161" s="221">
        <f>VICE_Global!K50</f>
        <v>1</v>
      </c>
      <c r="L161" s="221">
        <f>VICE_Global!L50</f>
        <v>1</v>
      </c>
      <c r="M161" s="221">
        <f>VICE_Global!M50</f>
        <v>1</v>
      </c>
      <c r="N161" s="221">
        <f>VICE_Global!N50</f>
        <v>1</v>
      </c>
    </row>
    <row r="162" spans="2:14">
      <c r="B162" s="186" t="s">
        <v>150</v>
      </c>
      <c r="C162" s="223">
        <f>Motherboard_Global!C51</f>
        <v>0.23150000000000004</v>
      </c>
      <c r="D162" s="223">
        <f>Motherboard_Global!D51</f>
        <v>0.2722</v>
      </c>
      <c r="E162" s="223">
        <f>Motherboard_Global!E51</f>
        <v>0.16010000000000002</v>
      </c>
      <c r="F162" s="223">
        <f>Motherboard_Global!F51</f>
        <v>0.15229999999999999</v>
      </c>
      <c r="G162" s="223">
        <f>Motherboard_Global!G51</f>
        <v>0.10250000000000015</v>
      </c>
      <c r="H162" s="223">
        <f>Motherboard_Global!H51</f>
        <v>0</v>
      </c>
      <c r="I162" s="223">
        <f>Motherboard_Global!I51</f>
        <v>0</v>
      </c>
      <c r="J162" s="223">
        <f>Motherboard_Global!J51</f>
        <v>0</v>
      </c>
      <c r="K162" s="223">
        <f>Motherboard_Global!K51</f>
        <v>0</v>
      </c>
      <c r="L162" s="223">
        <f>Motherboard_Global!L51</f>
        <v>0</v>
      </c>
      <c r="M162" s="223">
        <f>Motherboard_Global!M51</f>
        <v>0</v>
      </c>
      <c r="N162" s="223">
        <f>Motherboard_Global!N51</f>
        <v>0</v>
      </c>
    </row>
    <row r="163" spans="2:14">
      <c r="B163" s="186" t="s">
        <v>127</v>
      </c>
      <c r="C163" s="223">
        <f>Noisey_Global!C50</f>
        <v>8.3300000000000152E-2</v>
      </c>
      <c r="D163" s="223">
        <f>Noisey_Global!D50</f>
        <v>7.6899999999999968E-2</v>
      </c>
      <c r="E163" s="223">
        <f>Noisey_Global!E50</f>
        <v>8.5600000000000009E-2</v>
      </c>
      <c r="F163" s="223">
        <f>Noisey_Global!F50</f>
        <v>3.4600000000000075E-2</v>
      </c>
      <c r="G163" s="223">
        <f>Noisey_Global!G50</f>
        <v>4.5699999999999852E-2</v>
      </c>
      <c r="H163" s="223">
        <f>Noisey_Global!H50</f>
        <v>0</v>
      </c>
      <c r="I163" s="223">
        <f>Noisey_Global!I50</f>
        <v>0</v>
      </c>
      <c r="J163" s="223">
        <f>Noisey_Global!J50</f>
        <v>0</v>
      </c>
      <c r="K163" s="223">
        <f>Noisey_Global!K50</f>
        <v>0</v>
      </c>
      <c r="L163" s="223">
        <f>Noisey_Global!L50</f>
        <v>0</v>
      </c>
      <c r="M163" s="223">
        <f>Noisey_Global!M50</f>
        <v>0</v>
      </c>
      <c r="N163" s="223">
        <f>Noisey_Global!N50</f>
        <v>0</v>
      </c>
    </row>
    <row r="164" spans="2:14">
      <c r="B164" s="186" t="s">
        <v>180</v>
      </c>
      <c r="C164" s="330">
        <f>News_Global!C50</f>
        <v>0</v>
      </c>
      <c r="D164" s="330">
        <f>News_Global!D50</f>
        <v>0</v>
      </c>
      <c r="E164" s="330">
        <f>News_Global!E50</f>
        <v>0.11070000000000002</v>
      </c>
      <c r="F164" s="330">
        <f>News_Global!F50</f>
        <v>0.12540000000000007</v>
      </c>
      <c r="G164" s="330">
        <f>News_Global!G50</f>
        <v>6.0200000000000031E-2</v>
      </c>
      <c r="H164" s="330">
        <f>News_Global!H50</f>
        <v>0</v>
      </c>
      <c r="I164" s="330">
        <f>News_Global!I50</f>
        <v>0</v>
      </c>
      <c r="J164" s="330">
        <f>News_Global!J50</f>
        <v>0</v>
      </c>
      <c r="K164" s="330">
        <f>News_Global!K50</f>
        <v>0</v>
      </c>
      <c r="L164" s="330">
        <f>News_Global!L50</f>
        <v>0</v>
      </c>
      <c r="M164" s="330">
        <f>News_Global!M50</f>
        <v>0</v>
      </c>
      <c r="N164" s="330">
        <f>News_Global!N50</f>
        <v>0</v>
      </c>
    </row>
    <row r="165" spans="2:14">
      <c r="B165" s="186" t="s">
        <v>188</v>
      </c>
      <c r="C165" s="330">
        <f>Munchies_Global!C50</f>
        <v>0</v>
      </c>
      <c r="D165" s="330">
        <f>Munchies_Global!D50</f>
        <v>0</v>
      </c>
      <c r="E165" s="330">
        <f>Munchies_Global!E50</f>
        <v>0</v>
      </c>
      <c r="F165" s="330">
        <f>Munchies_Global!F50</f>
        <v>0.11890000000000001</v>
      </c>
      <c r="G165" s="330">
        <f>Munchies_Global!G50</f>
        <v>9.4600000000000017E-2</v>
      </c>
      <c r="H165" s="330">
        <f>Munchies_Global!H50</f>
        <v>0</v>
      </c>
      <c r="I165" s="330">
        <f>Munchies_Global!I50</f>
        <v>0</v>
      </c>
      <c r="J165" s="330">
        <f>Munchies_Global!J50</f>
        <v>0</v>
      </c>
      <c r="K165" s="330">
        <f>Munchies_Global!K50</f>
        <v>0</v>
      </c>
      <c r="L165" s="330">
        <f>Munchies_Global!L50</f>
        <v>0</v>
      </c>
      <c r="M165" s="330">
        <f>Munchies_Global!M50</f>
        <v>0</v>
      </c>
      <c r="N165" s="330">
        <f>Munchies_Global!N50</f>
        <v>0</v>
      </c>
    </row>
    <row r="166" spans="2:14">
      <c r="B166" s="186" t="s">
        <v>152</v>
      </c>
      <c r="C166" s="223">
        <f>TCP_Global!C50</f>
        <v>0.139872</v>
      </c>
      <c r="D166" s="223">
        <f>TCP_Global!D50</f>
        <v>0.11477199999999999</v>
      </c>
      <c r="E166" s="223">
        <f>TCP_Global!E50</f>
        <v>0.11419999999999997</v>
      </c>
      <c r="F166" s="223">
        <f>TCP_Global!F50</f>
        <v>9.8100000000000076E-2</v>
      </c>
      <c r="G166" s="223">
        <f>TCP_Global!G50</f>
        <v>0.13619999999999999</v>
      </c>
      <c r="H166" s="223">
        <f>TCP_Global!H50</f>
        <v>0</v>
      </c>
      <c r="I166" s="223">
        <f>TCP_Global!I50</f>
        <v>0</v>
      </c>
      <c r="J166" s="223">
        <f>TCP_Global!J50</f>
        <v>0</v>
      </c>
      <c r="K166" s="223">
        <f>TCP_Global!K50</f>
        <v>0</v>
      </c>
      <c r="L166" s="223">
        <f>TCP_Global!L50</f>
        <v>0</v>
      </c>
      <c r="M166" s="223">
        <f>TCP_Global!M50</f>
        <v>0</v>
      </c>
      <c r="N166" s="223">
        <f>TCP_Global!N50</f>
        <v>0</v>
      </c>
    </row>
    <row r="167" spans="2:14">
      <c r="B167" s="186" t="s">
        <v>145</v>
      </c>
      <c r="C167" s="223">
        <f>Fightland_Global!C50</f>
        <v>0.12540000000000007</v>
      </c>
      <c r="D167" s="223">
        <f>Fightland_Global!D50</f>
        <v>0.17830000000000001</v>
      </c>
      <c r="E167" s="223">
        <f>Fightland_Global!E50</f>
        <v>0.16690000000000005</v>
      </c>
      <c r="F167" s="223">
        <f>Fightland_Global!F50</f>
        <v>0.14729999999999999</v>
      </c>
      <c r="G167" s="223">
        <f>Fightland_Global!G50</f>
        <v>9.1400000000000037E-2</v>
      </c>
      <c r="H167" s="223">
        <f>Fightland_Global!H50</f>
        <v>0</v>
      </c>
      <c r="I167" s="223">
        <f>Fightland_Global!I50</f>
        <v>0</v>
      </c>
      <c r="J167" s="223">
        <f>Fightland_Global!J50</f>
        <v>0</v>
      </c>
      <c r="K167" s="223">
        <f>Fightland_Global!K50</f>
        <v>0</v>
      </c>
      <c r="L167" s="223">
        <f>Fightland_Global!L50</f>
        <v>0</v>
      </c>
      <c r="M167" s="223">
        <f>Fightland_Global!M50</f>
        <v>0</v>
      </c>
      <c r="N167" s="223">
        <f>Fightland_Global!N50</f>
        <v>0</v>
      </c>
    </row>
    <row r="168" spans="2:14">
      <c r="B168" s="186" t="s">
        <v>146</v>
      </c>
      <c r="C168" s="223">
        <f>Thump_Global!C50</f>
        <v>6.5299999999999803E-2</v>
      </c>
      <c r="D168" s="223">
        <f>Thump_Global!D50</f>
        <v>7.0500000000000007E-2</v>
      </c>
      <c r="E168" s="223">
        <f>Thump_Global!E50</f>
        <v>9.2299999999999938E-2</v>
      </c>
      <c r="F168" s="223">
        <f>Thump_Global!F50</f>
        <v>6.2300000000000022E-2</v>
      </c>
      <c r="G168" s="223">
        <f>Thump_Global!G50</f>
        <v>4.6200000000000019E-2</v>
      </c>
      <c r="H168" s="223">
        <f>Thump_Global!H50</f>
        <v>0</v>
      </c>
      <c r="I168" s="223">
        <f>Thump_Global!I50</f>
        <v>0</v>
      </c>
      <c r="J168" s="223">
        <f>Thump_Global!J50</f>
        <v>0</v>
      </c>
      <c r="K168" s="223">
        <f>Thump_Global!K50</f>
        <v>0</v>
      </c>
      <c r="L168" s="223">
        <f>Thump_Global!L50</f>
        <v>0</v>
      </c>
      <c r="M168" s="223">
        <f>Thump_Global!M50</f>
        <v>0</v>
      </c>
      <c r="N168" s="223">
        <f>Thump_Global!N50</f>
        <v>0</v>
      </c>
    </row>
    <row r="169" spans="2:14">
      <c r="B169" s="189" t="s">
        <v>147</v>
      </c>
      <c r="C169" s="225">
        <f>iD_Global!C50</f>
        <v>6.5100000000000047E-2</v>
      </c>
      <c r="D169" s="225">
        <f>iD_Global!D50</f>
        <v>5.3099999999999925E-2</v>
      </c>
      <c r="E169" s="225">
        <f>iD_Global!E50</f>
        <v>7.1900000000000075E-2</v>
      </c>
      <c r="F169" s="225">
        <f>iD_Global!F50</f>
        <v>3.6599999999999966E-2</v>
      </c>
      <c r="G169" s="225">
        <f>iD_Global!G50</f>
        <v>2.739999999999998E-2</v>
      </c>
      <c r="H169" s="225">
        <f>iD_Global!H50</f>
        <v>0</v>
      </c>
      <c r="I169" s="225">
        <f>iD_Global!I50</f>
        <v>0</v>
      </c>
      <c r="J169" s="225">
        <f>iD_Global!J50</f>
        <v>0</v>
      </c>
      <c r="K169" s="225">
        <f>iD_Global!K50</f>
        <v>0</v>
      </c>
      <c r="L169" s="225">
        <f>iD_Global!L50</f>
        <v>0</v>
      </c>
      <c r="M169" s="225">
        <f>iD_Global!M50</f>
        <v>0</v>
      </c>
      <c r="N169" s="225">
        <f>iD_Global!N50</f>
        <v>0</v>
      </c>
    </row>
    <row r="170" spans="2:14">
      <c r="G170" s="4">
        <f>AVERAGE(G161:G169)</f>
        <v>7.2911111111111107E-2</v>
      </c>
    </row>
    <row r="171" spans="2:14">
      <c r="B171" s="80" t="s">
        <v>91</v>
      </c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</row>
    <row r="172" spans="2:14">
      <c r="B172" s="183" t="s">
        <v>149</v>
      </c>
      <c r="C172" s="221">
        <f>VICE_Global!C42</f>
        <v>4.8099999999999997E-2</v>
      </c>
      <c r="D172" s="221">
        <f>VICE_Global!D42</f>
        <v>4.6800000000000001E-2</v>
      </c>
      <c r="E172" s="221">
        <f>VICE_Global!E42</f>
        <v>4.1099999999999998E-2</v>
      </c>
      <c r="F172" s="221">
        <f>VICE_Global!F42</f>
        <v>4.2200000000000001E-2</v>
      </c>
      <c r="G172" s="221">
        <f>VICE_Global!G42</f>
        <v>3.6600000000000001E-2</v>
      </c>
      <c r="H172" s="221">
        <f>VICE_Global!H42</f>
        <v>0</v>
      </c>
      <c r="I172" s="221">
        <f>VICE_Global!I42</f>
        <v>0</v>
      </c>
      <c r="J172" s="221">
        <f>VICE_Global!J42</f>
        <v>0</v>
      </c>
      <c r="K172" s="221">
        <f>VICE_Global!K42</f>
        <v>0</v>
      </c>
      <c r="L172" s="221">
        <f>VICE_Global!L42</f>
        <v>0</v>
      </c>
      <c r="M172" s="221">
        <f>VICE_Global!M42</f>
        <v>0</v>
      </c>
      <c r="N172" s="221">
        <f>VICE_Global!N42</f>
        <v>0</v>
      </c>
    </row>
    <row r="173" spans="2:14">
      <c r="B173" s="186" t="s">
        <v>150</v>
      </c>
      <c r="C173" s="223">
        <f>Motherboard_Global!C42</f>
        <v>2.6100000000000002E-2</v>
      </c>
      <c r="D173" s="223">
        <f>Motherboard_Global!D42</f>
        <v>3.5200000000000002E-2</v>
      </c>
      <c r="E173" s="223">
        <f>Motherboard_Global!E42</f>
        <v>4.2000000000000003E-2</v>
      </c>
      <c r="F173" s="223">
        <f>Motherboard_Global!F42</f>
        <v>0.06</v>
      </c>
      <c r="G173" s="223">
        <f>Motherboard_Global!G42</f>
        <v>0.04</v>
      </c>
      <c r="H173" s="223">
        <f>Motherboard_Global!H42</f>
        <v>0</v>
      </c>
      <c r="I173" s="223">
        <f>Motherboard_Global!I42</f>
        <v>0</v>
      </c>
      <c r="J173" s="223">
        <f>Motherboard_Global!J42</f>
        <v>0</v>
      </c>
      <c r="K173" s="223">
        <f>Motherboard_Global!K42</f>
        <v>0</v>
      </c>
      <c r="L173" s="223">
        <f>Motherboard_Global!L42</f>
        <v>0</v>
      </c>
      <c r="M173" s="223">
        <f>Motherboard_Global!M42</f>
        <v>0</v>
      </c>
      <c r="N173" s="223">
        <f>Motherboard_Global!N42</f>
        <v>0</v>
      </c>
    </row>
    <row r="174" spans="2:14">
      <c r="B174" s="186" t="s">
        <v>127</v>
      </c>
      <c r="C174" s="223">
        <f>Noisey_Global!C42</f>
        <v>2.4400000000000002E-2</v>
      </c>
      <c r="D174" s="223">
        <f>Noisey_Global!D42</f>
        <v>3.0700000000000002E-2</v>
      </c>
      <c r="E174" s="223">
        <f>Noisey_Global!E42</f>
        <v>4.1799999999999997E-2</v>
      </c>
      <c r="F174" s="223">
        <f>Noisey_Global!F42</f>
        <v>0.03</v>
      </c>
      <c r="G174" s="223">
        <f>Noisey_Global!G42</f>
        <v>0.02</v>
      </c>
      <c r="H174" s="223">
        <f>Noisey_Global!H42</f>
        <v>0</v>
      </c>
      <c r="I174" s="223">
        <f>Noisey_Global!I42</f>
        <v>0</v>
      </c>
      <c r="J174" s="223">
        <f>Noisey_Global!J42</f>
        <v>0</v>
      </c>
      <c r="K174" s="223">
        <f>Noisey_Global!K42</f>
        <v>0</v>
      </c>
      <c r="L174" s="223">
        <f>Noisey_Global!L42</f>
        <v>0</v>
      </c>
      <c r="M174" s="223">
        <f>Noisey_Global!M42</f>
        <v>0</v>
      </c>
      <c r="N174" s="223">
        <f>Noisey_Global!N42</f>
        <v>0</v>
      </c>
    </row>
    <row r="175" spans="2:14">
      <c r="B175" s="186" t="s">
        <v>180</v>
      </c>
      <c r="C175" s="330">
        <f>News_Global!C42</f>
        <v>0</v>
      </c>
      <c r="D175" s="330">
        <f>News_Global!D42</f>
        <v>0</v>
      </c>
      <c r="E175" s="330">
        <f>News_Global!E42</f>
        <v>6.6E-3</v>
      </c>
      <c r="F175" s="330">
        <f>News_Global!F42</f>
        <v>1.4999999999999999E-2</v>
      </c>
      <c r="G175" s="330">
        <f>News_Global!G42</f>
        <v>0.01</v>
      </c>
      <c r="H175" s="330">
        <f>News_Global!H42</f>
        <v>0</v>
      </c>
      <c r="I175" s="330">
        <f>News_Global!I42</f>
        <v>0</v>
      </c>
      <c r="J175" s="330">
        <f>News_Global!J42</f>
        <v>0</v>
      </c>
      <c r="K175" s="330">
        <f>News_Global!K42</f>
        <v>0</v>
      </c>
      <c r="L175" s="330">
        <f>News_Global!L42</f>
        <v>0</v>
      </c>
      <c r="M175" s="330">
        <f>News_Global!M42</f>
        <v>0</v>
      </c>
      <c r="N175" s="330">
        <f>News_Global!N42</f>
        <v>0</v>
      </c>
    </row>
    <row r="176" spans="2:14">
      <c r="B176" s="186" t="s">
        <v>188</v>
      </c>
      <c r="C176" s="330">
        <f>Munchies_Global!C42</f>
        <v>0</v>
      </c>
      <c r="D176" s="330">
        <f>Munchies_Global!D42</f>
        <v>0</v>
      </c>
      <c r="E176" s="330">
        <f>Munchies_Global!E42</f>
        <v>0</v>
      </c>
      <c r="F176" s="330">
        <f>Munchies_Global!F42</f>
        <v>0</v>
      </c>
      <c r="G176" s="330">
        <f>Munchies_Global!G42</f>
        <v>0</v>
      </c>
      <c r="H176" s="330">
        <f>Munchies_Global!H42</f>
        <v>0</v>
      </c>
      <c r="I176" s="330">
        <f>Munchies_Global!I42</f>
        <v>0</v>
      </c>
      <c r="J176" s="330">
        <f>Munchies_Global!J42</f>
        <v>0</v>
      </c>
      <c r="K176" s="330">
        <f>Munchies_Global!K42</f>
        <v>0</v>
      </c>
      <c r="L176" s="330">
        <f>Munchies_Global!L42</f>
        <v>0</v>
      </c>
      <c r="M176" s="330">
        <f>Munchies_Global!M42</f>
        <v>0</v>
      </c>
      <c r="N176" s="330">
        <f>Munchies_Global!N42</f>
        <v>0</v>
      </c>
    </row>
    <row r="177" spans="2:14">
      <c r="B177" s="186" t="s">
        <v>152</v>
      </c>
      <c r="C177" s="223">
        <f>TCP_Global!C42</f>
        <v>4.53E-2</v>
      </c>
      <c r="D177" s="223">
        <f>TCP_Global!D42</f>
        <v>1.7999999999999999E-2</v>
      </c>
      <c r="E177" s="223">
        <f>TCP_Global!E42</f>
        <v>3.5000000000000003E-2</v>
      </c>
      <c r="F177" s="223">
        <f>TCP_Global!F42</f>
        <v>3.5000000000000003E-2</v>
      </c>
      <c r="G177" s="223">
        <f>TCP_Global!G42</f>
        <v>0.03</v>
      </c>
      <c r="H177" s="223">
        <f>TCP_Global!H42</f>
        <v>0</v>
      </c>
      <c r="I177" s="223">
        <f>TCP_Global!I42</f>
        <v>0</v>
      </c>
      <c r="J177" s="223">
        <f>TCP_Global!J42</f>
        <v>0</v>
      </c>
      <c r="K177" s="223">
        <f>TCP_Global!K42</f>
        <v>0</v>
      </c>
      <c r="L177" s="223">
        <f>TCP_Global!L42</f>
        <v>0</v>
      </c>
      <c r="M177" s="223">
        <f>TCP_Global!M42</f>
        <v>0</v>
      </c>
      <c r="N177" s="223">
        <f>TCP_Global!N42</f>
        <v>0</v>
      </c>
    </row>
    <row r="178" spans="2:14">
      <c r="B178" s="186" t="s">
        <v>145</v>
      </c>
      <c r="C178" s="223">
        <f>Fightland_Global!C42</f>
        <v>8.9999999999999998E-4</v>
      </c>
      <c r="D178" s="223">
        <f>Fightland_Global!D42</f>
        <v>5.5999999999999999E-3</v>
      </c>
      <c r="E178" s="223">
        <f>Fightland_Global!E42</f>
        <v>0</v>
      </c>
      <c r="F178" s="223">
        <f>Fightland_Global!F42</f>
        <v>7.6E-3</v>
      </c>
      <c r="G178" s="223">
        <f>Fightland_Global!G42</f>
        <v>2.5399999999999999E-2</v>
      </c>
      <c r="H178" s="223">
        <f>Fightland_Global!H42</f>
        <v>0</v>
      </c>
      <c r="I178" s="223">
        <f>Fightland_Global!I42</f>
        <v>0</v>
      </c>
      <c r="J178" s="223">
        <f>Fightland_Global!J42</f>
        <v>0</v>
      </c>
      <c r="K178" s="223">
        <f>Fightland_Global!K42</f>
        <v>0</v>
      </c>
      <c r="L178" s="223">
        <f>Fightland_Global!L42</f>
        <v>0</v>
      </c>
      <c r="M178" s="223">
        <f>Fightland_Global!M42</f>
        <v>0</v>
      </c>
      <c r="N178" s="223">
        <f>Fightland_Global!N42</f>
        <v>0</v>
      </c>
    </row>
    <row r="179" spans="2:14">
      <c r="B179" s="186" t="s">
        <v>146</v>
      </c>
      <c r="C179" s="223">
        <f>Thump_Global!C42</f>
        <v>1.0800000000000001E-2</v>
      </c>
      <c r="D179" s="223">
        <f>Thump_Global!D42</f>
        <v>3.44E-2</v>
      </c>
      <c r="E179" s="223">
        <f>Thump_Global!E42</f>
        <v>2.18E-2</v>
      </c>
      <c r="F179" s="223">
        <f>Thump_Global!F42</f>
        <v>7.7499999999999999E-2</v>
      </c>
      <c r="G179" s="223">
        <f>Thump_Global!G42</f>
        <v>0.03</v>
      </c>
      <c r="H179" s="223">
        <f>Thump_Global!H42</f>
        <v>0</v>
      </c>
      <c r="I179" s="223">
        <f>Thump_Global!I42</f>
        <v>0</v>
      </c>
      <c r="J179" s="223">
        <f>Thump_Global!J42</f>
        <v>0</v>
      </c>
      <c r="K179" s="223">
        <f>Thump_Global!K42</f>
        <v>0</v>
      </c>
      <c r="L179" s="223">
        <f>Thump_Global!L42</f>
        <v>0</v>
      </c>
      <c r="M179" s="223">
        <f>Thump_Global!M42</f>
        <v>0</v>
      </c>
      <c r="N179" s="223">
        <f>Thump_Global!N42</f>
        <v>0</v>
      </c>
    </row>
    <row r="180" spans="2:14">
      <c r="B180" s="189" t="s">
        <v>147</v>
      </c>
      <c r="C180" s="225">
        <f>iD_Global!C42</f>
        <v>0</v>
      </c>
      <c r="D180" s="225">
        <f>iD_Global!D42</f>
        <v>0.14299999999999999</v>
      </c>
      <c r="E180" s="225">
        <f>iD_Global!E42</f>
        <v>6.4000000000000001E-2</v>
      </c>
      <c r="F180" s="225">
        <f>iD_Global!F42</f>
        <v>7.1999999999999995E-2</v>
      </c>
      <c r="G180" s="225">
        <f>iD_Global!G42</f>
        <v>5.5E-2</v>
      </c>
      <c r="H180" s="225">
        <f>iD_Global!H42</f>
        <v>0</v>
      </c>
      <c r="I180" s="225">
        <f>iD_Global!I42</f>
        <v>0</v>
      </c>
      <c r="J180" s="225">
        <f>iD_Global!J42</f>
        <v>0</v>
      </c>
      <c r="K180" s="225">
        <f>iD_Global!K42</f>
        <v>0</v>
      </c>
      <c r="L180" s="225">
        <f>iD_Global!L42</f>
        <v>0</v>
      </c>
      <c r="M180" s="225">
        <f>iD_Global!M42</f>
        <v>0</v>
      </c>
      <c r="N180" s="225">
        <f>iD_Global!N42</f>
        <v>0</v>
      </c>
    </row>
    <row r="181" spans="2:14">
      <c r="G181" s="4">
        <f>AVERAGE(G172:G180)</f>
        <v>2.7444444444444445E-2</v>
      </c>
    </row>
  </sheetData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105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H10" activePane="bottomRight" state="frozenSplit"/>
      <selection activeCell="C25" sqref="C25"/>
      <selection pane="topRight" activeCell="C25" sqref="C25"/>
      <selection pane="bottomLeft" activeCell="C25" sqref="C25"/>
      <selection pane="bottomRight" activeCell="S69" sqref="S69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25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1.2192642931009012</v>
      </c>
      <c r="D8" s="177">
        <f>IF(ISERROR(D19/D18),"NM",D19/D18)</f>
        <v>1.2214190761050183</v>
      </c>
      <c r="E8" s="177">
        <f>IF(ISERROR(C8-D8),"NM",C8-D8)</f>
        <v>-2.154783004117089E-3</v>
      </c>
      <c r="F8" s="50"/>
      <c r="G8" s="177">
        <f>IF(ISERROR(G19/G18),"NM",G19/G18)</f>
        <v>1.2246771936310106</v>
      </c>
      <c r="H8" s="177">
        <f>IF(ISERROR(H19/H18),"NM",H19/H18)</f>
        <v>1.2221531418166058</v>
      </c>
      <c r="I8" s="177">
        <f>IF(ISERROR(G8-H8),"NM",G8-H8)</f>
        <v>2.5240518144047375E-3</v>
      </c>
      <c r="J8" s="50"/>
      <c r="K8" s="177">
        <f>IF(ISERROR(K19/K18),"NM",K19/K18)</f>
        <v>1.2007321881160236</v>
      </c>
      <c r="L8" s="177">
        <f>IF(ISERROR(L19/L18),"NM",L19/L18)</f>
        <v>1.2228811643968651</v>
      </c>
      <c r="M8" s="177">
        <f>IF(ISERROR(K8-L8),"NM",K8-L8)</f>
        <v>-2.2148976280841559E-2</v>
      </c>
      <c r="N8" s="50"/>
      <c r="O8" s="177">
        <f>IF(ISERROR(O19/O18),"NM",O19/O18)</f>
        <v>1.2584668348367385</v>
      </c>
      <c r="P8" s="177">
        <f>IF(ISERROR(P19/P18),"NM",P19/P18)</f>
        <v>1.2236031014470643</v>
      </c>
      <c r="Q8" s="177">
        <f>IF(ISERROR(O8-P8),"NM",O8-P8)</f>
        <v>3.486373338967419E-2</v>
      </c>
      <c r="R8" s="50"/>
      <c r="S8" s="177">
        <f>IF(ISERROR(S19/S18),"NM",S19/S18)</f>
        <v>1.2655281873319773</v>
      </c>
      <c r="T8" s="177">
        <f>IF(ISERROR(T19/T18),"NM",T19/T18)</f>
        <v>1.2243189132333432</v>
      </c>
      <c r="U8" s="177">
        <f>IF(ISERROR(S8-T8),"NM",S8-T8)</f>
        <v>4.1209274098634063E-2</v>
      </c>
      <c r="V8" s="50"/>
      <c r="W8" s="177" t="str">
        <f>IF(ISERROR(W19/W18),"NM",W19/W18)</f>
        <v>NM</v>
      </c>
      <c r="X8" s="177">
        <f>IF(ISERROR(X19/X18),"NM",X19/X18)</f>
        <v>1.2250285626647837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1.225732015269597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1.2264292391695024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1.227120205052372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1.2278048861432165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1.2284832581735901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1.2291552993494874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1.3989676731449621</v>
      </c>
      <c r="D9" s="177">
        <f>IF(ISERROR(D20/D19),"NM",D20/D19)</f>
        <v>1.4481588554066618</v>
      </c>
      <c r="E9" s="177">
        <f>IF(ISERROR(C9-D9),"NM",C9-D9)</f>
        <v>-4.9191182261699717E-2</v>
      </c>
      <c r="F9" s="50"/>
      <c r="G9" s="177">
        <f>IF(ISERROR(G20/G19),"NM",G20/G19)</f>
        <v>1.3858203202906441</v>
      </c>
      <c r="H9" s="177">
        <f>IF(ISERROR(H20/H19),"NM",H20/H19)</f>
        <v>1.4481509080565544</v>
      </c>
      <c r="I9" s="177">
        <f>IF(ISERROR(G9-H9),"NM",G9-H9)</f>
        <v>-6.2330587765910384E-2</v>
      </c>
      <c r="J9" s="50"/>
      <c r="K9" s="177">
        <f>IF(ISERROR(K20/K19),"NM",K20/K19)</f>
        <v>1.3603405413011866</v>
      </c>
      <c r="L9" s="177">
        <f>IF(ISERROR(L20/L19),"NM",L20/L19)</f>
        <v>1.4481430355560099</v>
      </c>
      <c r="M9" s="177">
        <f>IF(ISERROR(K9-L9),"NM",K9-L9)</f>
        <v>-8.7802494254823227E-2</v>
      </c>
      <c r="N9" s="50"/>
      <c r="O9" s="177">
        <f>IF(ISERROR(O20/O19),"NM",O20/O19)</f>
        <v>1.3278959777794881</v>
      </c>
      <c r="P9" s="177">
        <f>IF(ISERROR(P20/P19),"NM",P20/P19)</f>
        <v>1.4481352381124513</v>
      </c>
      <c r="Q9" s="177">
        <f>IF(ISERROR(O9-P9),"NM",O9-P9)</f>
        <v>-0.12023926033296317</v>
      </c>
      <c r="R9" s="50"/>
      <c r="S9" s="177">
        <f>IF(ISERROR(S20/S19),"NM",S20/S19)</f>
        <v>1.2897789790055902</v>
      </c>
      <c r="T9" s="177">
        <f>IF(ISERROR(T20/T19),"NM",T20/T19)</f>
        <v>1.44812751590523</v>
      </c>
      <c r="U9" s="177">
        <f>IF(ISERROR(S9-T9),"NM",S9-T9)</f>
        <v>-0.15834853689963979</v>
      </c>
      <c r="V9" s="50"/>
      <c r="W9" s="177" t="str">
        <f>IF(ISERROR(W20/W19),"NM",W20/W19)</f>
        <v>NM</v>
      </c>
      <c r="X9" s="177">
        <f>IF(ISERROR(X20/X19),"NM",X20/X19)</f>
        <v>1.4481198690860646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1.4481122977794922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1.4481048020833289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1.4480973820691472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1.4480900377827597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1.4480827692447162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1.4480755764508051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0.13703290844763244</v>
      </c>
      <c r="D10" s="37"/>
      <c r="E10" s="37"/>
      <c r="F10" s="50"/>
      <c r="G10" s="177">
        <f>IF(ISERROR((G55+G63)/G19),"NM",(G55+G63)/G19)</f>
        <v>5.8613942507236456E-2</v>
      </c>
      <c r="H10" s="37"/>
      <c r="I10" s="37"/>
      <c r="J10" s="50"/>
      <c r="K10" s="177">
        <f>IF(ISERROR((K55+K63)/K19),"NM",(K55+K63)/K19)</f>
        <v>3.3439654768047285E-2</v>
      </c>
      <c r="L10" s="37"/>
      <c r="M10" s="37"/>
      <c r="N10" s="50"/>
      <c r="O10" s="177">
        <f>IF(ISERROR((O55+O63)/O19),"NM",(O55+O63)/O19)</f>
        <v>3.8553567805444583E-2</v>
      </c>
      <c r="P10" s="37"/>
      <c r="Q10" s="37"/>
      <c r="R10" s="50"/>
      <c r="S10" s="177">
        <f>IF(ISERROR((S55+S63)/S19),"NM",(S55+S63)/S19)</f>
        <v>2.4728554514327348E-2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0.51461166961698879</v>
      </c>
      <c r="D11" s="37"/>
      <c r="E11" s="37"/>
      <c r="F11" s="50"/>
      <c r="G11" s="177">
        <f>IF(ISERROR(((G57+G65)/G19)*60),"NM",((G57+G65)/G19)*60)</f>
        <v>0.23101533266365504</v>
      </c>
      <c r="H11" s="37"/>
      <c r="I11" s="37"/>
      <c r="J11" s="50"/>
      <c r="K11" s="177">
        <f>IF(ISERROR(((K57+K65)/K19)*60),"NM",((K57+K65)/K19)*60)</f>
        <v>0.10407508859899108</v>
      </c>
      <c r="L11" s="37"/>
      <c r="M11" s="37"/>
      <c r="N11" s="50"/>
      <c r="O11" s="177">
        <f>IF(ISERROR(((O57+O65)/O19)*60),"NM",((O57+O65)/O19)*60)</f>
        <v>9.2406263663361535E-2</v>
      </c>
      <c r="P11" s="37"/>
      <c r="Q11" s="37"/>
      <c r="R11" s="50"/>
      <c r="S11" s="177">
        <f>IF(ISERROR(((S57+S65)/S19)*60),"NM",((S57+S65)/S19)*60)</f>
        <v>9.4474608146692271E-2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3.7553874864565779</v>
      </c>
      <c r="D12" s="37"/>
      <c r="E12" s="37"/>
      <c r="F12" s="50"/>
      <c r="G12" s="177">
        <f>IF(ISERROR(((G57+G65)/(G55+G63))*60),"NM",((G57+G65)/(G55+G63))*60)</f>
        <v>3.9413034302398948</v>
      </c>
      <c r="H12" s="37"/>
      <c r="I12" s="37"/>
      <c r="J12" s="50"/>
      <c r="K12" s="177">
        <f>IF(ISERROR(((K57+K65)/(K55+K63))*60),"NM",((K57+K65)/(K55+K63))*60)</f>
        <v>3.112325450753108</v>
      </c>
      <c r="L12" s="37"/>
      <c r="M12" s="37"/>
      <c r="N12" s="50"/>
      <c r="O12" s="177">
        <f>IF(ISERROR(((O57+O65)/(O55+O63))*60),"NM",((O57+O65)/(O55+O63))*60)</f>
        <v>2.3968278144756243</v>
      </c>
      <c r="P12" s="37"/>
      <c r="Q12" s="37"/>
      <c r="R12" s="50"/>
      <c r="S12" s="177">
        <f>IF(ISERROR(((S57+S65)/(S55+S63))*60),"NM",((S57+S65)/(S55+S63))*60)</f>
        <v>3.8204662586304878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0.37925168419522126</v>
      </c>
      <c r="D13" s="178">
        <f>IF(ISERROR(D29/D19),"NM",D29/D19)</f>
        <v>0.25</v>
      </c>
      <c r="E13" s="55">
        <f>IF(ISERROR(C13-D13),"NM",C13-D13)</f>
        <v>0.12925168419522126</v>
      </c>
      <c r="F13" s="49"/>
      <c r="G13" s="178">
        <f>IF(ISERROR(G29/G19),"NM",G29/G19)</f>
        <v>0.33842894797837419</v>
      </c>
      <c r="H13" s="178">
        <f>IF(ISERROR(H29/H19),"NM",H29/H19)</f>
        <v>0.25</v>
      </c>
      <c r="I13" s="55">
        <f>IF(ISERROR(G13-H13),"NM",G13-H13)</f>
        <v>8.8428947978374195E-2</v>
      </c>
      <c r="J13" s="49"/>
      <c r="K13" s="39">
        <f>IF(ISERROR(K29/K19),"NM",K29/K19)</f>
        <v>0.38688962896946388</v>
      </c>
      <c r="L13" s="178">
        <f>IF(ISERROR(L29/L19),"NM",L29/L19)</f>
        <v>0.24999999999999989</v>
      </c>
      <c r="M13" s="55">
        <f>IF(ISERROR(K13-L13),"NM",K13-L13)</f>
        <v>0.13688962896946399</v>
      </c>
      <c r="N13" s="38"/>
      <c r="O13" s="39">
        <f>IF(ISERROR(O29/O19),"NM",O29/O19)</f>
        <v>0.39851396827840008</v>
      </c>
      <c r="P13" s="178">
        <f>IF(ISERROR(P29/P19),"NM",P29/P19)</f>
        <v>0.25</v>
      </c>
      <c r="Q13" s="55">
        <f>IF(ISERROR(O13-P13),"NM",O13-P13)</f>
        <v>0.14851396827840008</v>
      </c>
      <c r="R13" s="38"/>
      <c r="S13" s="39">
        <f>IF(ISERROR(S29/S19),"NM",S29/S19)</f>
        <v>0.44239891101806517</v>
      </c>
      <c r="T13" s="178">
        <f>IF(ISERROR(T29/T19),"NM",T29/T19)</f>
        <v>0.25</v>
      </c>
      <c r="U13" s="55">
        <f>IF(ISERROR(S13-T13),"NM",S13-T13)</f>
        <v>0.19239891101806517</v>
      </c>
      <c r="V13" s="38"/>
      <c r="W13" s="39" t="str">
        <f>IF(ISERROR(W29/W19),"NM",W29/W19)</f>
        <v>NM</v>
      </c>
      <c r="X13" s="178">
        <f>IF(ISERROR(X29/X19),"NM",X29/X19)</f>
        <v>0.25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0.25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0.24999999999999989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0.25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0.25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0.25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0.25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169225</v>
      </c>
      <c r="D18" s="110">
        <v>100000</v>
      </c>
      <c r="E18" s="93">
        <f>C18-D18</f>
        <v>69225</v>
      </c>
      <c r="F18" s="47"/>
      <c r="G18" s="110">
        <v>151484</v>
      </c>
      <c r="H18" s="110">
        <v>125000</v>
      </c>
      <c r="I18" s="93">
        <f>G18-H18</f>
        <v>26484</v>
      </c>
      <c r="J18" s="47"/>
      <c r="K18" s="110">
        <v>177550</v>
      </c>
      <c r="L18" s="110">
        <v>150000</v>
      </c>
      <c r="M18" s="93">
        <f>K18-L18</f>
        <v>27550</v>
      </c>
      <c r="N18" s="47"/>
      <c r="O18" s="110">
        <v>227151</v>
      </c>
      <c r="P18" s="110">
        <v>200000</v>
      </c>
      <c r="Q18" s="93">
        <f>O18-P18</f>
        <v>27151</v>
      </c>
      <c r="R18" s="47"/>
      <c r="S18" s="110">
        <v>321013</v>
      </c>
      <c r="T18" s="110">
        <v>250000</v>
      </c>
      <c r="U18" s="93">
        <f>S18-T18</f>
        <v>71013</v>
      </c>
      <c r="V18" s="47"/>
      <c r="W18" s="110"/>
      <c r="X18" s="110">
        <v>250000</v>
      </c>
      <c r="Y18" s="93">
        <f>W18-X18</f>
        <v>-250000</v>
      </c>
      <c r="Z18" s="47"/>
      <c r="AA18" s="110"/>
      <c r="AB18" s="110">
        <v>300000</v>
      </c>
      <c r="AC18" s="93">
        <f>AA18-AB18</f>
        <v>-300000</v>
      </c>
      <c r="AD18" s="47"/>
      <c r="AE18" s="110"/>
      <c r="AF18" s="110">
        <v>300000</v>
      </c>
      <c r="AG18" s="93">
        <f>AE18-AF18</f>
        <v>-300000</v>
      </c>
      <c r="AH18" s="47"/>
      <c r="AI18" s="110"/>
      <c r="AJ18" s="110">
        <v>350000</v>
      </c>
      <c r="AK18" s="93">
        <f>AI18-AJ18</f>
        <v>-350000</v>
      </c>
      <c r="AL18" s="47"/>
      <c r="AM18" s="110"/>
      <c r="AN18" s="110">
        <v>400000</v>
      </c>
      <c r="AO18" s="93">
        <f>AM18-AN18</f>
        <v>-400000</v>
      </c>
      <c r="AP18" s="47"/>
      <c r="AQ18" s="110"/>
      <c r="AR18" s="110">
        <v>450000</v>
      </c>
      <c r="AS18" s="93">
        <f>AQ18-AR18</f>
        <v>-450000</v>
      </c>
      <c r="AT18" s="47"/>
      <c r="AU18" s="113"/>
      <c r="AV18" s="113">
        <v>500000</v>
      </c>
      <c r="AW18" s="93">
        <f>AU18-AV18</f>
        <v>-500000</v>
      </c>
    </row>
    <row r="19" spans="2:49">
      <c r="B19" s="112" t="s">
        <v>158</v>
      </c>
      <c r="C19" s="113">
        <v>206330</v>
      </c>
      <c r="D19" s="113">
        <v>122141.90761050183</v>
      </c>
      <c r="E19" s="93">
        <f>C19-D19</f>
        <v>84188.092389498168</v>
      </c>
      <c r="F19" s="47"/>
      <c r="G19" s="113">
        <v>185519</v>
      </c>
      <c r="H19" s="113">
        <v>152769.14272707573</v>
      </c>
      <c r="I19" s="93">
        <f>G19-H19</f>
        <v>32749.857272924273</v>
      </c>
      <c r="J19" s="47"/>
      <c r="K19" s="113">
        <v>213190</v>
      </c>
      <c r="L19" s="113">
        <v>183432.17465952976</v>
      </c>
      <c r="M19" s="93">
        <f>K19-L19</f>
        <v>29757.825340470241</v>
      </c>
      <c r="N19" s="47"/>
      <c r="O19" s="113">
        <v>285862</v>
      </c>
      <c r="P19" s="113">
        <v>244720.62028941285</v>
      </c>
      <c r="Q19" s="93">
        <f>O19-P19</f>
        <v>41141.379710587149</v>
      </c>
      <c r="R19" s="47"/>
      <c r="S19" s="113">
        <v>406251</v>
      </c>
      <c r="T19" s="113">
        <v>306079.72830833582</v>
      </c>
      <c r="U19" s="93">
        <f>S19-T19</f>
        <v>100171.27169166418</v>
      </c>
      <c r="V19" s="47"/>
      <c r="W19" s="113"/>
      <c r="X19" s="113">
        <v>306257.14066619589</v>
      </c>
      <c r="Y19" s="93">
        <f>W19-X19</f>
        <v>-306257.14066619589</v>
      </c>
      <c r="Z19" s="47"/>
      <c r="AA19" s="113"/>
      <c r="AB19" s="113">
        <v>367719.6045808791</v>
      </c>
      <c r="AC19" s="93">
        <f>AA19-AB19</f>
        <v>-367719.6045808791</v>
      </c>
      <c r="AD19" s="47"/>
      <c r="AE19" s="113"/>
      <c r="AF19" s="113">
        <v>367928.77175085072</v>
      </c>
      <c r="AG19" s="93">
        <f>AE19-AF19</f>
        <v>-367928.77175085072</v>
      </c>
      <c r="AH19" s="47"/>
      <c r="AI19" s="113"/>
      <c r="AJ19" s="113">
        <v>429492.07176833018</v>
      </c>
      <c r="AK19" s="93">
        <f>AI19-AJ19</f>
        <v>-429492.07176833018</v>
      </c>
      <c r="AL19" s="47"/>
      <c r="AM19" s="113"/>
      <c r="AN19" s="113">
        <v>491121.95445728657</v>
      </c>
      <c r="AO19" s="93">
        <f>AM19-AN19</f>
        <v>-491121.95445728657</v>
      </c>
      <c r="AP19" s="47"/>
      <c r="AQ19" s="113"/>
      <c r="AR19" s="113">
        <v>552817.46617811557</v>
      </c>
      <c r="AS19" s="93">
        <f>AQ19-AR19</f>
        <v>-552817.46617811557</v>
      </c>
      <c r="AT19" s="47"/>
      <c r="AU19" s="113"/>
      <c r="AV19" s="113">
        <v>614577.64967474376</v>
      </c>
      <c r="AW19" s="93">
        <f>AU19-AV19</f>
        <v>-614577.64967474376</v>
      </c>
    </row>
    <row r="20" spans="2:49">
      <c r="B20" s="112" t="s">
        <v>159</v>
      </c>
      <c r="C20" s="113">
        <v>288649</v>
      </c>
      <c r="D20" s="113">
        <v>176880.88512241057</v>
      </c>
      <c r="E20" s="93">
        <f>C20-D20</f>
        <v>111768.11487758943</v>
      </c>
      <c r="F20" s="47"/>
      <c r="G20" s="113">
        <v>257096</v>
      </c>
      <c r="H20" s="113">
        <v>221232.77276323608</v>
      </c>
      <c r="I20" s="93">
        <f>G20-H20</f>
        <v>35863.227236763923</v>
      </c>
      <c r="J20" s="47"/>
      <c r="K20" s="113">
        <v>290011</v>
      </c>
      <c r="L20" s="113">
        <v>265636.02623009164</v>
      </c>
      <c r="M20" s="93">
        <f>K20-L20</f>
        <v>24374.973769908363</v>
      </c>
      <c r="N20" s="47"/>
      <c r="O20" s="113">
        <v>379595</v>
      </c>
      <c r="P20" s="113">
        <v>354388.55373383564</v>
      </c>
      <c r="Q20" s="93">
        <f>O20-P20</f>
        <v>25206.446266164363</v>
      </c>
      <c r="R20" s="47"/>
      <c r="S20" s="113">
        <v>523974</v>
      </c>
      <c r="T20" s="113">
        <v>443242.47662409808</v>
      </c>
      <c r="U20" s="93">
        <f>S20-T20</f>
        <v>80731.523375901917</v>
      </c>
      <c r="V20" s="47"/>
      <c r="W20" s="113"/>
      <c r="X20" s="113">
        <v>443497.05044820404</v>
      </c>
      <c r="Y20" s="93">
        <f>W20-X20</f>
        <v>-443497.05044820404</v>
      </c>
      <c r="Z20" s="47"/>
      <c r="AA20" s="113"/>
      <c r="AB20" s="113">
        <v>532499.28152818314</v>
      </c>
      <c r="AC20" s="93">
        <f>AA20-AB20</f>
        <v>-532499.28152818314</v>
      </c>
      <c r="AD20" s="47"/>
      <c r="AE20" s="113"/>
      <c r="AF20" s="113">
        <v>532799.42119702802</v>
      </c>
      <c r="AG20" s="93">
        <f>AE20-AF20</f>
        <v>-532799.42119702802</v>
      </c>
      <c r="AH20" s="47"/>
      <c r="AI20" s="113"/>
      <c r="AJ20" s="113">
        <v>621946.34474717325</v>
      </c>
      <c r="AK20" s="93">
        <f>AI20-AJ20</f>
        <v>-621946.34474717325</v>
      </c>
      <c r="AL20" s="47"/>
      <c r="AM20" s="113"/>
      <c r="AN20" s="113">
        <v>711188.80958599492</v>
      </c>
      <c r="AO20" s="93">
        <f>AM20-AN20</f>
        <v>-711188.80958599492</v>
      </c>
      <c r="AP20" s="47"/>
      <c r="AQ20" s="113"/>
      <c r="AR20" s="113">
        <v>800525.44731005281</v>
      </c>
      <c r="AS20" s="93">
        <f>AQ20-AR20</f>
        <v>-800525.44731005281</v>
      </c>
      <c r="AT20" s="47"/>
      <c r="AU20" s="113"/>
      <c r="AV20" s="113">
        <v>889954.88432653551</v>
      </c>
      <c r="AW20" s="93">
        <f>AU20-AV20</f>
        <v>-889954.88432653551</v>
      </c>
    </row>
    <row r="21" spans="2:49">
      <c r="B21" s="115" t="s">
        <v>163</v>
      </c>
      <c r="C21" s="167">
        <v>2.2000000000000002</v>
      </c>
      <c r="D21" s="58"/>
      <c r="E21" s="74"/>
      <c r="F21" s="46"/>
      <c r="G21" s="167">
        <v>1.59</v>
      </c>
      <c r="H21" s="58"/>
      <c r="I21" s="74"/>
      <c r="J21" s="46"/>
      <c r="K21" s="167">
        <v>1.35</v>
      </c>
      <c r="L21" s="35"/>
      <c r="M21" s="74"/>
      <c r="N21" s="47"/>
      <c r="O21" s="167">
        <v>1.34</v>
      </c>
      <c r="P21" s="35"/>
      <c r="Q21" s="74"/>
      <c r="R21" s="47"/>
      <c r="S21" s="167">
        <v>1.36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72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128079</v>
      </c>
      <c r="D24" s="110">
        <v>91606.430707876367</v>
      </c>
      <c r="E24" s="93">
        <f>C24-D24</f>
        <v>36472.569292123633</v>
      </c>
      <c r="F24" s="47"/>
      <c r="G24" s="110">
        <f>G19-G29</f>
        <v>122734</v>
      </c>
      <c r="H24" s="110">
        <v>114576.8570453068</v>
      </c>
      <c r="I24" s="93">
        <f>G24-H24</f>
        <v>8157.142954693205</v>
      </c>
      <c r="J24" s="47"/>
      <c r="K24" s="110">
        <f>K19-K29</f>
        <v>130709</v>
      </c>
      <c r="L24" s="110">
        <v>137574.13099464733</v>
      </c>
      <c r="M24" s="93">
        <f>K24-L24</f>
        <v>-6865.1309946473339</v>
      </c>
      <c r="N24" s="47"/>
      <c r="O24" s="110">
        <f>O19-O29</f>
        <v>171942</v>
      </c>
      <c r="P24" s="110">
        <v>183540.46521705965</v>
      </c>
      <c r="Q24" s="93">
        <f>O24-P24</f>
        <v>-11598.465217059653</v>
      </c>
      <c r="R24" s="47"/>
      <c r="S24" s="110">
        <f>S19-S29</f>
        <v>226526</v>
      </c>
      <c r="T24" s="110">
        <v>229559.79623125185</v>
      </c>
      <c r="U24" s="93">
        <f>S24-T24</f>
        <v>-3033.7962312518503</v>
      </c>
      <c r="V24" s="47"/>
      <c r="W24" s="110"/>
      <c r="X24" s="110">
        <v>229692.85549964692</v>
      </c>
      <c r="Y24" s="93">
        <f>W24-X24</f>
        <v>-229692.85549964692</v>
      </c>
      <c r="Z24" s="47"/>
      <c r="AA24" s="110"/>
      <c r="AB24" s="110">
        <v>275789.70343565929</v>
      </c>
      <c r="AC24" s="93">
        <f>AA24-AB24</f>
        <v>-275789.70343565929</v>
      </c>
      <c r="AD24" s="47"/>
      <c r="AE24" s="110"/>
      <c r="AF24" s="110">
        <v>275946.57881313807</v>
      </c>
      <c r="AG24" s="93">
        <f>AE24-AF24</f>
        <v>-275946.57881313807</v>
      </c>
      <c r="AH24" s="47"/>
      <c r="AI24" s="110"/>
      <c r="AJ24" s="110">
        <v>322119.05382624763</v>
      </c>
      <c r="AK24" s="93">
        <f>AI24-AJ24</f>
        <v>-322119.05382624763</v>
      </c>
      <c r="AL24" s="47"/>
      <c r="AM24" s="110"/>
      <c r="AN24" s="110">
        <v>368341.46584296494</v>
      </c>
      <c r="AO24" s="93">
        <f>AM24-AN24</f>
        <v>-368341.46584296494</v>
      </c>
      <c r="AP24" s="47"/>
      <c r="AQ24" s="110"/>
      <c r="AR24" s="110">
        <v>414613.09963358671</v>
      </c>
      <c r="AS24" s="93">
        <f>AQ24-AR24</f>
        <v>-414613.09963358671</v>
      </c>
      <c r="AT24" s="47"/>
      <c r="AU24" s="113"/>
      <c r="AV24" s="113">
        <v>460933.23725605779</v>
      </c>
      <c r="AW24" s="93">
        <f>AU24-AV24</f>
        <v>-460933.23725605779</v>
      </c>
    </row>
    <row r="25" spans="2:49">
      <c r="B25" s="112" t="s">
        <v>162</v>
      </c>
      <c r="C25" s="113">
        <f>C20-C30</f>
        <v>193047</v>
      </c>
      <c r="D25" s="113">
        <v>132660.66384180792</v>
      </c>
      <c r="E25" s="93">
        <f>C25-D25</f>
        <v>60386.336158192076</v>
      </c>
      <c r="F25" s="47"/>
      <c r="G25" s="113">
        <f>G20-G30</f>
        <v>181746</v>
      </c>
      <c r="H25" s="113">
        <v>165924.57957242706</v>
      </c>
      <c r="I25" s="93">
        <f>G25-H25</f>
        <v>15821.420427572943</v>
      </c>
      <c r="J25" s="47"/>
      <c r="K25" s="113">
        <f>K20-K30</f>
        <v>189941</v>
      </c>
      <c r="L25" s="113">
        <v>199227.01967256874</v>
      </c>
      <c r="M25" s="93">
        <f>K25-L25</f>
        <v>-9286.019672568742</v>
      </c>
      <c r="N25" s="47"/>
      <c r="O25" s="113">
        <f>O20-O30</f>
        <v>239771</v>
      </c>
      <c r="P25" s="113">
        <v>265791.41530037671</v>
      </c>
      <c r="Q25" s="93">
        <f>O25-P25</f>
        <v>-26020.415300376713</v>
      </c>
      <c r="R25" s="47"/>
      <c r="S25" s="113">
        <f>S20-S30</f>
        <v>307356</v>
      </c>
      <c r="T25" s="113">
        <v>332431.85746807355</v>
      </c>
      <c r="U25" s="93">
        <f>S25-T25</f>
        <v>-25075.857468073547</v>
      </c>
      <c r="V25" s="47"/>
      <c r="W25" s="113"/>
      <c r="X25" s="113">
        <v>332622.78783615306</v>
      </c>
      <c r="Y25" s="93">
        <f>W25-X25</f>
        <v>-332622.78783615306</v>
      </c>
      <c r="Z25" s="47"/>
      <c r="AA25" s="113"/>
      <c r="AB25" s="113">
        <v>399374.46114613733</v>
      </c>
      <c r="AC25" s="93">
        <f>AA25-AB25</f>
        <v>-399374.46114613733</v>
      </c>
      <c r="AD25" s="47"/>
      <c r="AE25" s="113"/>
      <c r="AF25" s="113">
        <v>399599.56589777104</v>
      </c>
      <c r="AG25" s="93">
        <f>AE25-AF25</f>
        <v>-399599.56589777104</v>
      </c>
      <c r="AH25" s="47"/>
      <c r="AI25" s="113"/>
      <c r="AJ25" s="113">
        <v>466459.75856037997</v>
      </c>
      <c r="AK25" s="93">
        <f>AI25-AJ25</f>
        <v>-466459.75856037997</v>
      </c>
      <c r="AL25" s="47"/>
      <c r="AM25" s="113"/>
      <c r="AN25" s="113">
        <v>533391.60718949616</v>
      </c>
      <c r="AO25" s="93">
        <f>AM25-AN25</f>
        <v>-533391.60718949616</v>
      </c>
      <c r="AP25" s="47"/>
      <c r="AQ25" s="113"/>
      <c r="AR25" s="113">
        <v>600394.08548253961</v>
      </c>
      <c r="AS25" s="93">
        <f>AQ25-AR25</f>
        <v>-600394.08548253961</v>
      </c>
      <c r="AT25" s="47"/>
      <c r="AU25" s="113"/>
      <c r="AV25" s="113">
        <v>667466.16324490157</v>
      </c>
      <c r="AW25" s="93">
        <f>AU25-AV25</f>
        <v>-667466.16324490157</v>
      </c>
    </row>
    <row r="26" spans="2:49">
      <c r="B26" s="115" t="s">
        <v>163</v>
      </c>
      <c r="C26" s="168">
        <v>2.5499999999999998</v>
      </c>
      <c r="D26" s="56"/>
      <c r="E26" s="71"/>
      <c r="F26" s="45"/>
      <c r="G26" s="167">
        <v>2.2200000000000002</v>
      </c>
      <c r="H26" s="34"/>
      <c r="I26" s="71"/>
      <c r="J26" s="41"/>
      <c r="K26" s="116">
        <v>2</v>
      </c>
      <c r="L26" s="34"/>
      <c r="M26" s="71"/>
      <c r="N26" s="41"/>
      <c r="O26" s="116">
        <v>2</v>
      </c>
      <c r="P26" s="34"/>
      <c r="Q26" s="71"/>
      <c r="R26" s="41"/>
      <c r="S26" s="116">
        <v>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78251</v>
      </c>
      <c r="D29" s="110">
        <v>30535.476902625458</v>
      </c>
      <c r="E29" s="93">
        <f>C29-D29</f>
        <v>47715.523097374542</v>
      </c>
      <c r="F29" s="47"/>
      <c r="G29" s="110">
        <v>62785</v>
      </c>
      <c r="H29" s="110">
        <v>38192.285681768932</v>
      </c>
      <c r="I29" s="93">
        <f>G29-H29</f>
        <v>24592.714318231068</v>
      </c>
      <c r="J29" s="47"/>
      <c r="K29" s="110">
        <v>82481</v>
      </c>
      <c r="L29" s="110">
        <v>45858.043664882418</v>
      </c>
      <c r="M29" s="93">
        <f>K29-L29</f>
        <v>36622.956335117582</v>
      </c>
      <c r="N29" s="47"/>
      <c r="O29" s="110">
        <v>113920</v>
      </c>
      <c r="P29" s="110">
        <v>61180.155072353213</v>
      </c>
      <c r="Q29" s="93">
        <f>O29-P29</f>
        <v>52739.844927646787</v>
      </c>
      <c r="R29" s="47"/>
      <c r="S29" s="110">
        <v>179725</v>
      </c>
      <c r="T29" s="110">
        <v>76519.932077083955</v>
      </c>
      <c r="U29" s="93">
        <f>S29-T29</f>
        <v>103205.06792291605</v>
      </c>
      <c r="V29" s="47"/>
      <c r="W29" s="110"/>
      <c r="X29" s="110">
        <v>76564.285166548972</v>
      </c>
      <c r="Y29" s="93">
        <f>W29-X29</f>
        <v>-76564.285166548972</v>
      </c>
      <c r="Z29" s="47"/>
      <c r="AA29" s="110"/>
      <c r="AB29" s="110">
        <v>91929.901145219774</v>
      </c>
      <c r="AC29" s="93">
        <f>AA29-AB29</f>
        <v>-91929.901145219774</v>
      </c>
      <c r="AD29" s="47"/>
      <c r="AE29" s="110"/>
      <c r="AF29" s="110">
        <v>91982.192937712636</v>
      </c>
      <c r="AG29" s="93">
        <f>AE29-AF29</f>
        <v>-91982.192937712636</v>
      </c>
      <c r="AH29" s="47"/>
      <c r="AI29" s="110"/>
      <c r="AJ29" s="110">
        <v>107373.01794208254</v>
      </c>
      <c r="AK29" s="93">
        <f>AI29-AJ29</f>
        <v>-107373.01794208254</v>
      </c>
      <c r="AL29" s="47"/>
      <c r="AM29" s="110"/>
      <c r="AN29" s="110">
        <v>122780.48861432164</v>
      </c>
      <c r="AO29" s="93">
        <f>AM29-AN29</f>
        <v>-122780.48861432164</v>
      </c>
      <c r="AP29" s="47"/>
      <c r="AQ29" s="110"/>
      <c r="AR29" s="110">
        <v>138204.36654452889</v>
      </c>
      <c r="AS29" s="93">
        <f>AQ29-AR29</f>
        <v>-138204.36654452889</v>
      </c>
      <c r="AT29" s="47"/>
      <c r="AU29" s="113"/>
      <c r="AV29" s="113">
        <v>153644.41241868594</v>
      </c>
      <c r="AW29" s="93">
        <f>AU29-AV29</f>
        <v>-153644.41241868594</v>
      </c>
    </row>
    <row r="30" spans="2:49">
      <c r="B30" s="112" t="s">
        <v>162</v>
      </c>
      <c r="C30" s="113">
        <v>95602</v>
      </c>
      <c r="D30" s="47">
        <v>44220.221280602644</v>
      </c>
      <c r="E30" s="93">
        <f>C30-D30</f>
        <v>51381.778719397356</v>
      </c>
      <c r="F30" s="47"/>
      <c r="G30" s="113">
        <v>75350</v>
      </c>
      <c r="H30" s="113">
        <v>55308.193190809019</v>
      </c>
      <c r="I30" s="93">
        <f>G30-H30</f>
        <v>20041.806809190981</v>
      </c>
      <c r="J30" s="47"/>
      <c r="K30" s="113">
        <v>100070</v>
      </c>
      <c r="L30" s="113">
        <v>66409.00655752288</v>
      </c>
      <c r="M30" s="93">
        <f>K30-L30</f>
        <v>33660.99344247712</v>
      </c>
      <c r="N30" s="47"/>
      <c r="O30" s="113">
        <v>139824</v>
      </c>
      <c r="P30" s="113">
        <v>88597.138433458909</v>
      </c>
      <c r="Q30" s="93">
        <f>O30-P30</f>
        <v>51226.861566541091</v>
      </c>
      <c r="R30" s="47"/>
      <c r="S30" s="113">
        <v>216618</v>
      </c>
      <c r="T30" s="113">
        <v>110810.61915602452</v>
      </c>
      <c r="U30" s="93">
        <f>S30-T30</f>
        <v>105807.38084397548</v>
      </c>
      <c r="V30" s="47"/>
      <c r="W30" s="113"/>
      <c r="X30" s="113">
        <v>110874.26261205101</v>
      </c>
      <c r="Y30" s="93">
        <f>W30-X30</f>
        <v>-110874.26261205101</v>
      </c>
      <c r="Z30" s="47"/>
      <c r="AA30" s="113"/>
      <c r="AB30" s="113">
        <v>133124.82038204579</v>
      </c>
      <c r="AC30" s="93">
        <f>AA30-AB30</f>
        <v>-133124.82038204579</v>
      </c>
      <c r="AD30" s="47"/>
      <c r="AE30" s="113"/>
      <c r="AF30" s="113">
        <v>133199.85529925695</v>
      </c>
      <c r="AG30" s="93">
        <f>AE30-AF30</f>
        <v>-133199.85529925695</v>
      </c>
      <c r="AH30" s="47"/>
      <c r="AI30" s="113"/>
      <c r="AJ30" s="113">
        <v>155486.58618679331</v>
      </c>
      <c r="AK30" s="93">
        <f>AI30-AJ30</f>
        <v>-155486.58618679331</v>
      </c>
      <c r="AL30" s="47"/>
      <c r="AM30" s="113"/>
      <c r="AN30" s="113">
        <v>177797.20239649876</v>
      </c>
      <c r="AO30" s="93">
        <f>AM30-AN30</f>
        <v>-177797.20239649876</v>
      </c>
      <c r="AP30" s="47"/>
      <c r="AQ30" s="113"/>
      <c r="AR30" s="113">
        <v>200131.36182751317</v>
      </c>
      <c r="AS30" s="93">
        <f>AQ30-AR30</f>
        <v>-200131.36182751317</v>
      </c>
      <c r="AT30" s="47"/>
      <c r="AU30" s="113"/>
      <c r="AV30" s="113">
        <v>222488.72108163388</v>
      </c>
      <c r="AW30" s="93">
        <f>AU30-AV30</f>
        <v>-222488.72108163388</v>
      </c>
    </row>
    <row r="31" spans="2:49">
      <c r="B31" s="115" t="s">
        <v>163</v>
      </c>
      <c r="C31" s="168">
        <v>1.19</v>
      </c>
      <c r="D31" s="56"/>
      <c r="E31" s="71"/>
      <c r="F31" s="45"/>
      <c r="G31" s="167">
        <v>1.19</v>
      </c>
      <c r="H31" s="58"/>
      <c r="I31" s="71"/>
      <c r="J31" s="46"/>
      <c r="K31" s="116">
        <v>0.56000000000000005</v>
      </c>
      <c r="L31" s="34"/>
      <c r="M31" s="71"/>
      <c r="N31" s="41"/>
      <c r="O31" s="116">
        <v>0.56999999999999995</v>
      </c>
      <c r="P31" s="34"/>
      <c r="Q31" s="71"/>
      <c r="R31" s="41"/>
      <c r="S31" s="116">
        <v>1.0900000000000001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0.83689999999999998</v>
      </c>
      <c r="D34" s="33"/>
      <c r="E34" s="63"/>
      <c r="F34" s="123"/>
      <c r="G34" s="121">
        <v>0.84419999999999995</v>
      </c>
      <c r="H34" s="33"/>
      <c r="I34" s="63"/>
      <c r="J34" s="123"/>
      <c r="K34" s="121">
        <v>0.84589999999999999</v>
      </c>
      <c r="L34" s="33"/>
      <c r="M34" s="63"/>
      <c r="N34" s="123"/>
      <c r="O34" s="121">
        <v>0.8528</v>
      </c>
      <c r="P34" s="33"/>
      <c r="Q34" s="63"/>
      <c r="R34" s="123"/>
      <c r="S34" s="121">
        <v>0.86119999999999997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0.75509999999999999</v>
      </c>
      <c r="D35" s="54"/>
      <c r="E35" s="69"/>
      <c r="F35" s="123"/>
      <c r="G35" s="123">
        <v>0.72960000000000003</v>
      </c>
      <c r="H35" s="54"/>
      <c r="I35" s="69"/>
      <c r="J35" s="123"/>
      <c r="K35" s="124">
        <v>0.73599999999999999</v>
      </c>
      <c r="L35" s="54"/>
      <c r="M35" s="69"/>
      <c r="N35" s="123"/>
      <c r="O35" s="124">
        <v>0.70209999999999995</v>
      </c>
      <c r="P35" s="54"/>
      <c r="Q35" s="69"/>
      <c r="R35" s="123"/>
      <c r="S35" s="124">
        <v>0.69679999999999997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0.24490000000000001</v>
      </c>
      <c r="D36" s="54"/>
      <c r="E36" s="69"/>
      <c r="F36" s="123"/>
      <c r="G36" s="124">
        <f>1-G35</f>
        <v>0.27039999999999997</v>
      </c>
      <c r="H36" s="54"/>
      <c r="I36" s="69"/>
      <c r="J36" s="123"/>
      <c r="K36" s="124">
        <f>1-K35</f>
        <v>0.26400000000000001</v>
      </c>
      <c r="L36" s="54"/>
      <c r="M36" s="69"/>
      <c r="N36" s="123"/>
      <c r="O36" s="124">
        <f>1-O35</f>
        <v>0.29790000000000005</v>
      </c>
      <c r="P36" s="54"/>
      <c r="Q36" s="69"/>
      <c r="R36" s="123"/>
      <c r="S36" s="124">
        <f>1-S35</f>
        <v>0.30320000000000003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f>5575/C19</f>
        <v>2.7019822614258712E-2</v>
      </c>
      <c r="D37" s="54"/>
      <c r="E37" s="69"/>
      <c r="F37" s="123"/>
      <c r="G37" s="124">
        <f>5575/G19</f>
        <v>3.0050830373169326E-2</v>
      </c>
      <c r="H37" s="54"/>
      <c r="I37" s="69"/>
      <c r="J37" s="123"/>
      <c r="K37" s="124">
        <v>2.5499999999999998E-2</v>
      </c>
      <c r="L37" s="54"/>
      <c r="M37" s="69"/>
      <c r="N37" s="123"/>
      <c r="O37" s="124">
        <v>0.02</v>
      </c>
      <c r="P37" s="54"/>
      <c r="Q37" s="69"/>
      <c r="R37" s="123"/>
      <c r="S37" s="124">
        <v>2.1999999999999999E-2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0.88839999999999997</v>
      </c>
      <c r="D38" s="54"/>
      <c r="E38" s="69"/>
      <c r="F38" s="123"/>
      <c r="G38" s="124">
        <f>1-G39</f>
        <v>0.8896770681170123</v>
      </c>
      <c r="H38" s="54"/>
      <c r="I38" s="69"/>
      <c r="J38" s="123"/>
      <c r="K38" s="124">
        <f>1-K39</f>
        <v>0.89690000000000003</v>
      </c>
      <c r="L38" s="54"/>
      <c r="M38" s="69"/>
      <c r="N38" s="123"/>
      <c r="O38" s="124">
        <f>1-O39</f>
        <v>0.9</v>
      </c>
      <c r="P38" s="54"/>
      <c r="Q38" s="69"/>
      <c r="R38" s="123"/>
      <c r="S38" s="124">
        <f>1-S39</f>
        <v>0.91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0.1116</v>
      </c>
      <c r="D39" s="32"/>
      <c r="E39" s="68"/>
      <c r="F39" s="123"/>
      <c r="G39" s="126">
        <f>20467/G19</f>
        <v>0.11032293188298772</v>
      </c>
      <c r="H39" s="32"/>
      <c r="I39" s="68"/>
      <c r="J39" s="123"/>
      <c r="K39" s="126">
        <v>0.1031</v>
      </c>
      <c r="L39" s="32"/>
      <c r="M39" s="68"/>
      <c r="N39" s="123"/>
      <c r="O39" s="126">
        <v>0.1</v>
      </c>
      <c r="P39" s="32"/>
      <c r="Q39" s="68"/>
      <c r="R39" s="123"/>
      <c r="S39" s="126">
        <v>0.09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0.2404</v>
      </c>
      <c r="D42" s="33"/>
      <c r="E42" s="63"/>
      <c r="F42" s="123"/>
      <c r="G42" s="121">
        <v>0.2611</v>
      </c>
      <c r="H42" s="33"/>
      <c r="I42" s="63"/>
      <c r="J42" s="123"/>
      <c r="K42" s="121">
        <v>0.22739999999999999</v>
      </c>
      <c r="L42" s="33"/>
      <c r="M42" s="63"/>
      <c r="N42" s="123"/>
      <c r="O42" s="121">
        <v>0.25440000000000002</v>
      </c>
      <c r="P42" s="33"/>
      <c r="Q42" s="63"/>
      <c r="R42" s="123"/>
      <c r="S42" s="121">
        <v>0.26229999999999998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0.03</v>
      </c>
      <c r="D43" s="54"/>
      <c r="E43" s="69"/>
      <c r="F43" s="123"/>
      <c r="G43" s="124">
        <v>1.2999999999999999E-3</v>
      </c>
      <c r="H43" s="54"/>
      <c r="I43" s="69"/>
      <c r="J43" s="123"/>
      <c r="K43" s="124">
        <v>2.9999999999999997E-4</v>
      </c>
      <c r="L43" s="54"/>
      <c r="M43" s="69"/>
      <c r="N43" s="123"/>
      <c r="O43" s="124">
        <v>2.4E-2</v>
      </c>
      <c r="P43" s="54"/>
      <c r="Q43" s="69"/>
      <c r="R43" s="123"/>
      <c r="S43" s="124">
        <v>7.0000000000000007E-2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0.115</v>
      </c>
      <c r="D44" s="54"/>
      <c r="E44" s="69"/>
      <c r="F44" s="123"/>
      <c r="G44" s="124">
        <v>0.13</v>
      </c>
      <c r="H44" s="54"/>
      <c r="I44" s="69"/>
      <c r="J44" s="123"/>
      <c r="K44" s="124">
        <v>0.15479999999999999</v>
      </c>
      <c r="L44" s="54"/>
      <c r="M44" s="69"/>
      <c r="N44" s="123"/>
      <c r="O44" s="124">
        <v>0.155</v>
      </c>
      <c r="P44" s="54"/>
      <c r="Q44" s="69"/>
      <c r="R44" s="123"/>
      <c r="S44" s="124">
        <v>0.13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0.5</v>
      </c>
      <c r="D45" s="54"/>
      <c r="E45" s="69"/>
      <c r="F45" s="123"/>
      <c r="G45" s="124">
        <v>0.373</v>
      </c>
      <c r="H45" s="54"/>
      <c r="I45" s="69"/>
      <c r="J45" s="123"/>
      <c r="K45" s="124">
        <v>0.43</v>
      </c>
      <c r="L45" s="54"/>
      <c r="M45" s="69"/>
      <c r="N45" s="123"/>
      <c r="O45" s="124">
        <v>0.38500000000000001</v>
      </c>
      <c r="P45" s="54"/>
      <c r="Q45" s="69"/>
      <c r="R45" s="123"/>
      <c r="S45" s="124">
        <v>0.35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>
        <v>2.8000000000000001E-2</v>
      </c>
      <c r="D46" s="54"/>
      <c r="E46" s="69"/>
      <c r="F46" s="123"/>
      <c r="G46" s="124">
        <v>0.13339999999999999</v>
      </c>
      <c r="H46" s="54"/>
      <c r="I46" s="69"/>
      <c r="J46" s="123"/>
      <c r="K46" s="124">
        <v>8.1900000000000001E-2</v>
      </c>
      <c r="L46" s="54"/>
      <c r="M46" s="69"/>
      <c r="N46" s="123"/>
      <c r="O46" s="124">
        <v>7.4300000000000005E-2</v>
      </c>
      <c r="P46" s="54"/>
      <c r="Q46" s="69"/>
      <c r="R46" s="123"/>
      <c r="S46" s="124">
        <v>0.03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105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0.01</v>
      </c>
      <c r="L47" s="54"/>
      <c r="M47" s="69"/>
      <c r="N47" s="123"/>
      <c r="O47" s="124">
        <v>6.0000000000000001E-3</v>
      </c>
      <c r="P47" s="54"/>
      <c r="Q47" s="69"/>
      <c r="R47" s="123"/>
      <c r="S47" s="124">
        <v>3.0000000000000001E-3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0</v>
      </c>
      <c r="D48" s="54"/>
      <c r="E48" s="69"/>
      <c r="F48" s="123"/>
      <c r="G48" s="124">
        <v>2.2000000000000001E-3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2.3999999999999998E-3</v>
      </c>
      <c r="D49" s="54"/>
      <c r="E49" s="69"/>
      <c r="F49" s="123"/>
      <c r="G49" s="124">
        <v>3.0999999999999999E-3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6.7000000000000002E-3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8.4200000000000053E-2</v>
      </c>
      <c r="D51" s="32"/>
      <c r="E51" s="68"/>
      <c r="F51" s="123"/>
      <c r="G51" s="126">
        <f>1-SUM(G42:G50)</f>
        <v>8.9199999999999946E-2</v>
      </c>
      <c r="H51" s="32"/>
      <c r="I51" s="68"/>
      <c r="J51" s="123"/>
      <c r="K51" s="126">
        <f>1-SUM(K42:K50)</f>
        <v>9.5600000000000018E-2</v>
      </c>
      <c r="L51" s="32"/>
      <c r="M51" s="68"/>
      <c r="N51" s="123"/>
      <c r="O51" s="126">
        <f>1-SUM(O42:O50)</f>
        <v>0.10129999999999995</v>
      </c>
      <c r="P51" s="32"/>
      <c r="Q51" s="68"/>
      <c r="R51" s="123"/>
      <c r="S51" s="126">
        <f>1-SUM(S42:S50)</f>
        <v>0.15469999999999995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58">
        <v>0</v>
      </c>
      <c r="D54" s="110">
        <v>24428.381522100368</v>
      </c>
      <c r="E54" s="93">
        <f>C54-D54</f>
        <v>-24428.381522100368</v>
      </c>
      <c r="F54" s="47"/>
      <c r="G54" s="158">
        <v>0</v>
      </c>
      <c r="H54" s="110">
        <v>30553.828545415152</v>
      </c>
      <c r="I54" s="93">
        <f>G54-H54</f>
        <v>-30553.828545415152</v>
      </c>
      <c r="J54" s="47"/>
      <c r="K54" s="158">
        <v>0</v>
      </c>
      <c r="L54" s="110">
        <v>36686.434931905955</v>
      </c>
      <c r="M54" s="93">
        <f>K54-L54</f>
        <v>-36686.434931905955</v>
      </c>
      <c r="N54" s="47"/>
      <c r="O54" s="158">
        <v>0</v>
      </c>
      <c r="P54" s="110">
        <v>48944.124057882575</v>
      </c>
      <c r="Q54" s="93">
        <f>O54-P54</f>
        <v>-48944.124057882575</v>
      </c>
      <c r="R54" s="47"/>
      <c r="S54" s="158">
        <v>0</v>
      </c>
      <c r="T54" s="110">
        <v>61215.945661667167</v>
      </c>
      <c r="U54" s="93">
        <f>S54-T54</f>
        <v>-61215.945661667167</v>
      </c>
      <c r="V54" s="47"/>
      <c r="W54" s="110"/>
      <c r="X54" s="110">
        <v>61251.428133239184</v>
      </c>
      <c r="Y54" s="93">
        <f>W54-X54</f>
        <v>-61251.428133239184</v>
      </c>
      <c r="Z54" s="47"/>
      <c r="AA54" s="110"/>
      <c r="AB54" s="110">
        <v>73543.920916175819</v>
      </c>
      <c r="AC54" s="93">
        <f>AA54-AB54</f>
        <v>-73543.920916175819</v>
      </c>
      <c r="AD54" s="47"/>
      <c r="AE54" s="110"/>
      <c r="AF54" s="110">
        <v>73585.754350170144</v>
      </c>
      <c r="AG54" s="93">
        <f>AE54-AF54</f>
        <v>-73585.754350170144</v>
      </c>
      <c r="AH54" s="47"/>
      <c r="AI54" s="110"/>
      <c r="AJ54" s="110">
        <v>85898.414353666056</v>
      </c>
      <c r="AK54" s="93">
        <f>AI54-AJ54</f>
        <v>-85898.414353666056</v>
      </c>
      <c r="AL54" s="47"/>
      <c r="AM54" s="110"/>
      <c r="AN54" s="110">
        <v>98224.390891457311</v>
      </c>
      <c r="AO54" s="93">
        <f>AM54-AN54</f>
        <v>-98224.390891457311</v>
      </c>
      <c r="AP54" s="47"/>
      <c r="AQ54" s="110"/>
      <c r="AR54" s="110">
        <v>110563.49323562313</v>
      </c>
      <c r="AS54" s="93">
        <f>AQ54-AR54</f>
        <v>-110563.49323562313</v>
      </c>
      <c r="AT54" s="47"/>
      <c r="AU54" s="113"/>
      <c r="AV54" s="110">
        <v>122915.52993494875</v>
      </c>
      <c r="AW54" s="93">
        <f>AU54-AV54</f>
        <v>-122915.52993494875</v>
      </c>
    </row>
    <row r="55" spans="2:49">
      <c r="B55" s="112" t="s">
        <v>30</v>
      </c>
      <c r="C55" s="161">
        <v>0</v>
      </c>
      <c r="D55" s="57"/>
      <c r="E55" s="53"/>
      <c r="F55" s="47"/>
      <c r="G55" s="161">
        <v>0</v>
      </c>
      <c r="H55" s="57"/>
      <c r="I55" s="53"/>
      <c r="J55" s="47"/>
      <c r="K55" s="161">
        <v>0</v>
      </c>
      <c r="L55" s="57"/>
      <c r="M55" s="53"/>
      <c r="N55" s="47"/>
      <c r="O55" s="161">
        <v>0</v>
      </c>
      <c r="P55" s="57"/>
      <c r="Q55" s="53"/>
      <c r="R55" s="47"/>
      <c r="S55" s="161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61">
        <v>0</v>
      </c>
      <c r="D56" s="57"/>
      <c r="E56" s="53"/>
      <c r="F56" s="47"/>
      <c r="G56" s="161">
        <v>0</v>
      </c>
      <c r="H56" s="57"/>
      <c r="I56" s="53"/>
      <c r="J56" s="47"/>
      <c r="K56" s="161">
        <v>0</v>
      </c>
      <c r="L56" s="57"/>
      <c r="M56" s="53"/>
      <c r="N56" s="47"/>
      <c r="O56" s="161">
        <v>0</v>
      </c>
      <c r="P56" s="57"/>
      <c r="Q56" s="53"/>
      <c r="R56" s="47"/>
      <c r="S56" s="161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161">
        <v>0</v>
      </c>
      <c r="D57" s="53"/>
      <c r="E57" s="53"/>
      <c r="F57" s="43"/>
      <c r="G57" s="161">
        <v>0</v>
      </c>
      <c r="H57" s="53"/>
      <c r="I57" s="53"/>
      <c r="J57" s="43"/>
      <c r="K57" s="161">
        <v>0</v>
      </c>
      <c r="L57" s="57"/>
      <c r="M57" s="53"/>
      <c r="N57" s="47"/>
      <c r="O57" s="161">
        <v>0</v>
      </c>
      <c r="P57" s="57"/>
      <c r="Q57" s="53"/>
      <c r="R57" s="47"/>
      <c r="S57" s="161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59">
        <v>0</v>
      </c>
      <c r="D58" s="32"/>
      <c r="E58" s="68"/>
      <c r="F58" s="123"/>
      <c r="G58" s="159">
        <v>0</v>
      </c>
      <c r="H58" s="32"/>
      <c r="I58" s="68"/>
      <c r="J58" s="123"/>
      <c r="K58" s="159">
        <v>0</v>
      </c>
      <c r="L58" s="32"/>
      <c r="M58" s="68"/>
      <c r="N58" s="123"/>
      <c r="O58" s="159">
        <v>0</v>
      </c>
      <c r="P58" s="32"/>
      <c r="Q58" s="68"/>
      <c r="R58" s="123"/>
      <c r="S58" s="159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13"/>
      <c r="D59" s="134"/>
      <c r="E59" s="66"/>
      <c r="F59" s="42"/>
      <c r="G59" s="113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73"/>
      <c r="D60" s="135"/>
      <c r="E60" s="62"/>
      <c r="F60" s="42"/>
      <c r="G60" s="173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5709</v>
      </c>
      <c r="D61" s="36"/>
      <c r="E61" s="61"/>
      <c r="F61" s="47"/>
      <c r="G61" s="110">
        <v>3651</v>
      </c>
      <c r="H61" s="36"/>
      <c r="I61" s="61"/>
      <c r="J61" s="47"/>
      <c r="K61" s="110">
        <v>3316</v>
      </c>
      <c r="L61" s="36"/>
      <c r="M61" s="61"/>
      <c r="N61" s="47"/>
      <c r="O61" s="110">
        <v>2364</v>
      </c>
      <c r="P61" s="36"/>
      <c r="Q61" s="61"/>
      <c r="R61" s="47"/>
      <c r="S61" s="110">
        <v>2017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1037404</v>
      </c>
      <c r="D62" s="57"/>
      <c r="E62" s="53"/>
      <c r="F62" s="47"/>
      <c r="G62" s="113">
        <v>919236</v>
      </c>
      <c r="H62" s="57"/>
      <c r="I62" s="53"/>
      <c r="J62" s="47"/>
      <c r="K62" s="113">
        <v>1897602</v>
      </c>
      <c r="L62" s="57"/>
      <c r="M62" s="53"/>
      <c r="N62" s="47"/>
      <c r="O62" s="113">
        <v>1903987</v>
      </c>
      <c r="P62" s="57"/>
      <c r="Q62" s="53"/>
      <c r="R62" s="47"/>
      <c r="S62" s="113">
        <v>612364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28274</v>
      </c>
      <c r="D63" s="57"/>
      <c r="E63" s="53"/>
      <c r="F63" s="47"/>
      <c r="G63" s="113">
        <v>10874</v>
      </c>
      <c r="H63" s="57"/>
      <c r="I63" s="53"/>
      <c r="J63" s="47"/>
      <c r="K63" s="113">
        <v>7129</v>
      </c>
      <c r="L63" s="57"/>
      <c r="M63" s="53"/>
      <c r="N63" s="47"/>
      <c r="O63" s="113">
        <v>11021</v>
      </c>
      <c r="P63" s="57"/>
      <c r="Q63" s="53"/>
      <c r="R63" s="47"/>
      <c r="S63" s="113">
        <v>10046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64930.9</v>
      </c>
      <c r="D64" s="57"/>
      <c r="E64" s="53"/>
      <c r="F64" s="47"/>
      <c r="G64" s="113">
        <f>3622988/60</f>
        <v>60383.133333333331</v>
      </c>
      <c r="H64" s="57"/>
      <c r="I64" s="53"/>
      <c r="J64" s="47"/>
      <c r="K64" s="113">
        <f>5905955/60</f>
        <v>98432.583333333328</v>
      </c>
      <c r="L64" s="57"/>
      <c r="M64" s="53"/>
      <c r="N64" s="47"/>
      <c r="O64" s="113">
        <f>4563529/60</f>
        <v>76058.816666666666</v>
      </c>
      <c r="P64" s="57"/>
      <c r="Q64" s="53"/>
      <c r="R64" s="47"/>
      <c r="S64" s="113">
        <f>2339516/60</f>
        <v>38991.933333333334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>
        <f>(C63/C62)*C64</f>
        <v>1769.6637632012214</v>
      </c>
      <c r="D65" s="24"/>
      <c r="E65" s="24"/>
      <c r="F65" s="43"/>
      <c r="G65" s="92">
        <f>(G63/G62)*G64</f>
        <v>714.29555834047699</v>
      </c>
      <c r="H65" s="24"/>
      <c r="I65" s="24"/>
      <c r="J65" s="43"/>
      <c r="K65" s="92">
        <f>(K63/K62)*K64</f>
        <v>369.79613564031513</v>
      </c>
      <c r="L65" s="35"/>
      <c r="M65" s="24"/>
      <c r="N65" s="47"/>
      <c r="O65" s="92">
        <f>(O63/O62)*O64</f>
        <v>440.2573223889309</v>
      </c>
      <c r="P65" s="35"/>
      <c r="Q65" s="24"/>
      <c r="R65" s="47"/>
      <c r="S65" s="92">
        <f>(S63/S62)*S64</f>
        <v>639.67340057003139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05"/>
      <c r="D66" s="136"/>
      <c r="E66" s="64"/>
      <c r="F66" s="42"/>
      <c r="G66" s="105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74"/>
      <c r="D67" s="138"/>
      <c r="E67" s="60"/>
      <c r="F67" s="42"/>
      <c r="G67" s="174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>
        <v>34202</v>
      </c>
      <c r="D68" s="36"/>
      <c r="E68" s="61"/>
      <c r="F68" s="47"/>
      <c r="G68" s="110">
        <v>38156</v>
      </c>
      <c r="H68" s="36"/>
      <c r="I68" s="61"/>
      <c r="J68" s="47"/>
      <c r="K68" s="141">
        <v>46276</v>
      </c>
      <c r="L68" s="36"/>
      <c r="M68" s="61"/>
      <c r="N68" s="47"/>
      <c r="O68" s="110">
        <v>62022</v>
      </c>
      <c r="P68" s="36"/>
      <c r="Q68" s="61"/>
      <c r="R68" s="47"/>
      <c r="S68" s="110">
        <v>73119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>
        <v>17600</v>
      </c>
      <c r="D69" s="35"/>
      <c r="E69" s="24"/>
      <c r="F69" s="47"/>
      <c r="G69" s="131">
        <v>18700</v>
      </c>
      <c r="H69" s="35"/>
      <c r="I69" s="24"/>
      <c r="J69" s="47"/>
      <c r="K69" s="145">
        <v>19600</v>
      </c>
      <c r="L69" s="35"/>
      <c r="M69" s="24"/>
      <c r="N69" s="47"/>
      <c r="O69" s="131">
        <v>20756</v>
      </c>
      <c r="P69" s="35"/>
      <c r="Q69" s="24"/>
      <c r="R69" s="47"/>
      <c r="S69" s="131">
        <v>22150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54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140"/>
      <c r="AV77" s="21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10">
        <v>0</v>
      </c>
      <c r="T78" s="31"/>
      <c r="U78" s="61"/>
      <c r="V78" s="40"/>
      <c r="W78" s="110">
        <v>0</v>
      </c>
      <c r="X78" s="31"/>
      <c r="Y78" s="61"/>
      <c r="Z78" s="40"/>
      <c r="AA78" s="110">
        <v>0</v>
      </c>
      <c r="AB78" s="31"/>
      <c r="AC78" s="61"/>
      <c r="AD78" s="40"/>
      <c r="AE78" s="110">
        <v>0</v>
      </c>
      <c r="AF78" s="31"/>
      <c r="AG78" s="61"/>
      <c r="AH78" s="40"/>
      <c r="AI78" s="110">
        <v>0</v>
      </c>
      <c r="AJ78" s="31"/>
      <c r="AK78" s="61"/>
      <c r="AL78" s="40"/>
      <c r="AM78" s="110">
        <v>0</v>
      </c>
      <c r="AN78" s="31"/>
      <c r="AO78" s="61"/>
      <c r="AP78" s="40"/>
      <c r="AQ78" s="110">
        <v>0</v>
      </c>
      <c r="AR78" s="31"/>
      <c r="AS78" s="61"/>
      <c r="AT78" s="40"/>
      <c r="AU78" s="110">
        <v>0</v>
      </c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13">
        <v>0</v>
      </c>
      <c r="T79" s="52"/>
      <c r="U79" s="53"/>
      <c r="V79" s="40"/>
      <c r="W79" s="113">
        <v>0</v>
      </c>
      <c r="X79" s="52"/>
      <c r="Y79" s="53"/>
      <c r="Z79" s="40"/>
      <c r="AA79" s="113">
        <v>0</v>
      </c>
      <c r="AB79" s="52"/>
      <c r="AC79" s="53"/>
      <c r="AD79" s="40"/>
      <c r="AE79" s="113">
        <v>0</v>
      </c>
      <c r="AF79" s="52"/>
      <c r="AG79" s="53"/>
      <c r="AH79" s="40"/>
      <c r="AI79" s="113">
        <v>0</v>
      </c>
      <c r="AJ79" s="52"/>
      <c r="AK79" s="53"/>
      <c r="AL79" s="40"/>
      <c r="AM79" s="113">
        <v>0</v>
      </c>
      <c r="AN79" s="52"/>
      <c r="AO79" s="53"/>
      <c r="AP79" s="40"/>
      <c r="AQ79" s="113">
        <v>0</v>
      </c>
      <c r="AR79" s="52"/>
      <c r="AS79" s="53"/>
      <c r="AT79" s="40"/>
      <c r="AU79" s="113">
        <v>0</v>
      </c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31">
        <v>0</v>
      </c>
      <c r="T80" s="30"/>
      <c r="U80" s="24"/>
      <c r="V80" s="40"/>
      <c r="W80" s="131">
        <v>0</v>
      </c>
      <c r="X80" s="30"/>
      <c r="Y80" s="24"/>
      <c r="Z80" s="40"/>
      <c r="AA80" s="131">
        <v>0</v>
      </c>
      <c r="AB80" s="30"/>
      <c r="AC80" s="24"/>
      <c r="AD80" s="40"/>
      <c r="AE80" s="131">
        <v>0</v>
      </c>
      <c r="AF80" s="30"/>
      <c r="AG80" s="24"/>
      <c r="AH80" s="40"/>
      <c r="AI80" s="131">
        <v>0</v>
      </c>
      <c r="AJ80" s="30"/>
      <c r="AK80" s="24"/>
      <c r="AL80" s="40"/>
      <c r="AM80" s="131">
        <v>0</v>
      </c>
      <c r="AN80" s="30"/>
      <c r="AO80" s="24"/>
      <c r="AP80" s="40"/>
      <c r="AQ80" s="131">
        <v>0</v>
      </c>
      <c r="AR80" s="30"/>
      <c r="AS80" s="24"/>
      <c r="AT80" s="40"/>
      <c r="AU80" s="131">
        <v>0</v>
      </c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L6" activePane="bottomRight" state="frozenSplit"/>
      <selection activeCell="D54" sqref="D54"/>
      <selection pane="topRight" activeCell="D54" sqref="D54"/>
      <selection pane="bottomLeft" activeCell="D54" sqref="D54"/>
      <selection pane="bottomRight" activeCell="S56" sqref="S56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24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1.3575223197815982</v>
      </c>
      <c r="D8" s="177">
        <f>IF(ISERROR(D19/D18),"NM",D19/D18)</f>
        <v>1.2560891807284111</v>
      </c>
      <c r="E8" s="177">
        <f>IF(ISERROR(C8-D8),"NM",C8-D8)</f>
        <v>0.10143313905318707</v>
      </c>
      <c r="F8" s="50"/>
      <c r="G8" s="177">
        <f>IF(ISERROR(G19/G18),"NM",G19/G18)</f>
        <v>1.3344920633396391</v>
      </c>
      <c r="H8" s="177">
        <f>IF(ISERROR(H19/H18),"NM",H19/H18)</f>
        <v>1.2563374963134062</v>
      </c>
      <c r="I8" s="177">
        <f>IF(ISERROR(G8-H8),"NM",G8-H8)</f>
        <v>7.8154567026232913E-2</v>
      </c>
      <c r="J8" s="50"/>
      <c r="K8" s="177">
        <f>IF(ISERROR(K19/K18),"NM",K19/K18)</f>
        <v>1.3342374995587041</v>
      </c>
      <c r="L8" s="177">
        <f>IF(ISERROR(L19/L18),"NM",L19/L18)</f>
        <v>1.256561250087403</v>
      </c>
      <c r="M8" s="177">
        <f>IF(ISERROR(K8-L8),"NM",K8-L8)</f>
        <v>7.7676249471301029E-2</v>
      </c>
      <c r="N8" s="50"/>
      <c r="O8" s="177">
        <f>IF(ISERROR(O19/O18),"NM",O19/O18)</f>
        <v>1.4871613835732318</v>
      </c>
      <c r="P8" s="177">
        <f>IF(ISERROR(P19/P18),"NM",P19/P18)</f>
        <v>1.2567626186610461</v>
      </c>
      <c r="Q8" s="177">
        <f>IF(ISERROR(O8-P8),"NM",O8-P8)</f>
        <v>0.23039876491218569</v>
      </c>
      <c r="R8" s="50"/>
      <c r="S8" s="177">
        <f>IF(ISERROR(S19/S18),"NM",S19/S18)</f>
        <v>1.4630695501396782</v>
      </c>
      <c r="T8" s="177">
        <f>IF(ISERROR(T19/T18),"NM",T19/T18)</f>
        <v>1.2569436123178201</v>
      </c>
      <c r="U8" s="177">
        <f>IF(ISERROR(S8-T8),"NM",S8-T8)</f>
        <v>0.20612593782185806</v>
      </c>
      <c r="V8" s="50"/>
      <c r="W8" s="177" t="str">
        <f>IF(ISERROR(W19/W18),"NM",W19/W18)</f>
        <v>NM</v>
      </c>
      <c r="X8" s="177">
        <f>IF(ISERROR(X19/X18),"NM",X19/X18)</f>
        <v>1.2571060828948508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1.2572517322975103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1.2573821213705798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1.2574986789040419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1.2576027105991041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1.2576954078603142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1.2577778563133422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1.9112155882273012</v>
      </c>
      <c r="D9" s="177">
        <f>IF(ISERROR(D20/D19),"NM",D20/D19)</f>
        <v>1.4526715701173181</v>
      </c>
      <c r="E9" s="177">
        <f>IF(ISERROR(C9-D9),"NM",C9-D9)</f>
        <v>0.45854401810998313</v>
      </c>
      <c r="F9" s="50"/>
      <c r="G9" s="177">
        <f>IF(ISERROR(G20/G19),"NM",G20/G19)</f>
        <v>1.7762754551342017</v>
      </c>
      <c r="H9" s="177">
        <f>IF(ISERROR(H20/H19),"NM",H20/H19)</f>
        <v>1.4519849144527046</v>
      </c>
      <c r="I9" s="177">
        <f>IF(ISERROR(G9-H9),"NM",G9-H9)</f>
        <v>0.3242905406814971</v>
      </c>
      <c r="J9" s="50"/>
      <c r="K9" s="177">
        <f>IF(ISERROR(K20/K19),"NM",K20/K19)</f>
        <v>1.6353176720659379</v>
      </c>
      <c r="L9" s="177">
        <f>IF(ISERROR(L20/L19),"NM",L20/L19)</f>
        <v>1.4514590867218706</v>
      </c>
      <c r="M9" s="177">
        <f>IF(ISERROR(K9-L9),"NM",K9-L9)</f>
        <v>0.18385858534406729</v>
      </c>
      <c r="N9" s="50"/>
      <c r="O9" s="177">
        <f>IF(ISERROR(O20/O19),"NM",O20/O19)</f>
        <v>1.7798783546526211</v>
      </c>
      <c r="P9" s="177">
        <f>IF(ISERROR(P20/P19),"NM",P20/P19)</f>
        <v>1.4510790433879905</v>
      </c>
      <c r="Q9" s="177">
        <f>IF(ISERROR(O9-P9),"NM",O9-P9)</f>
        <v>0.32879931126463058</v>
      </c>
      <c r="R9" s="50"/>
      <c r="S9" s="177">
        <f>IF(ISERROR(S20/S19),"NM",S20/S19)</f>
        <v>1.6066334718735855</v>
      </c>
      <c r="T9" s="177">
        <f>IF(ISERROR(T20/T19),"NM",T20/T19)</f>
        <v>1.450830936035999</v>
      </c>
      <c r="U9" s="177">
        <f>IF(ISERROR(S9-T9),"NM",S9-T9)</f>
        <v>0.15580253583758652</v>
      </c>
      <c r="V9" s="50"/>
      <c r="W9" s="177" t="str">
        <f>IF(ISERROR(W20/W19),"NM",W20/W19)</f>
        <v>NM</v>
      </c>
      <c r="X9" s="177">
        <f>IF(ISERROR(X20/X19),"NM",X20/X19)</f>
        <v>1.4507020456463682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1.4506807143915661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1.4507562766216522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1.4509189903437996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1.4511599701944353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1.4514711226468782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1.4518450839862358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0.18045369313017559</v>
      </c>
      <c r="D10" s="37"/>
      <c r="E10" s="37"/>
      <c r="F10" s="50"/>
      <c r="G10" s="177">
        <f>IF(ISERROR((G55+G63)/G19),"NM",(G55+G63)/G19)</f>
        <v>0.16585341808505388</v>
      </c>
      <c r="H10" s="37"/>
      <c r="I10" s="37"/>
      <c r="J10" s="50"/>
      <c r="K10" s="177">
        <f>IF(ISERROR((K55+K63)/K19),"NM",(K55+K63)/K19)</f>
        <v>0.13189528915042398</v>
      </c>
      <c r="L10" s="37"/>
      <c r="M10" s="37"/>
      <c r="N10" s="50"/>
      <c r="O10" s="177">
        <f>IF(ISERROR((O55+O63)/O19),"NM",(O55+O63)/O19)</f>
        <v>0.18050646081200925</v>
      </c>
      <c r="P10" s="37"/>
      <c r="Q10" s="37"/>
      <c r="R10" s="50"/>
      <c r="S10" s="177">
        <f>IF(ISERROR((S55+S63)/S19),"NM",(S55+S63)/S19)</f>
        <v>9.7397412275579284E-2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0.71564558724331218</v>
      </c>
      <c r="D11" s="37"/>
      <c r="E11" s="37"/>
      <c r="F11" s="50"/>
      <c r="G11" s="177">
        <f>IF(ISERROR(((G57+G65)/G19)*60),"NM",((G57+G65)/G19)*60)</f>
        <v>0.67837337305663414</v>
      </c>
      <c r="H11" s="37"/>
      <c r="I11" s="37"/>
      <c r="J11" s="50"/>
      <c r="K11" s="177">
        <f>IF(ISERROR(((K57+K65)/K19)*60),"NM",((K57+K65)/K19)*60)</f>
        <v>0.43947476859853757</v>
      </c>
      <c r="L11" s="37"/>
      <c r="M11" s="37"/>
      <c r="N11" s="50"/>
      <c r="O11" s="177">
        <f>IF(ISERROR(((O57+O65)/O19)*60),"NM",((O57+O65)/O19)*60)</f>
        <v>0.77519636006646309</v>
      </c>
      <c r="P11" s="37"/>
      <c r="Q11" s="37"/>
      <c r="R11" s="50"/>
      <c r="S11" s="177">
        <f>IF(ISERROR(((S57+S65)/S19)*60),"NM",((S57+S65)/S19)*60)</f>
        <v>0.34316896862042956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3.9658129175946546</v>
      </c>
      <c r="D12" s="37"/>
      <c r="E12" s="37"/>
      <c r="F12" s="50"/>
      <c r="G12" s="177">
        <f>IF(ISERROR(((G57+G65)/(G55+G63))*60),"NM",((G57+G65)/(G55+G63))*60)</f>
        <v>4.0901983262639003</v>
      </c>
      <c r="H12" s="37"/>
      <c r="I12" s="37"/>
      <c r="J12" s="50"/>
      <c r="K12" s="177">
        <f>IF(ISERROR(((K57+K65)/(K55+K63))*60),"NM",((K57+K65)/(K55+K63))*60)</f>
        <v>3.331997461238553</v>
      </c>
      <c r="L12" s="37"/>
      <c r="M12" s="37"/>
      <c r="N12" s="50"/>
      <c r="O12" s="177">
        <f>IF(ISERROR(((O57+O65)/(O55+O63))*60),"NM",((O57+O65)/(O55+O63))*60)</f>
        <v>4.2945629568007613</v>
      </c>
      <c r="P12" s="37"/>
      <c r="Q12" s="37"/>
      <c r="R12" s="50"/>
      <c r="S12" s="177">
        <f>IF(ISERROR(((S57+S65)/(S55+S63))*60),"NM",((S57+S65)/(S55+S63))*60)</f>
        <v>3.5233889751552794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0.25253870333632272</v>
      </c>
      <c r="D13" s="178">
        <f>IF(ISERROR(D29/D19),"NM",D29/D19)</f>
        <v>0.25</v>
      </c>
      <c r="E13" s="55">
        <f>IF(ISERROR(C13-D13),"NM",C13-D13)</f>
        <v>2.5387033363227229E-3</v>
      </c>
      <c r="F13" s="49"/>
      <c r="G13" s="178">
        <f>IF(ISERROR(G29/G19),"NM",G29/G19)</f>
        <v>0.31611139094768653</v>
      </c>
      <c r="H13" s="178">
        <f>IF(ISERROR(H29/H19),"NM",H29/H19)</f>
        <v>0.24999999999999989</v>
      </c>
      <c r="I13" s="55">
        <f>IF(ISERROR(G13-H13),"NM",G13-H13)</f>
        <v>6.6111390947686643E-2</v>
      </c>
      <c r="J13" s="49"/>
      <c r="K13" s="39">
        <f>IF(ISERROR(K29/K19),"NM",K29/K19)</f>
        <v>0.44796898910296834</v>
      </c>
      <c r="L13" s="178">
        <f>IF(ISERROR(L29/L19),"NM",L29/L19)</f>
        <v>0.25</v>
      </c>
      <c r="M13" s="55">
        <f>IF(ISERROR(K13-L13),"NM",K13-L13)</f>
        <v>0.19796898910296834</v>
      </c>
      <c r="N13" s="38"/>
      <c r="O13" s="39">
        <f>IF(ISERROR(O29/O19),"NM",O29/O19)</f>
        <v>0.33600272313590596</v>
      </c>
      <c r="P13" s="178">
        <f>IF(ISERROR(P29/P19),"NM",P29/P19)</f>
        <v>0.24999999999999989</v>
      </c>
      <c r="Q13" s="55">
        <f>IF(ISERROR(O13-P13),"NM",O13-P13)</f>
        <v>8.6002723135906067E-2</v>
      </c>
      <c r="R13" s="38"/>
      <c r="S13" s="39">
        <f>IF(ISERROR(S29/S19),"NM",S29/S19)</f>
        <v>0.37837949055594422</v>
      </c>
      <c r="T13" s="178">
        <f>IF(ISERROR(T29/T19),"NM",T29/T19)</f>
        <v>0.24999999999999989</v>
      </c>
      <c r="U13" s="55">
        <f>IF(ISERROR(S13-T13),"NM",S13-T13)</f>
        <v>0.12837949055594433</v>
      </c>
      <c r="V13" s="38"/>
      <c r="W13" s="39" t="str">
        <f>IF(ISERROR(W29/W19),"NM",W29/W19)</f>
        <v>NM</v>
      </c>
      <c r="X13" s="178">
        <f>IF(ISERROR(X29/X19),"NM",X29/X19)</f>
        <v>0.25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0.25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0.25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0.25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0.25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0.25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0.24999999999999989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81318</v>
      </c>
      <c r="D18" s="110">
        <v>130970</v>
      </c>
      <c r="E18" s="93">
        <f>C18-D18</f>
        <v>-49652</v>
      </c>
      <c r="F18" s="47"/>
      <c r="G18" s="110">
        <v>104137</v>
      </c>
      <c r="H18" s="110">
        <v>145120.4</v>
      </c>
      <c r="I18" s="93">
        <f>G18-H18</f>
        <v>-40983.399999999994</v>
      </c>
      <c r="J18" s="47"/>
      <c r="K18" s="110">
        <v>169954</v>
      </c>
      <c r="L18" s="110">
        <v>160863.24800000002</v>
      </c>
      <c r="M18" s="93">
        <f>K18-L18</f>
        <v>9090.7519999999786</v>
      </c>
      <c r="N18" s="47"/>
      <c r="O18" s="110">
        <v>150133</v>
      </c>
      <c r="P18" s="110">
        <v>178379.07775999999</v>
      </c>
      <c r="Q18" s="93">
        <f>O18-P18</f>
        <v>-28246.077759999986</v>
      </c>
      <c r="R18" s="47"/>
      <c r="S18" s="110">
        <v>166096</v>
      </c>
      <c r="T18" s="110">
        <v>197869.03109120001</v>
      </c>
      <c r="U18" s="93">
        <f>S18-T18</f>
        <v>-31773.031091200013</v>
      </c>
      <c r="V18" s="47"/>
      <c r="W18" s="110"/>
      <c r="X18" s="110">
        <v>219557.22522214404</v>
      </c>
      <c r="Y18" s="93">
        <f>W18-X18</f>
        <v>-219557.22522214404</v>
      </c>
      <c r="Z18" s="47"/>
      <c r="AA18" s="110"/>
      <c r="AB18" s="110">
        <v>243693.39368880133</v>
      </c>
      <c r="AC18" s="93">
        <f>AA18-AB18</f>
        <v>-243693.39368880133</v>
      </c>
      <c r="AD18" s="47"/>
      <c r="AE18" s="110"/>
      <c r="AF18" s="110">
        <v>270555.83251545747</v>
      </c>
      <c r="AG18" s="93">
        <f>AE18-AF18</f>
        <v>-270555.83251545747</v>
      </c>
      <c r="AH18" s="47"/>
      <c r="AI18" s="110"/>
      <c r="AJ18" s="110">
        <v>300454.68715971237</v>
      </c>
      <c r="AK18" s="93">
        <f>AI18-AJ18</f>
        <v>-300454.68715971237</v>
      </c>
      <c r="AL18" s="47"/>
      <c r="AM18" s="110"/>
      <c r="AN18" s="110">
        <v>333735.61983551783</v>
      </c>
      <c r="AO18" s="93">
        <f>AM18-AN18</f>
        <v>-333735.61983551783</v>
      </c>
      <c r="AP18" s="47"/>
      <c r="AQ18" s="110"/>
      <c r="AR18" s="110">
        <v>370783.90145408403</v>
      </c>
      <c r="AS18" s="93">
        <f>AQ18-AR18</f>
        <v>-370783.90145408403</v>
      </c>
      <c r="AT18" s="47"/>
      <c r="AU18" s="113"/>
      <c r="AV18" s="113">
        <v>412028.97759070853</v>
      </c>
      <c r="AW18" s="93">
        <f>AU18-AV18</f>
        <v>-412028.97759070853</v>
      </c>
    </row>
    <row r="19" spans="2:49">
      <c r="B19" s="112" t="s">
        <v>158</v>
      </c>
      <c r="C19" s="113">
        <v>110391</v>
      </c>
      <c r="D19" s="113">
        <v>164510</v>
      </c>
      <c r="E19" s="93">
        <f>C19-D19</f>
        <v>-54119</v>
      </c>
      <c r="F19" s="47"/>
      <c r="G19" s="113">
        <v>138970</v>
      </c>
      <c r="H19" s="113">
        <v>182320.2</v>
      </c>
      <c r="I19" s="93">
        <f>G19-H19</f>
        <v>-43350.200000000012</v>
      </c>
      <c r="J19" s="47"/>
      <c r="K19" s="113">
        <v>226759</v>
      </c>
      <c r="L19" s="113">
        <v>202134.52399999998</v>
      </c>
      <c r="M19" s="93">
        <f>K19-L19</f>
        <v>24624.476000000024</v>
      </c>
      <c r="N19" s="47"/>
      <c r="O19" s="113">
        <v>223272</v>
      </c>
      <c r="P19" s="113">
        <v>224180.15687999997</v>
      </c>
      <c r="Q19" s="93">
        <f>O19-P19</f>
        <v>-908.15687999996589</v>
      </c>
      <c r="R19" s="47"/>
      <c r="S19" s="113">
        <v>243010</v>
      </c>
      <c r="T19" s="113">
        <v>248710.21470560002</v>
      </c>
      <c r="U19" s="93">
        <f>S19-T19</f>
        <v>-5700.2147056000249</v>
      </c>
      <c r="V19" s="47"/>
      <c r="W19" s="113"/>
      <c r="X19" s="113">
        <v>276006.72337027203</v>
      </c>
      <c r="Y19" s="93">
        <f>W19-X19</f>
        <v>-276006.72337027203</v>
      </c>
      <c r="Z19" s="47"/>
      <c r="AA19" s="113"/>
      <c r="AB19" s="113">
        <v>306383.94136470463</v>
      </c>
      <c r="AC19" s="93">
        <f>AA19-AB19</f>
        <v>-306383.94136470463</v>
      </c>
      <c r="AD19" s="47"/>
      <c r="AE19" s="113"/>
      <c r="AF19" s="113">
        <v>340192.06663746922</v>
      </c>
      <c r="AG19" s="93">
        <f>AE19-AF19</f>
        <v>-340192.06663746922</v>
      </c>
      <c r="AH19" s="47"/>
      <c r="AI19" s="113"/>
      <c r="AJ19" s="113">
        <v>377821.3721738655</v>
      </c>
      <c r="AK19" s="93">
        <f>AI19-AJ19</f>
        <v>-377821.3721738655</v>
      </c>
      <c r="AL19" s="47"/>
      <c r="AM19" s="113"/>
      <c r="AN19" s="113">
        <v>419706.82012861938</v>
      </c>
      <c r="AO19" s="93">
        <f>AM19-AN19</f>
        <v>-419706.82012861938</v>
      </c>
      <c r="AP19" s="47"/>
      <c r="AQ19" s="113"/>
      <c r="AR19" s="113">
        <v>466333.21016733279</v>
      </c>
      <c r="AS19" s="93">
        <f>AQ19-AR19</f>
        <v>-466333.21016733279</v>
      </c>
      <c r="AT19" s="47"/>
      <c r="AU19" s="113"/>
      <c r="AV19" s="113">
        <v>518240.92417301948</v>
      </c>
      <c r="AW19" s="93">
        <f>AU19-AV19</f>
        <v>-518240.92417301948</v>
      </c>
    </row>
    <row r="20" spans="2:49">
      <c r="B20" s="112" t="s">
        <v>159</v>
      </c>
      <c r="C20" s="113">
        <v>210981</v>
      </c>
      <c r="D20" s="113">
        <v>238979</v>
      </c>
      <c r="E20" s="93">
        <f>C20-D20</f>
        <v>-27998</v>
      </c>
      <c r="F20" s="47"/>
      <c r="G20" s="113">
        <v>246849</v>
      </c>
      <c r="H20" s="113">
        <v>264726.18</v>
      </c>
      <c r="I20" s="93">
        <f>G20-H20</f>
        <v>-17877.179999999993</v>
      </c>
      <c r="J20" s="47"/>
      <c r="K20" s="113">
        <v>370823</v>
      </c>
      <c r="L20" s="113">
        <v>293389.99160000001</v>
      </c>
      <c r="M20" s="93">
        <f>K20-L20</f>
        <v>77433.008399999992</v>
      </c>
      <c r="N20" s="47"/>
      <c r="O20" s="113">
        <v>397397</v>
      </c>
      <c r="P20" s="113">
        <v>325303.127592</v>
      </c>
      <c r="Q20" s="93">
        <f>O20-P20</f>
        <v>72093.872407999996</v>
      </c>
      <c r="R20" s="47"/>
      <c r="S20" s="113">
        <v>390428</v>
      </c>
      <c r="T20" s="113">
        <v>360836.47360303998</v>
      </c>
      <c r="U20" s="93">
        <f>S20-T20</f>
        <v>29591.52639696002</v>
      </c>
      <c r="V20" s="47"/>
      <c r="W20" s="113"/>
      <c r="X20" s="113">
        <v>400403.51820540486</v>
      </c>
      <c r="Y20" s="93">
        <f>W20-X20</f>
        <v>-400403.51820540486</v>
      </c>
      <c r="Z20" s="47"/>
      <c r="AA20" s="113"/>
      <c r="AB20" s="113">
        <v>444465.27493705339</v>
      </c>
      <c r="AC20" s="93">
        <f>AA20-AB20</f>
        <v>-444465.27493705339</v>
      </c>
      <c r="AD20" s="47"/>
      <c r="AE20" s="113"/>
      <c r="AF20" s="113">
        <v>493535.77593119984</v>
      </c>
      <c r="AG20" s="93">
        <f>AE20-AF20</f>
        <v>-493535.77593119984</v>
      </c>
      <c r="AH20" s="47"/>
      <c r="AI20" s="113"/>
      <c r="AJ20" s="113">
        <v>548188.20384481386</v>
      </c>
      <c r="AK20" s="93">
        <f>AI20-AJ20</f>
        <v>-548188.20384481386</v>
      </c>
      <c r="AL20" s="47"/>
      <c r="AM20" s="113"/>
      <c r="AN20" s="113">
        <v>609061.73658824852</v>
      </c>
      <c r="AO20" s="93">
        <f>AM20-AN20</f>
        <v>-609061.73658824852</v>
      </c>
      <c r="AP20" s="47"/>
      <c r="AQ20" s="113"/>
      <c r="AR20" s="113">
        <v>676869.18808910111</v>
      </c>
      <c r="AS20" s="93">
        <f>AQ20-AR20</f>
        <v>-676869.18808910111</v>
      </c>
      <c r="AT20" s="47"/>
      <c r="AU20" s="113"/>
      <c r="AV20" s="113">
        <v>752405.53808108193</v>
      </c>
      <c r="AW20" s="93">
        <f>AU20-AV20</f>
        <v>-752405.53808108193</v>
      </c>
    </row>
    <row r="21" spans="2:49">
      <c r="B21" s="115" t="s">
        <v>163</v>
      </c>
      <c r="C21" s="167">
        <v>3.45</v>
      </c>
      <c r="D21" s="58"/>
      <c r="E21" s="74"/>
      <c r="F21" s="46"/>
      <c r="G21" s="167">
        <v>3.06</v>
      </c>
      <c r="H21" s="58"/>
      <c r="I21" s="74"/>
      <c r="J21" s="46"/>
      <c r="K21" s="167">
        <v>2.41</v>
      </c>
      <c r="L21" s="35"/>
      <c r="M21" s="74"/>
      <c r="N21" s="47"/>
      <c r="O21" s="167">
        <v>3.48</v>
      </c>
      <c r="P21" s="35"/>
      <c r="Q21" s="74"/>
      <c r="R21" s="47"/>
      <c r="S21" s="167">
        <v>3.12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82513</v>
      </c>
      <c r="D24" s="110">
        <v>123382.5</v>
      </c>
      <c r="E24" s="93">
        <f>C24-D24</f>
        <v>-40869.5</v>
      </c>
      <c r="F24" s="47"/>
      <c r="G24" s="110">
        <f>G19-G29</f>
        <v>95040</v>
      </c>
      <c r="H24" s="110">
        <v>136740.15000000002</v>
      </c>
      <c r="I24" s="93">
        <f>G24-H24</f>
        <v>-41700.150000000023</v>
      </c>
      <c r="J24" s="47"/>
      <c r="K24" s="110">
        <f>K19-K29</f>
        <v>125178</v>
      </c>
      <c r="L24" s="110">
        <v>151600.89299999998</v>
      </c>
      <c r="M24" s="93">
        <f>K24-L24</f>
        <v>-26422.892999999982</v>
      </c>
      <c r="N24" s="47"/>
      <c r="O24" s="110">
        <f>O19-O29</f>
        <v>148252</v>
      </c>
      <c r="P24" s="110">
        <v>168135.11765999999</v>
      </c>
      <c r="Q24" s="93">
        <f>O24-P24</f>
        <v>-19883.117659999989</v>
      </c>
      <c r="R24" s="47"/>
      <c r="S24" s="110">
        <f>S19-S29</f>
        <v>151060</v>
      </c>
      <c r="T24" s="110">
        <v>186532.66102920004</v>
      </c>
      <c r="U24" s="93">
        <f>S24-T24</f>
        <v>-35472.661029200041</v>
      </c>
      <c r="V24" s="47"/>
      <c r="W24" s="110"/>
      <c r="X24" s="110">
        <v>207005.04252770403</v>
      </c>
      <c r="Y24" s="93">
        <f>W24-X24</f>
        <v>-207005.04252770403</v>
      </c>
      <c r="Z24" s="47"/>
      <c r="AA24" s="110"/>
      <c r="AB24" s="110">
        <v>229787.95602352847</v>
      </c>
      <c r="AC24" s="93">
        <f>AA24-AB24</f>
        <v>-229787.95602352847</v>
      </c>
      <c r="AD24" s="47"/>
      <c r="AE24" s="110"/>
      <c r="AF24" s="110">
        <v>255144.04997810192</v>
      </c>
      <c r="AG24" s="93">
        <f>AE24-AF24</f>
        <v>-255144.04997810192</v>
      </c>
      <c r="AH24" s="47"/>
      <c r="AI24" s="110"/>
      <c r="AJ24" s="110">
        <v>283366.02913039911</v>
      </c>
      <c r="AK24" s="93">
        <f>AI24-AJ24</f>
        <v>-283366.02913039911</v>
      </c>
      <c r="AL24" s="47"/>
      <c r="AM24" s="110"/>
      <c r="AN24" s="110">
        <v>314780.11509646452</v>
      </c>
      <c r="AO24" s="93">
        <f>AM24-AN24</f>
        <v>-314780.11509646452</v>
      </c>
      <c r="AP24" s="47"/>
      <c r="AQ24" s="110"/>
      <c r="AR24" s="110">
        <v>349749.90762549959</v>
      </c>
      <c r="AS24" s="93">
        <f>AQ24-AR24</f>
        <v>-349749.90762549959</v>
      </c>
      <c r="AT24" s="47"/>
      <c r="AU24" s="113"/>
      <c r="AV24" s="113">
        <v>388680.69312976464</v>
      </c>
      <c r="AW24" s="93">
        <f>AU24-AV24</f>
        <v>-388680.69312976464</v>
      </c>
    </row>
    <row r="25" spans="2:49">
      <c r="B25" s="112" t="s">
        <v>162</v>
      </c>
      <c r="C25" s="113">
        <f>C20-C30</f>
        <v>169415</v>
      </c>
      <c r="D25" s="113">
        <v>179234.25</v>
      </c>
      <c r="E25" s="93">
        <f>C25-D25</f>
        <v>-9819.25</v>
      </c>
      <c r="F25" s="47"/>
      <c r="G25" s="113">
        <f>G20-G30</f>
        <v>183439</v>
      </c>
      <c r="H25" s="113">
        <v>198544.63500000001</v>
      </c>
      <c r="I25" s="93">
        <f>G25-H25</f>
        <v>-15105.635000000009</v>
      </c>
      <c r="J25" s="47"/>
      <c r="K25" s="113">
        <f>K20-K30</f>
        <v>231140</v>
      </c>
      <c r="L25" s="113">
        <v>220042.49369999999</v>
      </c>
      <c r="M25" s="93">
        <f>K25-L25</f>
        <v>11097.506300000008</v>
      </c>
      <c r="N25" s="47"/>
      <c r="O25" s="113">
        <f>O20-O30</f>
        <v>287929</v>
      </c>
      <c r="P25" s="113">
        <v>243977.34569400002</v>
      </c>
      <c r="Q25" s="93">
        <f>O25-P25</f>
        <v>43951.654305999982</v>
      </c>
      <c r="R25" s="47"/>
      <c r="S25" s="113">
        <f>S20-S30</f>
        <v>268232</v>
      </c>
      <c r="T25" s="113">
        <v>270627.35520227998</v>
      </c>
      <c r="U25" s="93">
        <f>S25-T25</f>
        <v>-2395.355202279985</v>
      </c>
      <c r="V25" s="47"/>
      <c r="W25" s="113"/>
      <c r="X25" s="113">
        <v>300302.63865405368</v>
      </c>
      <c r="Y25" s="93">
        <f>W25-X25</f>
        <v>-300302.63865405368</v>
      </c>
      <c r="Z25" s="47"/>
      <c r="AA25" s="113"/>
      <c r="AB25" s="113">
        <v>333348.95620279002</v>
      </c>
      <c r="AC25" s="93">
        <f>AA25-AB25</f>
        <v>-333348.95620279002</v>
      </c>
      <c r="AD25" s="47"/>
      <c r="AE25" s="113"/>
      <c r="AF25" s="113">
        <v>370151.83194839989</v>
      </c>
      <c r="AG25" s="93">
        <f>AE25-AF25</f>
        <v>-370151.83194839989</v>
      </c>
      <c r="AH25" s="47"/>
      <c r="AI25" s="113"/>
      <c r="AJ25" s="113">
        <v>411141.1528836104</v>
      </c>
      <c r="AK25" s="93">
        <f>AI25-AJ25</f>
        <v>-411141.1528836104</v>
      </c>
      <c r="AL25" s="47"/>
      <c r="AM25" s="113"/>
      <c r="AN25" s="113">
        <v>456796.30244118639</v>
      </c>
      <c r="AO25" s="93">
        <f>AM25-AN25</f>
        <v>-456796.30244118639</v>
      </c>
      <c r="AP25" s="47"/>
      <c r="AQ25" s="113"/>
      <c r="AR25" s="113">
        <v>507651.89106682583</v>
      </c>
      <c r="AS25" s="93">
        <f>AQ25-AR25</f>
        <v>-507651.89106682583</v>
      </c>
      <c r="AT25" s="47"/>
      <c r="AU25" s="113"/>
      <c r="AV25" s="113">
        <v>564304.15356081154</v>
      </c>
      <c r="AW25" s="93">
        <f>AU25-AV25</f>
        <v>-564304.15356081154</v>
      </c>
    </row>
    <row r="26" spans="2:49">
      <c r="B26" s="115" t="s">
        <v>163</v>
      </c>
      <c r="C26" s="168">
        <v>4.2</v>
      </c>
      <c r="D26" s="56"/>
      <c r="E26" s="71"/>
      <c r="F26" s="45"/>
      <c r="G26" s="167">
        <v>3.45</v>
      </c>
      <c r="H26" s="34"/>
      <c r="I26" s="71"/>
      <c r="J26" s="41"/>
      <c r="K26" s="116">
        <v>3.4</v>
      </c>
      <c r="L26" s="34"/>
      <c r="M26" s="71"/>
      <c r="N26" s="41"/>
      <c r="O26" s="116">
        <v>4.2</v>
      </c>
      <c r="P26" s="34"/>
      <c r="Q26" s="71"/>
      <c r="R26" s="41"/>
      <c r="S26" s="116">
        <v>3.3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27878</v>
      </c>
      <c r="D29" s="110">
        <v>41127.5</v>
      </c>
      <c r="E29" s="93">
        <f>C29-D29</f>
        <v>-13249.5</v>
      </c>
      <c r="F29" s="47"/>
      <c r="G29" s="110">
        <v>43930</v>
      </c>
      <c r="H29" s="110">
        <v>45580.049999999981</v>
      </c>
      <c r="I29" s="93">
        <f>G29-H29</f>
        <v>-1650.0499999999811</v>
      </c>
      <c r="J29" s="47"/>
      <c r="K29" s="110">
        <v>101581</v>
      </c>
      <c r="L29" s="110">
        <v>50533.630999999994</v>
      </c>
      <c r="M29" s="93">
        <f>K29-L29</f>
        <v>51047.369000000006</v>
      </c>
      <c r="N29" s="47"/>
      <c r="O29" s="110">
        <v>75020</v>
      </c>
      <c r="P29" s="110">
        <v>56045.03921999997</v>
      </c>
      <c r="Q29" s="93">
        <f>O29-P29</f>
        <v>18974.96078000003</v>
      </c>
      <c r="R29" s="47"/>
      <c r="S29" s="110">
        <v>91950</v>
      </c>
      <c r="T29" s="110">
        <v>62177.553676399977</v>
      </c>
      <c r="U29" s="93">
        <f>S29-T29</f>
        <v>29772.446323600023</v>
      </c>
      <c r="V29" s="47"/>
      <c r="W29" s="110"/>
      <c r="X29" s="110">
        <v>69001.680842568006</v>
      </c>
      <c r="Y29" s="93">
        <f>W29-X29</f>
        <v>-69001.680842568006</v>
      </c>
      <c r="Z29" s="47"/>
      <c r="AA29" s="110"/>
      <c r="AB29" s="110">
        <v>76595.985341176158</v>
      </c>
      <c r="AC29" s="93">
        <f>AA29-AB29</f>
        <v>-76595.985341176158</v>
      </c>
      <c r="AD29" s="47"/>
      <c r="AE29" s="110"/>
      <c r="AF29" s="110">
        <v>85048.016659367306</v>
      </c>
      <c r="AG29" s="93">
        <f>AE29-AF29</f>
        <v>-85048.016659367306</v>
      </c>
      <c r="AH29" s="47"/>
      <c r="AI29" s="110"/>
      <c r="AJ29" s="110">
        <v>94455.343043466375</v>
      </c>
      <c r="AK29" s="93">
        <f>AI29-AJ29</f>
        <v>-94455.343043466375</v>
      </c>
      <c r="AL29" s="47"/>
      <c r="AM29" s="110"/>
      <c r="AN29" s="110">
        <v>104926.70503215484</v>
      </c>
      <c r="AO29" s="93">
        <f>AM29-AN29</f>
        <v>-104926.70503215484</v>
      </c>
      <c r="AP29" s="47"/>
      <c r="AQ29" s="110"/>
      <c r="AR29" s="110">
        <v>116583.3025418332</v>
      </c>
      <c r="AS29" s="93">
        <f>AQ29-AR29</f>
        <v>-116583.3025418332</v>
      </c>
      <c r="AT29" s="47"/>
      <c r="AU29" s="113"/>
      <c r="AV29" s="113">
        <v>129560.23104325481</v>
      </c>
      <c r="AW29" s="93">
        <f>AU29-AV29</f>
        <v>-129560.23104325481</v>
      </c>
    </row>
    <row r="30" spans="2:49">
      <c r="B30" s="112" t="s">
        <v>162</v>
      </c>
      <c r="C30" s="113">
        <v>41566</v>
      </c>
      <c r="D30" s="47">
        <v>59744.75</v>
      </c>
      <c r="E30" s="93">
        <f>C30-D30</f>
        <v>-18178.75</v>
      </c>
      <c r="F30" s="47"/>
      <c r="G30" s="113">
        <v>63410</v>
      </c>
      <c r="H30" s="113">
        <v>66181.544999999969</v>
      </c>
      <c r="I30" s="93">
        <f>G30-H30</f>
        <v>-2771.5449999999691</v>
      </c>
      <c r="J30" s="47"/>
      <c r="K30" s="113">
        <v>139683</v>
      </c>
      <c r="L30" s="113">
        <v>73347.497900000002</v>
      </c>
      <c r="M30" s="93">
        <f>K30-L30</f>
        <v>66335.502099999998</v>
      </c>
      <c r="N30" s="47"/>
      <c r="O30" s="113">
        <v>109468</v>
      </c>
      <c r="P30" s="113">
        <v>81325.781897999972</v>
      </c>
      <c r="Q30" s="93">
        <f>O30-P30</f>
        <v>28142.218102000028</v>
      </c>
      <c r="R30" s="47"/>
      <c r="S30" s="113">
        <v>122196</v>
      </c>
      <c r="T30" s="113">
        <v>90209.118400759966</v>
      </c>
      <c r="U30" s="93">
        <f>S30-T30</f>
        <v>31986.881599240034</v>
      </c>
      <c r="V30" s="47"/>
      <c r="W30" s="113"/>
      <c r="X30" s="113">
        <v>100100.87955135122</v>
      </c>
      <c r="Y30" s="93">
        <f>W30-X30</f>
        <v>-100100.87955135122</v>
      </c>
      <c r="Z30" s="47"/>
      <c r="AA30" s="113"/>
      <c r="AB30" s="113">
        <v>111116.31873426335</v>
      </c>
      <c r="AC30" s="93">
        <f>AA30-AB30</f>
        <v>-111116.31873426335</v>
      </c>
      <c r="AD30" s="47"/>
      <c r="AE30" s="113"/>
      <c r="AF30" s="113">
        <v>123383.94398279996</v>
      </c>
      <c r="AG30" s="93">
        <f>AE30-AF30</f>
        <v>-123383.94398279996</v>
      </c>
      <c r="AH30" s="47"/>
      <c r="AI30" s="113"/>
      <c r="AJ30" s="113">
        <v>137047.05096120347</v>
      </c>
      <c r="AK30" s="93">
        <f>AI30-AJ30</f>
        <v>-137047.05096120347</v>
      </c>
      <c r="AL30" s="47"/>
      <c r="AM30" s="113"/>
      <c r="AN30" s="113">
        <v>152265.43414706213</v>
      </c>
      <c r="AO30" s="93">
        <f>AM30-AN30</f>
        <v>-152265.43414706213</v>
      </c>
      <c r="AP30" s="47"/>
      <c r="AQ30" s="113"/>
      <c r="AR30" s="113">
        <v>169217.29702227528</v>
      </c>
      <c r="AS30" s="93">
        <f>AQ30-AR30</f>
        <v>-169217.29702227528</v>
      </c>
      <c r="AT30" s="47"/>
      <c r="AU30" s="113"/>
      <c r="AV30" s="113">
        <v>188101.38452027043</v>
      </c>
      <c r="AW30" s="93">
        <f>AU30-AV30</f>
        <v>-188101.38452027043</v>
      </c>
    </row>
    <row r="31" spans="2:49">
      <c r="B31" s="115" t="s">
        <v>163</v>
      </c>
      <c r="C31" s="168">
        <v>2.02</v>
      </c>
      <c r="D31" s="56"/>
      <c r="E31" s="71"/>
      <c r="F31" s="45"/>
      <c r="G31" s="167">
        <v>1.43</v>
      </c>
      <c r="H31" s="58"/>
      <c r="I31" s="71"/>
      <c r="J31" s="46"/>
      <c r="K31" s="116">
        <v>1.31</v>
      </c>
      <c r="L31" s="34"/>
      <c r="M31" s="71"/>
      <c r="N31" s="41"/>
      <c r="O31" s="116">
        <v>2.4300000000000002</v>
      </c>
      <c r="P31" s="34"/>
      <c r="Q31" s="71"/>
      <c r="R31" s="41"/>
      <c r="S31" s="116">
        <v>2.2999999999999998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0.72399999999999998</v>
      </c>
      <c r="D34" s="33"/>
      <c r="E34" s="63"/>
      <c r="F34" s="123"/>
      <c r="G34" s="121">
        <v>0.7399</v>
      </c>
      <c r="H34" s="33"/>
      <c r="I34" s="63"/>
      <c r="J34" s="123"/>
      <c r="K34" s="121">
        <v>0.68200000000000005</v>
      </c>
      <c r="L34" s="33"/>
      <c r="M34" s="63"/>
      <c r="N34" s="123"/>
      <c r="O34" s="121">
        <v>0.48</v>
      </c>
      <c r="P34" s="33"/>
      <c r="Q34" s="63"/>
      <c r="R34" s="123"/>
      <c r="S34" s="121">
        <v>0.47610000000000002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0.61839999999999995</v>
      </c>
      <c r="D35" s="54"/>
      <c r="E35" s="69"/>
      <c r="F35" s="123"/>
      <c r="G35" s="123">
        <v>0.63280000000000003</v>
      </c>
      <c r="H35" s="54"/>
      <c r="I35" s="69"/>
      <c r="J35" s="123"/>
      <c r="K35" s="124">
        <v>0.65500000000000003</v>
      </c>
      <c r="L35" s="54"/>
      <c r="M35" s="69"/>
      <c r="N35" s="123"/>
      <c r="O35" s="124">
        <v>0.56999999999999995</v>
      </c>
      <c r="P35" s="54"/>
      <c r="Q35" s="69"/>
      <c r="R35" s="123"/>
      <c r="S35" s="124">
        <v>0.57509999999999994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0.38160000000000005</v>
      </c>
      <c r="D36" s="54"/>
      <c r="E36" s="69"/>
      <c r="F36" s="123"/>
      <c r="G36" s="124">
        <f>1-G35</f>
        <v>0.36719999999999997</v>
      </c>
      <c r="H36" s="54"/>
      <c r="I36" s="69"/>
      <c r="J36" s="123"/>
      <c r="K36" s="124">
        <f>1-K35</f>
        <v>0.34499999999999997</v>
      </c>
      <c r="L36" s="54"/>
      <c r="M36" s="69"/>
      <c r="N36" s="123"/>
      <c r="O36" s="124">
        <f>1-O35</f>
        <v>0.43000000000000005</v>
      </c>
      <c r="P36" s="54"/>
      <c r="Q36" s="69"/>
      <c r="R36" s="123"/>
      <c r="S36" s="164">
        <f>1-S35</f>
        <v>0.42490000000000006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7.8799999999999995E-2</v>
      </c>
      <c r="D37" s="54"/>
      <c r="E37" s="69"/>
      <c r="F37" s="123"/>
      <c r="G37" s="124">
        <v>0.10056818181818182</v>
      </c>
      <c r="H37" s="54"/>
      <c r="I37" s="69"/>
      <c r="J37" s="123"/>
      <c r="K37" s="124">
        <f>3.35/54.28</f>
        <v>6.1717022844509951E-2</v>
      </c>
      <c r="L37" s="54"/>
      <c r="M37" s="69"/>
      <c r="N37" s="123"/>
      <c r="O37" s="124">
        <f>17814/O19</f>
        <v>7.9786090508438143E-2</v>
      </c>
      <c r="P37" s="54"/>
      <c r="Q37" s="69"/>
      <c r="R37" s="123"/>
      <c r="S37" s="124">
        <v>0.09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0.80074999999999996</v>
      </c>
      <c r="D38" s="54"/>
      <c r="E38" s="69"/>
      <c r="F38" s="123"/>
      <c r="G38" s="124">
        <v>0.73533249158249159</v>
      </c>
      <c r="H38" s="54"/>
      <c r="I38" s="69"/>
      <c r="J38" s="123"/>
      <c r="K38" s="124">
        <f>1-K39</f>
        <v>0.79918938835666908</v>
      </c>
      <c r="L38" s="54"/>
      <c r="M38" s="69"/>
      <c r="N38" s="123"/>
      <c r="O38" s="124">
        <f>1-O39</f>
        <v>0.66170858862732451</v>
      </c>
      <c r="P38" s="54"/>
      <c r="Q38" s="69"/>
      <c r="R38" s="123"/>
      <c r="S38" s="124">
        <f>1-S39</f>
        <v>0.64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0.19925000000000001</v>
      </c>
      <c r="D39" s="32"/>
      <c r="E39" s="68"/>
      <c r="F39" s="123"/>
      <c r="G39" s="126">
        <v>0.26466750841750841</v>
      </c>
      <c r="H39" s="32"/>
      <c r="I39" s="68"/>
      <c r="J39" s="123"/>
      <c r="K39" s="126">
        <f>10.9/54.28</f>
        <v>0.20081061164333089</v>
      </c>
      <c r="L39" s="32"/>
      <c r="M39" s="68"/>
      <c r="N39" s="123"/>
      <c r="O39" s="126">
        <f>75531/O19</f>
        <v>0.33829141137267549</v>
      </c>
      <c r="P39" s="32"/>
      <c r="Q39" s="68"/>
      <c r="R39" s="123"/>
      <c r="S39" s="126">
        <v>0.36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0.26850000000000002</v>
      </c>
      <c r="D42" s="33"/>
      <c r="E42" s="63"/>
      <c r="F42" s="123"/>
      <c r="G42" s="121">
        <v>0.2611</v>
      </c>
      <c r="H42" s="33"/>
      <c r="I42" s="63"/>
      <c r="J42" s="123"/>
      <c r="K42" s="121">
        <v>0.19120000000000001</v>
      </c>
      <c r="L42" s="33"/>
      <c r="M42" s="63"/>
      <c r="N42" s="123"/>
      <c r="O42" s="121">
        <v>0.20080000000000001</v>
      </c>
      <c r="P42" s="33"/>
      <c r="Q42" s="63"/>
      <c r="R42" s="123"/>
      <c r="S42" s="121">
        <v>0.20119999999999999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</v>
      </c>
      <c r="D43" s="54"/>
      <c r="E43" s="69"/>
      <c r="F43" s="123"/>
      <c r="G43" s="124">
        <v>4.7000000000000002E-3</v>
      </c>
      <c r="H43" s="54"/>
      <c r="I43" s="69"/>
      <c r="J43" s="123"/>
      <c r="K43" s="124">
        <f>0.01/54.28</f>
        <v>1.8422991893883567E-4</v>
      </c>
      <c r="L43" s="54"/>
      <c r="M43" s="69"/>
      <c r="N43" s="123"/>
      <c r="O43" s="124">
        <v>2E-3</v>
      </c>
      <c r="P43" s="54"/>
      <c r="Q43" s="69"/>
      <c r="R43" s="123"/>
      <c r="S43" s="124">
        <v>0.05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0.14199999999999999</v>
      </c>
      <c r="D44" s="54"/>
      <c r="E44" s="69"/>
      <c r="F44" s="123"/>
      <c r="G44" s="124">
        <v>0.122</v>
      </c>
      <c r="H44" s="54"/>
      <c r="I44" s="69"/>
      <c r="J44" s="123"/>
      <c r="K44" s="124">
        <v>8.7099999999999997E-2</v>
      </c>
      <c r="L44" s="54"/>
      <c r="M44" s="69"/>
      <c r="N44" s="123"/>
      <c r="O44" s="124">
        <v>0.13500000000000001</v>
      </c>
      <c r="P44" s="54"/>
      <c r="Q44" s="69"/>
      <c r="R44" s="123"/>
      <c r="S44" s="124">
        <v>0.127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0.16769999999999999</v>
      </c>
      <c r="D45" s="54"/>
      <c r="E45" s="69"/>
      <c r="F45" s="123"/>
      <c r="G45" s="124">
        <v>0.25800000000000001</v>
      </c>
      <c r="H45" s="54"/>
      <c r="I45" s="69"/>
      <c r="J45" s="123"/>
      <c r="K45" s="124">
        <v>0.47699999999999998</v>
      </c>
      <c r="L45" s="54"/>
      <c r="M45" s="69"/>
      <c r="N45" s="123"/>
      <c r="O45" s="124">
        <v>0.32500000000000001</v>
      </c>
      <c r="P45" s="54"/>
      <c r="Q45" s="69"/>
      <c r="R45" s="123"/>
      <c r="S45" s="124">
        <v>0.45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>
        <v>0.27300000000000002</v>
      </c>
      <c r="D46" s="54"/>
      <c r="E46" s="69"/>
      <c r="F46" s="123"/>
      <c r="G46" s="124">
        <v>0.19800000000000001</v>
      </c>
      <c r="H46" s="54"/>
      <c r="I46" s="69"/>
      <c r="J46" s="123"/>
      <c r="K46" s="124">
        <v>7.8399999999999997E-2</v>
      </c>
      <c r="L46" s="54"/>
      <c r="M46" s="69"/>
      <c r="N46" s="123"/>
      <c r="O46" s="124">
        <v>0.1615</v>
      </c>
      <c r="P46" s="54"/>
      <c r="Q46" s="69"/>
      <c r="R46" s="123"/>
      <c r="S46" s="124">
        <v>0.08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8.3000000000000001E-3</v>
      </c>
      <c r="D48" s="54"/>
      <c r="E48" s="69"/>
      <c r="F48" s="123"/>
      <c r="G48" s="124">
        <v>4.1000000000000003E-3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6.1000000000000004E-3</v>
      </c>
      <c r="D49" s="54"/>
      <c r="E49" s="69"/>
      <c r="F49" s="123"/>
      <c r="G49" s="124">
        <v>4.5999999999999999E-3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3.0000000000000001E-3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0.13440000000000007</v>
      </c>
      <c r="D51" s="32"/>
      <c r="E51" s="68"/>
      <c r="F51" s="123"/>
      <c r="G51" s="126">
        <f>1-SUM(G42:G50)</f>
        <v>0.14750000000000008</v>
      </c>
      <c r="H51" s="32"/>
      <c r="I51" s="68"/>
      <c r="J51" s="123"/>
      <c r="K51" s="126">
        <f>1-SUM(K42:K50)</f>
        <v>0.16611577008106115</v>
      </c>
      <c r="L51" s="32"/>
      <c r="M51" s="68"/>
      <c r="N51" s="123"/>
      <c r="O51" s="126">
        <f>1-SUM(O42:O50)</f>
        <v>0.17269999999999996</v>
      </c>
      <c r="P51" s="32"/>
      <c r="Q51" s="68"/>
      <c r="R51" s="123"/>
      <c r="S51" s="126">
        <f>1-SUM(S42:S50)</f>
        <v>9.1799999999999993E-2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10">
        <v>21552</v>
      </c>
      <c r="D54" s="110">
        <v>32902</v>
      </c>
      <c r="E54" s="93">
        <f>C54-D54</f>
        <v>-11350</v>
      </c>
      <c r="F54" s="47"/>
      <c r="G54" s="110">
        <v>26169</v>
      </c>
      <c r="H54" s="110">
        <v>36464.04</v>
      </c>
      <c r="I54" s="93">
        <f>G54-H54</f>
        <v>-10295.040000000001</v>
      </c>
      <c r="J54" s="47"/>
      <c r="K54" s="110">
        <v>33087</v>
      </c>
      <c r="L54" s="110">
        <v>40426.904799999997</v>
      </c>
      <c r="M54" s="93">
        <f>K54-L54</f>
        <v>-7339.9047999999966</v>
      </c>
      <c r="N54" s="47"/>
      <c r="O54" s="110">
        <v>50487</v>
      </c>
      <c r="P54" s="110">
        <v>44836.031375999999</v>
      </c>
      <c r="Q54" s="93">
        <f>O54-P54</f>
        <v>5650.968624000001</v>
      </c>
      <c r="R54" s="47"/>
      <c r="S54" s="110">
        <v>30912</v>
      </c>
      <c r="T54" s="110">
        <v>49742.042941120009</v>
      </c>
      <c r="U54" s="93">
        <f>S54-T54</f>
        <v>-18830.042941120009</v>
      </c>
      <c r="V54" s="47"/>
      <c r="W54" s="110"/>
      <c r="X54" s="110">
        <v>55201.34467405441</v>
      </c>
      <c r="Y54" s="93">
        <f>W54-X54</f>
        <v>-55201.34467405441</v>
      </c>
      <c r="Z54" s="47"/>
      <c r="AA54" s="110"/>
      <c r="AB54" s="110">
        <v>61276.788272940932</v>
      </c>
      <c r="AC54" s="93">
        <f>AA54-AB54</f>
        <v>-61276.788272940932</v>
      </c>
      <c r="AD54" s="47"/>
      <c r="AE54" s="110"/>
      <c r="AF54" s="110">
        <v>68038.41332749385</v>
      </c>
      <c r="AG54" s="93">
        <f>AE54-AF54</f>
        <v>-68038.41332749385</v>
      </c>
      <c r="AH54" s="47"/>
      <c r="AI54" s="110"/>
      <c r="AJ54" s="110">
        <v>75564.274434773106</v>
      </c>
      <c r="AK54" s="93">
        <f>AI54-AJ54</f>
        <v>-75564.274434773106</v>
      </c>
      <c r="AL54" s="47"/>
      <c r="AM54" s="110"/>
      <c r="AN54" s="110">
        <v>83941.364025723888</v>
      </c>
      <c r="AO54" s="93">
        <f>AM54-AN54</f>
        <v>-83941.364025723888</v>
      </c>
      <c r="AP54" s="47"/>
      <c r="AQ54" s="110"/>
      <c r="AR54" s="110">
        <v>93266.64203346656</v>
      </c>
      <c r="AS54" s="93">
        <f>AQ54-AR54</f>
        <v>-93266.64203346656</v>
      </c>
      <c r="AT54" s="47"/>
      <c r="AU54" s="113"/>
      <c r="AV54" s="110">
        <v>103648.1848346039</v>
      </c>
      <c r="AW54" s="93">
        <f>AU54-AV54</f>
        <v>-103648.1848346039</v>
      </c>
    </row>
    <row r="55" spans="2:49">
      <c r="B55" s="112" t="s">
        <v>30</v>
      </c>
      <c r="C55" s="113">
        <f>[1]Fightland_Global!C54/[1]Fightland_Global!C53*C54</f>
        <v>19920.463638333214</v>
      </c>
      <c r="D55" s="57"/>
      <c r="E55" s="53"/>
      <c r="F55" s="47"/>
      <c r="G55" s="113">
        <f>[1]Fightland_Global!D54/[1]Fightland_Global!D53*G54</f>
        <v>23048.649511279938</v>
      </c>
      <c r="H55" s="57"/>
      <c r="I55" s="53"/>
      <c r="J55" s="47"/>
      <c r="K55" s="113">
        <f>Fightland_Global!E54/Fightland_Global!E53*Fightland_USA!K54</f>
        <v>29908.443872460994</v>
      </c>
      <c r="L55" s="57"/>
      <c r="M55" s="53"/>
      <c r="N55" s="47"/>
      <c r="O55" s="113">
        <f>Fightland_Global!F54/Fightland_Global!F53*Fightland_USA!O54</f>
        <v>40302.038518418929</v>
      </c>
      <c r="P55" s="57"/>
      <c r="Q55" s="53"/>
      <c r="R55" s="47"/>
      <c r="S55" s="113">
        <f>Fightland_Global!G54/Fightland_Global!G53*Fightland_USA!S54</f>
        <v>23668.545157088523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>
        <v>1424.52</v>
      </c>
      <c r="D56" s="57"/>
      <c r="E56" s="53"/>
      <c r="F56" s="47"/>
      <c r="G56" s="113">
        <v>1783.94</v>
      </c>
      <c r="H56" s="57"/>
      <c r="I56" s="53"/>
      <c r="J56" s="47"/>
      <c r="K56" s="113">
        <v>1837.43</v>
      </c>
      <c r="L56" s="57"/>
      <c r="M56" s="53"/>
      <c r="N56" s="47"/>
      <c r="O56" s="113">
        <v>3613.66</v>
      </c>
      <c r="P56" s="57"/>
      <c r="Q56" s="53"/>
      <c r="R56" s="47"/>
      <c r="S56" s="113">
        <v>1815.25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>
        <f>(C55/C54)*C56</f>
        <v>1316.680533689608</v>
      </c>
      <c r="D57" s="53"/>
      <c r="E57" s="53"/>
      <c r="F57" s="43"/>
      <c r="G57" s="93">
        <f>(G55/G54)*G56</f>
        <v>1571.2257942280075</v>
      </c>
      <c r="H57" s="53"/>
      <c r="I57" s="53"/>
      <c r="J57" s="43"/>
      <c r="K57" s="93">
        <f>(K55/K54)*K56</f>
        <v>1660.9143175439297</v>
      </c>
      <c r="L57" s="57"/>
      <c r="M57" s="53"/>
      <c r="N57" s="47"/>
      <c r="O57" s="93">
        <f>(O55/O54)*O56</f>
        <v>2884.6606950793225</v>
      </c>
      <c r="P57" s="57"/>
      <c r="Q57" s="53"/>
      <c r="R57" s="47"/>
      <c r="S57" s="93">
        <f>(S55/S54)*S56</f>
        <v>1389.891517740843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>
        <v>0.76780000000000004</v>
      </c>
      <c r="D58" s="32"/>
      <c r="E58" s="68"/>
      <c r="F58" s="123"/>
      <c r="G58" s="126">
        <v>0.52100000000000002</v>
      </c>
      <c r="H58" s="32"/>
      <c r="I58" s="68"/>
      <c r="J58" s="123"/>
      <c r="K58" s="126">
        <v>0.73309999999999997</v>
      </c>
      <c r="L58" s="32"/>
      <c r="M58" s="68"/>
      <c r="N58" s="123"/>
      <c r="O58" s="126">
        <v>0.4098</v>
      </c>
      <c r="P58" s="32"/>
      <c r="Q58" s="68"/>
      <c r="R58" s="123"/>
      <c r="S58" s="126">
        <v>0.45369999999999999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34"/>
      <c r="D59" s="134"/>
      <c r="E59" s="66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0</v>
      </c>
      <c r="D61" s="36"/>
      <c r="E61" s="61"/>
      <c r="F61" s="47"/>
      <c r="G61" s="110">
        <v>0</v>
      </c>
      <c r="H61" s="36"/>
      <c r="I61" s="61"/>
      <c r="J61" s="47"/>
      <c r="K61" s="110">
        <v>0</v>
      </c>
      <c r="L61" s="36"/>
      <c r="M61" s="61"/>
      <c r="N61" s="47"/>
      <c r="O61" s="110">
        <v>0</v>
      </c>
      <c r="P61" s="36"/>
      <c r="Q61" s="61"/>
      <c r="R61" s="47"/>
      <c r="S61" s="110">
        <v>0</v>
      </c>
      <c r="T61" s="36"/>
      <c r="U61" s="61"/>
      <c r="V61" s="47"/>
      <c r="W61" s="110">
        <v>0</v>
      </c>
      <c r="X61" s="36"/>
      <c r="Y61" s="61"/>
      <c r="Z61" s="47"/>
      <c r="AA61" s="110">
        <v>0</v>
      </c>
      <c r="AB61" s="36"/>
      <c r="AC61" s="61"/>
      <c r="AD61" s="47"/>
      <c r="AE61" s="110">
        <v>0</v>
      </c>
      <c r="AF61" s="36"/>
      <c r="AG61" s="61"/>
      <c r="AH61" s="47"/>
      <c r="AI61" s="110">
        <v>0</v>
      </c>
      <c r="AJ61" s="36"/>
      <c r="AK61" s="61"/>
      <c r="AL61" s="47"/>
      <c r="AM61" s="110">
        <v>0</v>
      </c>
      <c r="AN61" s="36"/>
      <c r="AO61" s="61"/>
      <c r="AP61" s="47"/>
      <c r="AQ61" s="110">
        <v>0</v>
      </c>
      <c r="AR61" s="36"/>
      <c r="AS61" s="61"/>
      <c r="AT61" s="47"/>
      <c r="AU61" s="110">
        <v>0</v>
      </c>
      <c r="AV61" s="57"/>
      <c r="AW61" s="53"/>
    </row>
    <row r="62" spans="2:49">
      <c r="B62" s="112" t="s">
        <v>29</v>
      </c>
      <c r="C62" s="113">
        <v>0</v>
      </c>
      <c r="D62" s="57"/>
      <c r="E62" s="53"/>
      <c r="F62" s="47"/>
      <c r="G62" s="113">
        <v>0</v>
      </c>
      <c r="H62" s="57"/>
      <c r="I62" s="53"/>
      <c r="J62" s="47"/>
      <c r="K62" s="113">
        <v>0</v>
      </c>
      <c r="L62" s="57"/>
      <c r="M62" s="53"/>
      <c r="N62" s="47"/>
      <c r="O62" s="113">
        <v>0</v>
      </c>
      <c r="P62" s="57"/>
      <c r="Q62" s="53"/>
      <c r="R62" s="47"/>
      <c r="S62" s="113">
        <v>0</v>
      </c>
      <c r="T62" s="57"/>
      <c r="U62" s="53"/>
      <c r="V62" s="47"/>
      <c r="W62" s="113">
        <v>0</v>
      </c>
      <c r="X62" s="57"/>
      <c r="Y62" s="53"/>
      <c r="Z62" s="47"/>
      <c r="AA62" s="113">
        <v>0</v>
      </c>
      <c r="AB62" s="57"/>
      <c r="AC62" s="53"/>
      <c r="AD62" s="47"/>
      <c r="AE62" s="113">
        <v>0</v>
      </c>
      <c r="AF62" s="57"/>
      <c r="AG62" s="53"/>
      <c r="AH62" s="47"/>
      <c r="AI62" s="113">
        <v>0</v>
      </c>
      <c r="AJ62" s="57"/>
      <c r="AK62" s="53"/>
      <c r="AL62" s="47"/>
      <c r="AM62" s="113">
        <v>0</v>
      </c>
      <c r="AN62" s="57"/>
      <c r="AO62" s="53"/>
      <c r="AP62" s="47"/>
      <c r="AQ62" s="113">
        <v>0</v>
      </c>
      <c r="AR62" s="57"/>
      <c r="AS62" s="53"/>
      <c r="AT62" s="47"/>
      <c r="AU62" s="113">
        <v>0</v>
      </c>
      <c r="AV62" s="57"/>
      <c r="AW62" s="53"/>
    </row>
    <row r="63" spans="2:49">
      <c r="B63" s="112" t="s">
        <v>30</v>
      </c>
      <c r="C63" s="113">
        <v>0</v>
      </c>
      <c r="D63" s="57"/>
      <c r="E63" s="53"/>
      <c r="F63" s="47"/>
      <c r="G63" s="113">
        <v>0</v>
      </c>
      <c r="H63" s="57"/>
      <c r="I63" s="53"/>
      <c r="J63" s="47"/>
      <c r="K63" s="113">
        <v>0</v>
      </c>
      <c r="L63" s="57"/>
      <c r="M63" s="53"/>
      <c r="N63" s="47"/>
      <c r="O63" s="113">
        <v>0</v>
      </c>
      <c r="P63" s="57"/>
      <c r="Q63" s="53"/>
      <c r="R63" s="47"/>
      <c r="S63" s="113">
        <v>0</v>
      </c>
      <c r="T63" s="57"/>
      <c r="U63" s="53"/>
      <c r="V63" s="47"/>
      <c r="W63" s="113">
        <v>0</v>
      </c>
      <c r="X63" s="57"/>
      <c r="Y63" s="53"/>
      <c r="Z63" s="47"/>
      <c r="AA63" s="113">
        <v>0</v>
      </c>
      <c r="AB63" s="57"/>
      <c r="AC63" s="53"/>
      <c r="AD63" s="47"/>
      <c r="AE63" s="113">
        <v>0</v>
      </c>
      <c r="AF63" s="57"/>
      <c r="AG63" s="53"/>
      <c r="AH63" s="47"/>
      <c r="AI63" s="113">
        <v>0</v>
      </c>
      <c r="AJ63" s="57"/>
      <c r="AK63" s="53"/>
      <c r="AL63" s="47"/>
      <c r="AM63" s="113">
        <v>0</v>
      </c>
      <c r="AN63" s="57"/>
      <c r="AO63" s="53"/>
      <c r="AP63" s="47"/>
      <c r="AQ63" s="113">
        <v>0</v>
      </c>
      <c r="AR63" s="57"/>
      <c r="AS63" s="53"/>
      <c r="AT63" s="47"/>
      <c r="AU63" s="113">
        <v>0</v>
      </c>
      <c r="AV63" s="57"/>
      <c r="AW63" s="53"/>
    </row>
    <row r="64" spans="2:49">
      <c r="B64" s="112" t="s">
        <v>31</v>
      </c>
      <c r="C64" s="113">
        <v>0</v>
      </c>
      <c r="D64" s="57"/>
      <c r="E64" s="53"/>
      <c r="F64" s="47"/>
      <c r="G64" s="113">
        <v>0</v>
      </c>
      <c r="H64" s="57"/>
      <c r="I64" s="53"/>
      <c r="J64" s="47"/>
      <c r="K64" s="113">
        <v>0</v>
      </c>
      <c r="L64" s="57"/>
      <c r="M64" s="53"/>
      <c r="N64" s="47"/>
      <c r="O64" s="113">
        <v>0</v>
      </c>
      <c r="P64" s="57"/>
      <c r="Q64" s="53"/>
      <c r="R64" s="47"/>
      <c r="S64" s="113">
        <v>0</v>
      </c>
      <c r="T64" s="57"/>
      <c r="U64" s="53"/>
      <c r="V64" s="47"/>
      <c r="W64" s="113">
        <v>0</v>
      </c>
      <c r="X64" s="57"/>
      <c r="Y64" s="53"/>
      <c r="Z64" s="47"/>
      <c r="AA64" s="113">
        <v>0</v>
      </c>
      <c r="AB64" s="57"/>
      <c r="AC64" s="53"/>
      <c r="AD64" s="47"/>
      <c r="AE64" s="113">
        <v>0</v>
      </c>
      <c r="AF64" s="57"/>
      <c r="AG64" s="53"/>
      <c r="AH64" s="47"/>
      <c r="AI64" s="113">
        <v>0</v>
      </c>
      <c r="AJ64" s="57"/>
      <c r="AK64" s="53"/>
      <c r="AL64" s="47"/>
      <c r="AM64" s="113">
        <v>0</v>
      </c>
      <c r="AN64" s="57"/>
      <c r="AO64" s="53"/>
      <c r="AP64" s="47"/>
      <c r="AQ64" s="113">
        <v>0</v>
      </c>
      <c r="AR64" s="57"/>
      <c r="AS64" s="53"/>
      <c r="AT64" s="47"/>
      <c r="AU64" s="113">
        <v>0</v>
      </c>
      <c r="AV64" s="57"/>
      <c r="AW64" s="53"/>
    </row>
    <row r="65" spans="2:49">
      <c r="B65" s="115" t="s">
        <v>11</v>
      </c>
      <c r="C65" s="92">
        <v>0</v>
      </c>
      <c r="D65" s="24"/>
      <c r="E65" s="24"/>
      <c r="F65" s="43"/>
      <c r="G65" s="92">
        <v>0</v>
      </c>
      <c r="H65" s="24"/>
      <c r="I65" s="24"/>
      <c r="J65" s="43"/>
      <c r="K65" s="92">
        <v>0</v>
      </c>
      <c r="L65" s="35"/>
      <c r="M65" s="24"/>
      <c r="N65" s="47"/>
      <c r="O65" s="92">
        <v>0</v>
      </c>
      <c r="P65" s="35"/>
      <c r="Q65" s="24"/>
      <c r="R65" s="47"/>
      <c r="S65" s="92">
        <v>0</v>
      </c>
      <c r="T65" s="35"/>
      <c r="U65" s="24"/>
      <c r="V65" s="47"/>
      <c r="W65" s="92">
        <v>0</v>
      </c>
      <c r="X65" s="35"/>
      <c r="Y65" s="24"/>
      <c r="Z65" s="47"/>
      <c r="AA65" s="92">
        <v>0</v>
      </c>
      <c r="AB65" s="35"/>
      <c r="AC65" s="24"/>
      <c r="AD65" s="47"/>
      <c r="AE65" s="92">
        <v>0</v>
      </c>
      <c r="AF65" s="35"/>
      <c r="AG65" s="24"/>
      <c r="AH65" s="47"/>
      <c r="AI65" s="92">
        <v>0</v>
      </c>
      <c r="AJ65" s="35"/>
      <c r="AK65" s="24"/>
      <c r="AL65" s="47"/>
      <c r="AM65" s="92">
        <v>0</v>
      </c>
      <c r="AN65" s="35"/>
      <c r="AO65" s="24"/>
      <c r="AP65" s="47"/>
      <c r="AQ65" s="92">
        <v>0</v>
      </c>
      <c r="AR65" s="35"/>
      <c r="AS65" s="24"/>
      <c r="AT65" s="47"/>
      <c r="AU65" s="92">
        <v>0</v>
      </c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/>
      <c r="D68" s="36"/>
      <c r="E68" s="61"/>
      <c r="F68" s="47"/>
      <c r="G68" s="110">
        <v>52282</v>
      </c>
      <c r="H68" s="36"/>
      <c r="I68" s="61"/>
      <c r="J68" s="47"/>
      <c r="K68" s="110">
        <v>52282</v>
      </c>
      <c r="L68" s="36"/>
      <c r="M68" s="61"/>
      <c r="N68" s="47"/>
      <c r="O68" s="267">
        <v>56700</v>
      </c>
      <c r="P68" s="36"/>
      <c r="Q68" s="61"/>
      <c r="R68" s="47"/>
      <c r="S68" s="110">
        <v>60558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/>
      <c r="D69" s="35"/>
      <c r="E69" s="24"/>
      <c r="F69" s="47"/>
      <c r="G69" s="131">
        <v>10100</v>
      </c>
      <c r="H69" s="35"/>
      <c r="I69" s="24"/>
      <c r="J69" s="47"/>
      <c r="K69" s="131">
        <v>10100</v>
      </c>
      <c r="L69" s="35"/>
      <c r="M69" s="24"/>
      <c r="N69" s="47"/>
      <c r="O69" s="275">
        <v>10800</v>
      </c>
      <c r="P69" s="35"/>
      <c r="Q69" s="24"/>
      <c r="R69" s="47"/>
      <c r="S69" s="131">
        <v>11584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270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54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6" spans="2:49">
      <c r="C76" s="331"/>
      <c r="G76" s="331"/>
      <c r="K76" s="331"/>
      <c r="O76" s="331"/>
      <c r="S76" s="331"/>
      <c r="W76" s="331"/>
      <c r="AA76" s="331"/>
      <c r="AE76" s="331"/>
      <c r="AI76" s="331"/>
      <c r="AM76" s="331"/>
      <c r="AQ76" s="331"/>
      <c r="AU76" s="331"/>
    </row>
    <row r="77" spans="2:49">
      <c r="B77" s="137" t="s">
        <v>42</v>
      </c>
      <c r="C77" s="332"/>
      <c r="D77" s="140"/>
      <c r="E77" s="59"/>
      <c r="G77" s="332"/>
      <c r="H77" s="140"/>
      <c r="I77" s="59"/>
      <c r="K77" s="332"/>
      <c r="L77" s="140"/>
      <c r="M77" s="59"/>
      <c r="O77" s="332"/>
      <c r="P77" s="140"/>
      <c r="Q77" s="59"/>
      <c r="S77" s="332"/>
      <c r="T77" s="140"/>
      <c r="U77" s="59"/>
      <c r="W77" s="332"/>
      <c r="X77" s="140"/>
      <c r="Y77" s="59"/>
      <c r="AA77" s="332"/>
      <c r="AB77" s="140"/>
      <c r="AC77" s="59"/>
      <c r="AE77" s="332"/>
      <c r="AF77" s="140"/>
      <c r="AG77" s="59"/>
      <c r="AI77" s="332"/>
      <c r="AJ77" s="140"/>
      <c r="AK77" s="59"/>
      <c r="AM77" s="332"/>
      <c r="AN77" s="140"/>
      <c r="AO77" s="59"/>
      <c r="AQ77" s="332"/>
      <c r="AR77" s="140"/>
      <c r="AS77" s="59"/>
      <c r="AU77" s="332"/>
      <c r="AV77" s="21"/>
      <c r="AW77" s="67"/>
    </row>
    <row r="78" spans="2:49">
      <c r="B78" s="109" t="s">
        <v>43</v>
      </c>
      <c r="C78" s="141">
        <v>0</v>
      </c>
      <c r="D78" s="36"/>
      <c r="E78" s="61"/>
      <c r="F78" s="47"/>
      <c r="G78" s="141">
        <v>0</v>
      </c>
      <c r="H78" s="31"/>
      <c r="I78" s="61"/>
      <c r="J78" s="40"/>
      <c r="K78" s="141">
        <v>0</v>
      </c>
      <c r="L78" s="31"/>
      <c r="M78" s="61"/>
      <c r="N78" s="40"/>
      <c r="O78" s="141">
        <v>0</v>
      </c>
      <c r="P78" s="31"/>
      <c r="Q78" s="61"/>
      <c r="R78" s="40"/>
      <c r="S78" s="141">
        <v>0</v>
      </c>
      <c r="T78" s="31"/>
      <c r="U78" s="61"/>
      <c r="V78" s="40"/>
      <c r="W78" s="141">
        <v>0</v>
      </c>
      <c r="X78" s="31"/>
      <c r="Y78" s="61"/>
      <c r="Z78" s="40"/>
      <c r="AA78" s="141">
        <v>0</v>
      </c>
      <c r="AB78" s="31"/>
      <c r="AC78" s="61"/>
      <c r="AD78" s="40"/>
      <c r="AE78" s="141">
        <v>0</v>
      </c>
      <c r="AF78" s="31"/>
      <c r="AG78" s="61"/>
      <c r="AH78" s="40"/>
      <c r="AI78" s="141">
        <v>0</v>
      </c>
      <c r="AJ78" s="31"/>
      <c r="AK78" s="61"/>
      <c r="AL78" s="40"/>
      <c r="AM78" s="141">
        <v>0</v>
      </c>
      <c r="AN78" s="31"/>
      <c r="AO78" s="61"/>
      <c r="AP78" s="40"/>
      <c r="AQ78" s="141">
        <v>0</v>
      </c>
      <c r="AR78" s="31"/>
      <c r="AS78" s="61"/>
      <c r="AT78" s="40"/>
      <c r="AU78" s="141">
        <v>0</v>
      </c>
      <c r="AV78" s="52"/>
      <c r="AW78" s="53"/>
    </row>
    <row r="79" spans="2:49">
      <c r="B79" s="112" t="s">
        <v>44</v>
      </c>
      <c r="C79" s="143">
        <v>0</v>
      </c>
      <c r="D79" s="57"/>
      <c r="E79" s="53"/>
      <c r="F79" s="47"/>
      <c r="G79" s="143">
        <v>0</v>
      </c>
      <c r="H79" s="52"/>
      <c r="I79" s="53"/>
      <c r="J79" s="40"/>
      <c r="K79" s="143">
        <v>0</v>
      </c>
      <c r="L79" s="52"/>
      <c r="M79" s="53"/>
      <c r="N79" s="40"/>
      <c r="O79" s="143">
        <v>0</v>
      </c>
      <c r="P79" s="52"/>
      <c r="Q79" s="53"/>
      <c r="R79" s="40"/>
      <c r="S79" s="143">
        <v>0</v>
      </c>
      <c r="T79" s="52"/>
      <c r="U79" s="53"/>
      <c r="V79" s="40"/>
      <c r="W79" s="143">
        <v>0</v>
      </c>
      <c r="X79" s="52"/>
      <c r="Y79" s="53"/>
      <c r="Z79" s="40"/>
      <c r="AA79" s="143">
        <v>0</v>
      </c>
      <c r="AB79" s="52"/>
      <c r="AC79" s="53"/>
      <c r="AD79" s="40"/>
      <c r="AE79" s="143">
        <v>0</v>
      </c>
      <c r="AF79" s="52"/>
      <c r="AG79" s="53"/>
      <c r="AH79" s="40"/>
      <c r="AI79" s="143">
        <v>0</v>
      </c>
      <c r="AJ79" s="52"/>
      <c r="AK79" s="53"/>
      <c r="AL79" s="40"/>
      <c r="AM79" s="143">
        <v>0</v>
      </c>
      <c r="AN79" s="52"/>
      <c r="AO79" s="53"/>
      <c r="AP79" s="40"/>
      <c r="AQ79" s="143">
        <v>0</v>
      </c>
      <c r="AR79" s="52"/>
      <c r="AS79" s="53"/>
      <c r="AT79" s="40"/>
      <c r="AU79" s="143">
        <v>0</v>
      </c>
      <c r="AV79" s="52"/>
      <c r="AW79" s="53"/>
    </row>
    <row r="80" spans="2:49">
      <c r="B80" s="115" t="s">
        <v>162</v>
      </c>
      <c r="C80" s="145">
        <v>0</v>
      </c>
      <c r="D80" s="35"/>
      <c r="E80" s="24"/>
      <c r="F80" s="47"/>
      <c r="G80" s="145">
        <v>0</v>
      </c>
      <c r="H80" s="30"/>
      <c r="I80" s="24"/>
      <c r="J80" s="40"/>
      <c r="K80" s="145">
        <v>0</v>
      </c>
      <c r="L80" s="30"/>
      <c r="M80" s="24"/>
      <c r="N80" s="40"/>
      <c r="O80" s="145">
        <v>0</v>
      </c>
      <c r="P80" s="30"/>
      <c r="Q80" s="24"/>
      <c r="R80" s="40"/>
      <c r="S80" s="145">
        <v>0</v>
      </c>
      <c r="T80" s="30"/>
      <c r="U80" s="24"/>
      <c r="V80" s="40"/>
      <c r="W80" s="145">
        <v>0</v>
      </c>
      <c r="X80" s="30"/>
      <c r="Y80" s="24"/>
      <c r="Z80" s="40"/>
      <c r="AA80" s="145">
        <v>0</v>
      </c>
      <c r="AB80" s="30"/>
      <c r="AC80" s="24"/>
      <c r="AD80" s="40"/>
      <c r="AE80" s="145">
        <v>0</v>
      </c>
      <c r="AF80" s="30"/>
      <c r="AG80" s="24"/>
      <c r="AH80" s="40"/>
      <c r="AI80" s="145">
        <v>0</v>
      </c>
      <c r="AJ80" s="30"/>
      <c r="AK80" s="24"/>
      <c r="AL80" s="40"/>
      <c r="AM80" s="145">
        <v>0</v>
      </c>
      <c r="AN80" s="30"/>
      <c r="AO80" s="24"/>
      <c r="AP80" s="40"/>
      <c r="AQ80" s="145">
        <v>0</v>
      </c>
      <c r="AR80" s="30"/>
      <c r="AS80" s="24"/>
      <c r="AT80" s="40"/>
      <c r="AU80" s="145">
        <v>0</v>
      </c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5" activePane="bottomRight" state="frozenSplit"/>
      <selection activeCell="G26" sqref="G26"/>
      <selection pane="topRight" activeCell="G26" sqref="G26"/>
      <selection pane="bottomLeft" activeCell="G26" sqref="G26"/>
      <selection pane="bottomRight" activeCell="C16" sqref="C16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99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1.1982332724734186</v>
      </c>
      <c r="D7" s="177">
        <f t="shared" ref="D7:N8" si="0">IF(ISERROR(D18/D17),"NM",D18/D17)</f>
        <v>1.2150107690358545</v>
      </c>
      <c r="E7" s="177">
        <f t="shared" si="0"/>
        <v>1.2219168228199959</v>
      </c>
      <c r="F7" s="177">
        <f t="shared" si="0"/>
        <v>1.2673223887984761</v>
      </c>
      <c r="G7" s="177">
        <f t="shared" si="0"/>
        <v>1.2472760117896873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1.502201582001927</v>
      </c>
      <c r="D8" s="177">
        <f t="shared" si="0"/>
        <v>1.4394040508525476</v>
      </c>
      <c r="E8" s="177">
        <f t="shared" si="0"/>
        <v>1.4347179876663894</v>
      </c>
      <c r="F8" s="177">
        <f t="shared" si="0"/>
        <v>1.4225353362902295</v>
      </c>
      <c r="G8" s="177">
        <f t="shared" si="0"/>
        <v>1.3262915033045104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0.1251260447711027</v>
      </c>
      <c r="D9" s="177">
        <f t="shared" ref="D9:N9" si="1">IF(ISERROR((D54+D62)/D18),"NM",(D54+D62)/D18)</f>
        <v>7.3951416463679129E-2</v>
      </c>
      <c r="E9" s="177">
        <f t="shared" si="1"/>
        <v>8.0070353183154488E-2</v>
      </c>
      <c r="F9" s="177">
        <f t="shared" si="1"/>
        <v>6.6805338982800097E-2</v>
      </c>
      <c r="G9" s="177">
        <f t="shared" si="1"/>
        <v>4.2322126879988209E-2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0.4517798804167803</v>
      </c>
      <c r="D10" s="177">
        <f t="shared" ref="D10:N10" si="2">IF(ISERROR(((D56+D64)/D18)*60),"NM",((D56+D64)/D18)*60)</f>
        <v>0.25728378071055352</v>
      </c>
      <c r="E10" s="177">
        <f t="shared" si="2"/>
        <v>0.26193570780301201</v>
      </c>
      <c r="F10" s="177">
        <f t="shared" si="2"/>
        <v>0.22974236470387593</v>
      </c>
      <c r="G10" s="177">
        <f t="shared" si="2"/>
        <v>0.12404586389657773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3.610598267077302</v>
      </c>
      <c r="D11" s="177">
        <f t="shared" ref="D11:N11" si="3">IF(ISERROR(((D56+D64)/(D54+D62))*60),"NM",((D56+D64)/(D54+D62))*60)</f>
        <v>3.4790919905762347</v>
      </c>
      <c r="E11" s="177">
        <f t="shared" si="3"/>
        <v>3.2713195007877029</v>
      </c>
      <c r="F11" s="177">
        <f t="shared" si="3"/>
        <v>3.4389820963714608</v>
      </c>
      <c r="G11" s="177">
        <f t="shared" si="3"/>
        <v>2.9309931480601499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0.23229771214735473</v>
      </c>
      <c r="D12" s="178">
        <f t="shared" ref="D12:N12" si="4">IF(ISERROR(D28/D18),"NM",D28/D18)</f>
        <v>0.25964329807467718</v>
      </c>
      <c r="E12" s="178">
        <f t="shared" si="4"/>
        <v>0.28870242711213995</v>
      </c>
      <c r="F12" s="178">
        <f t="shared" si="4"/>
        <v>0.26889311678359129</v>
      </c>
      <c r="G12" s="178">
        <f t="shared" si="4"/>
        <v>0.30258694508744693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148976</v>
      </c>
      <c r="D17" s="110">
        <v>197325</v>
      </c>
      <c r="E17" s="110">
        <v>225206</v>
      </c>
      <c r="F17" s="110">
        <v>266678</v>
      </c>
      <c r="G17" s="110">
        <v>315530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178508</v>
      </c>
      <c r="D18" s="113">
        <v>239752</v>
      </c>
      <c r="E18" s="113">
        <v>275183</v>
      </c>
      <c r="F18" s="113">
        <v>337967</v>
      </c>
      <c r="G18" s="113">
        <v>393553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268155</v>
      </c>
      <c r="D19" s="113">
        <v>345100</v>
      </c>
      <c r="E19" s="113">
        <v>394810</v>
      </c>
      <c r="F19" s="113">
        <v>480770</v>
      </c>
      <c r="G19" s="113">
        <v>521966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</v>
      </c>
      <c r="D20" s="167">
        <v>1.46</v>
      </c>
      <c r="E20" s="167">
        <v>1.4</v>
      </c>
      <c r="F20" s="167">
        <v>1.49</v>
      </c>
      <c r="G20" s="167">
        <v>1.2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137041</v>
      </c>
      <c r="D23" s="110">
        <f t="shared" si="5"/>
        <v>177502</v>
      </c>
      <c r="E23" s="110">
        <f t="shared" si="5"/>
        <v>195737</v>
      </c>
      <c r="F23" s="110">
        <f t="shared" si="5"/>
        <v>247090</v>
      </c>
      <c r="G23" s="110">
        <f t="shared" si="5"/>
        <v>274469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217701</v>
      </c>
      <c r="D24" s="113">
        <f t="shared" si="6"/>
        <v>269179</v>
      </c>
      <c r="E24" s="113">
        <f t="shared" si="6"/>
        <v>298327</v>
      </c>
      <c r="F24" s="113">
        <f t="shared" si="6"/>
        <v>371285</v>
      </c>
      <c r="G24" s="113">
        <f t="shared" si="6"/>
        <v>380207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2.15</v>
      </c>
      <c r="D25" s="167">
        <v>2</v>
      </c>
      <c r="E25" s="167">
        <v>2</v>
      </c>
      <c r="F25" s="167">
        <v>2.0099999999999998</v>
      </c>
      <c r="G25" s="116">
        <v>1.3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41467</v>
      </c>
      <c r="D28" s="110">
        <v>62250</v>
      </c>
      <c r="E28" s="110">
        <v>79446</v>
      </c>
      <c r="F28" s="110">
        <v>90877</v>
      </c>
      <c r="G28" s="110">
        <v>119084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50454</v>
      </c>
      <c r="D29" s="113">
        <v>75921</v>
      </c>
      <c r="E29" s="113">
        <v>96483</v>
      </c>
      <c r="F29" s="113">
        <v>109485</v>
      </c>
      <c r="G29" s="113">
        <v>141759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1.04</v>
      </c>
      <c r="D30" s="167">
        <v>0.57999999999999996</v>
      </c>
      <c r="E30" s="167">
        <v>0.52</v>
      </c>
      <c r="F30" s="167">
        <v>0.57999999999999996</v>
      </c>
      <c r="G30" s="116">
        <v>0.48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0.80459999999999998</v>
      </c>
      <c r="D33" s="121">
        <v>0.81</v>
      </c>
      <c r="E33" s="121">
        <v>0.8175</v>
      </c>
      <c r="F33" s="121">
        <v>0.82</v>
      </c>
      <c r="G33" s="121">
        <v>0.8468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0.76600000000000001</v>
      </c>
      <c r="D34" s="123">
        <v>0.76</v>
      </c>
      <c r="E34" s="124">
        <v>0.74619999999999997</v>
      </c>
      <c r="F34" s="124">
        <v>0.71</v>
      </c>
      <c r="G34" s="124">
        <v>0.72350000000000003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0.23399999999999999</v>
      </c>
      <c r="D35" s="124">
        <f>1-D34</f>
        <v>0.24</v>
      </c>
      <c r="E35" s="124">
        <f>1-E34</f>
        <v>0.25380000000000003</v>
      </c>
      <c r="F35" s="124">
        <f>1-F34</f>
        <v>0.29000000000000004</v>
      </c>
      <c r="G35" s="124">
        <f>1-G34</f>
        <v>0.27649999999999997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2.63E-2</v>
      </c>
      <c r="D36" s="124">
        <v>2.2652574326804363E-2</v>
      </c>
      <c r="E36" s="124">
        <f>1.04/42.82</f>
        <v>2.4287716020551145E-2</v>
      </c>
      <c r="F36" s="124">
        <f>8128/F18</f>
        <v>2.4049685324306812E-2</v>
      </c>
      <c r="G36" s="124">
        <v>0.03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0.86640000000000006</v>
      </c>
      <c r="D37" s="124">
        <v>0.87391971704094229</v>
      </c>
      <c r="E37" s="124">
        <f>1-E38</f>
        <v>0.87459131247080801</v>
      </c>
      <c r="F37" s="124">
        <f>1-F38</f>
        <v>0.8716324374865001</v>
      </c>
      <c r="G37" s="124">
        <f>1-G38</f>
        <v>0.89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0.1336</v>
      </c>
      <c r="D38" s="126">
        <v>0.12608028295905768</v>
      </c>
      <c r="E38" s="126">
        <f>5.37/42.82</f>
        <v>0.12540868752919196</v>
      </c>
      <c r="F38" s="126">
        <f>43384/F18</f>
        <v>0.12836756251349984</v>
      </c>
      <c r="G38" s="126">
        <v>0.11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0.26479999999999998</v>
      </c>
      <c r="D41" s="121">
        <v>0.24690000000000001</v>
      </c>
      <c r="E41" s="121">
        <v>0.26629999999999998</v>
      </c>
      <c r="F41" s="121">
        <v>0.26500000000000001</v>
      </c>
      <c r="G41" s="121">
        <v>0.25729999999999997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9.3600000000000003E-2</v>
      </c>
      <c r="D42" s="124">
        <v>3.6999999999999998E-2</v>
      </c>
      <c r="E42" s="124">
        <v>0.06</v>
      </c>
      <c r="F42" s="124">
        <v>4.4999999999999998E-2</v>
      </c>
      <c r="G42" s="124">
        <v>6.4000000000000001E-2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0.21</v>
      </c>
      <c r="D43" s="124">
        <v>0.1492</v>
      </c>
      <c r="E43" s="124">
        <v>0.15</v>
      </c>
      <c r="F43" s="124">
        <v>0.12</v>
      </c>
      <c r="G43" s="124">
        <v>0.105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0.28120000000000001</v>
      </c>
      <c r="D44" s="124">
        <v>0.31</v>
      </c>
      <c r="E44" s="124">
        <v>0.31</v>
      </c>
      <c r="F44" s="124">
        <v>0.36</v>
      </c>
      <c r="G44" s="124">
        <v>0.39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2.5999999999999999E-2</v>
      </c>
      <c r="D45" s="124">
        <v>0.123</v>
      </c>
      <c r="E45" s="124">
        <v>0.1145</v>
      </c>
      <c r="F45" s="124">
        <v>0.1172</v>
      </c>
      <c r="G45" s="124">
        <v>0.05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105</v>
      </c>
      <c r="C46" s="124">
        <v>0</v>
      </c>
      <c r="D46" s="124">
        <v>3.8999999999999998E-3</v>
      </c>
      <c r="E46" s="124">
        <v>3.0999999999999999E-3</v>
      </c>
      <c r="F46" s="124">
        <v>3.0999999999999999E-3</v>
      </c>
      <c r="G46" s="124">
        <v>2.5000000000000001E-3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2.5000000000000001E-3</v>
      </c>
      <c r="D47" s="124">
        <v>1.9E-3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2.0999999999999999E-3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1.1999999999999999E-3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0.11980000000000002</v>
      </c>
      <c r="D50" s="126">
        <f>1-SUM(D41:D49)</f>
        <v>0.12690000000000001</v>
      </c>
      <c r="E50" s="126">
        <f>1-SUM(E41:E49)</f>
        <v>9.6099999999999963E-2</v>
      </c>
      <c r="F50" s="126">
        <f>1-SUM(F41:F49)</f>
        <v>8.9700000000000002E-2</v>
      </c>
      <c r="G50" s="126">
        <f>1-SUM(G41:G49)</f>
        <v>0.13119999999999998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4">
      <c r="B59" s="129" t="s">
        <v>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4">
      <c r="B60" s="109" t="s">
        <v>45</v>
      </c>
      <c r="C60" s="110">
        <v>4527</v>
      </c>
      <c r="D60" s="110">
        <v>2774</v>
      </c>
      <c r="E60" s="110">
        <v>2401</v>
      </c>
      <c r="F60" s="110">
        <v>1744</v>
      </c>
      <c r="G60" s="110">
        <v>2187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741291</v>
      </c>
      <c r="D61" s="113">
        <v>514444</v>
      </c>
      <c r="E61" s="113">
        <v>528753</v>
      </c>
      <c r="F61" s="113">
        <v>470575</v>
      </c>
      <c r="G61" s="374">
        <v>652370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22336</v>
      </c>
      <c r="D62" s="113">
        <v>17730</v>
      </c>
      <c r="E62" s="113">
        <v>22034</v>
      </c>
      <c r="F62" s="113">
        <v>22578</v>
      </c>
      <c r="G62" s="113">
        <v>16656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44608.4</v>
      </c>
      <c r="D63" s="113">
        <f>1789798/60</f>
        <v>29829.966666666667</v>
      </c>
      <c r="E63" s="113">
        <f>1729720/60</f>
        <v>28828.666666666668</v>
      </c>
      <c r="F63" s="113">
        <f>1618299/60</f>
        <v>26971.65</v>
      </c>
      <c r="G63" s="113">
        <f>1912092/60</f>
        <v>31868.2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1344.1053815573102</v>
      </c>
      <c r="D64" s="92">
        <f>(D62/D61)*D63</f>
        <v>1028.0716832152773</v>
      </c>
      <c r="E64" s="92">
        <f>(E62/E61)*E63</f>
        <v>1201.337564672604</v>
      </c>
      <c r="F64" s="92">
        <f>(F62/F61)*F63</f>
        <v>1294.0889628645807</v>
      </c>
      <c r="G64" s="92">
        <f>(G62/G61)*G63</f>
        <v>813.6436979014976</v>
      </c>
      <c r="H64" s="131"/>
      <c r="I64" s="131"/>
      <c r="J64" s="131"/>
      <c r="K64" s="131"/>
      <c r="L64" s="131"/>
      <c r="M64" s="131"/>
      <c r="N64" s="132"/>
    </row>
    <row r="65" spans="2:14"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>
      <c r="B66" s="137" t="s">
        <v>34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spans="2:14">
      <c r="B67" s="109" t="s">
        <v>35</v>
      </c>
      <c r="C67" s="110">
        <v>161867</v>
      </c>
      <c r="D67" s="110">
        <v>255657</v>
      </c>
      <c r="E67" s="110">
        <v>254972</v>
      </c>
      <c r="F67" s="110">
        <v>255564</v>
      </c>
      <c r="G67" s="110">
        <f>TCP_Global!F67/TCP_Global!E67*TCP_USA!F67</f>
        <v>258042.1647443095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51200</v>
      </c>
      <c r="D68" s="131">
        <v>52500</v>
      </c>
      <c r="E68" s="131">
        <v>54200</v>
      </c>
      <c r="F68" s="131">
        <v>55900</v>
      </c>
      <c r="G68" s="131">
        <v>57561</v>
      </c>
      <c r="H68" s="131"/>
      <c r="I68" s="131"/>
      <c r="J68" s="131"/>
      <c r="K68" s="131"/>
      <c r="L68" s="131"/>
      <c r="M68" s="131"/>
      <c r="N68" s="132"/>
    </row>
    <row r="69" spans="2:14"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</row>
    <row r="70" spans="2:14">
      <c r="B70" s="137" t="s">
        <v>37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</row>
    <row r="71" spans="2:14">
      <c r="B71" s="109" t="s">
        <v>38</v>
      </c>
      <c r="C71" s="152">
        <v>0</v>
      </c>
      <c r="D71" s="152">
        <v>0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3">
        <v>0</v>
      </c>
    </row>
    <row r="72" spans="2:14">
      <c r="B72" s="112" t="s">
        <v>39</v>
      </c>
      <c r="C72" s="154">
        <v>0</v>
      </c>
      <c r="D72" s="154">
        <v>0</v>
      </c>
      <c r="E72" s="154">
        <v>0</v>
      </c>
      <c r="F72" s="154">
        <v>0</v>
      </c>
      <c r="G72" s="154">
        <v>0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5">
        <v>0</v>
      </c>
    </row>
    <row r="73" spans="2:14">
      <c r="B73" s="112" t="s">
        <v>40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5" t="s">
        <v>41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7">
        <v>0</v>
      </c>
    </row>
    <row r="75" spans="2:14"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37" t="s">
        <v>42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</row>
    <row r="77" spans="2:14">
      <c r="B77" s="109" t="s">
        <v>43</v>
      </c>
      <c r="C77" s="152">
        <v>0</v>
      </c>
      <c r="D77" s="152">
        <v>0</v>
      </c>
      <c r="E77" s="152">
        <v>0</v>
      </c>
      <c r="F77" s="152">
        <v>0</v>
      </c>
      <c r="G77" s="152">
        <v>0</v>
      </c>
      <c r="H77" s="152">
        <v>0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3">
        <v>0</v>
      </c>
    </row>
    <row r="78" spans="2:14">
      <c r="B78" s="112" t="s">
        <v>44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5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J6" activePane="bottomRight" state="frozenSplit"/>
      <selection activeCell="C25" sqref="C25"/>
      <selection pane="topRight" activeCell="C25" sqref="C25"/>
      <selection pane="bottomLeft" activeCell="C25" sqref="C25"/>
      <selection pane="bottomRight" activeCell="AC57" sqref="AC57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23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1.2710112222493291</v>
      </c>
      <c r="D8" s="177">
        <f>IF(ISERROR(D19/D18),"NM",D19/D18)</f>
        <v>1.4</v>
      </c>
      <c r="E8" s="177">
        <f>IF(ISERROR(C8-D8),"NM",C8-D8)</f>
        <v>-0.12898877775067086</v>
      </c>
      <c r="F8" s="50"/>
      <c r="G8" s="177">
        <f>IF(ISERROR(G19/G18),"NM",G19/G18)</f>
        <v>1.2244609798735937</v>
      </c>
      <c r="H8" s="177">
        <f>IF(ISERROR(H19/H18),"NM",H19/H18)</f>
        <v>1.4</v>
      </c>
      <c r="I8" s="177">
        <f>IF(ISERROR(G8-H8),"NM",G8-H8)</f>
        <v>-0.17553902012640621</v>
      </c>
      <c r="J8" s="50"/>
      <c r="K8" s="177">
        <f>IF(ISERROR(K19/K18),"NM",K19/K18)</f>
        <v>1.2771334642253778</v>
      </c>
      <c r="L8" s="177">
        <f>IF(ISERROR(L19/L18),"NM",L19/L18)</f>
        <v>1.4</v>
      </c>
      <c r="M8" s="177">
        <f>IF(ISERROR(K8-L8),"NM",K8-L8)</f>
        <v>-0.12286653577462214</v>
      </c>
      <c r="N8" s="50"/>
      <c r="O8" s="177">
        <f>IF(ISERROR(O19/O18),"NM",O19/O18)</f>
        <v>1.3105104473425886</v>
      </c>
      <c r="P8" s="177">
        <f>IF(ISERROR(P19/P18),"NM",P19/P18)</f>
        <v>1.4</v>
      </c>
      <c r="Q8" s="177">
        <f>IF(ISERROR(O8-P8),"NM",O8-P8)</f>
        <v>-8.948955265741132E-2</v>
      </c>
      <c r="R8" s="50"/>
      <c r="S8" s="177">
        <f>IF(ISERROR(S19/S18),"NM",S19/S18)</f>
        <v>1.3645818964328083</v>
      </c>
      <c r="T8" s="177">
        <f>IF(ISERROR(T19/T18),"NM",T19/T18)</f>
        <v>1.4</v>
      </c>
      <c r="U8" s="177">
        <f>IF(ISERROR(S8-T8),"NM",S8-T8)</f>
        <v>-3.5418103567191661E-2</v>
      </c>
      <c r="V8" s="50"/>
      <c r="W8" s="177" t="str">
        <f>IF(ISERROR(W19/W18),"NM",W19/W18)</f>
        <v>NM</v>
      </c>
      <c r="X8" s="177">
        <f>IF(ISERROR(X19/X18),"NM",X19/X18)</f>
        <v>1.4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1.4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1.4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1.4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1.4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1.4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1.4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1.9021089757431799</v>
      </c>
      <c r="D9" s="177">
        <f>IF(ISERROR(D20/D19),"NM",D20/D19)</f>
        <v>2</v>
      </c>
      <c r="E9" s="177">
        <f>IF(ISERROR(C9-D9),"NM",C9-D9)</f>
        <v>-9.7891024256820058E-2</v>
      </c>
      <c r="F9" s="50"/>
      <c r="G9" s="177">
        <f>IF(ISERROR(G20/G19),"NM",G20/G19)</f>
        <v>1.6718832939798289</v>
      </c>
      <c r="H9" s="177">
        <f>IF(ISERROR(H20/H19),"NM",H20/H19)</f>
        <v>2</v>
      </c>
      <c r="I9" s="177">
        <f>IF(ISERROR(G9-H9),"NM",G9-H9)</f>
        <v>-0.32811670602017107</v>
      </c>
      <c r="J9" s="50"/>
      <c r="K9" s="177">
        <f>IF(ISERROR(K20/K19),"NM",K20/K19)</f>
        <v>1.6126633417350422</v>
      </c>
      <c r="L9" s="177">
        <f>IF(ISERROR(L20/L19),"NM",L20/L19)</f>
        <v>2</v>
      </c>
      <c r="M9" s="177">
        <f>IF(ISERROR(K9-L9),"NM",K9-L9)</f>
        <v>-0.38733665826495778</v>
      </c>
      <c r="N9" s="50"/>
      <c r="O9" s="177">
        <f>IF(ISERROR(O20/O19),"NM",O20/O19)</f>
        <v>1.5814451191781922</v>
      </c>
      <c r="P9" s="177">
        <f>IF(ISERROR(P20/P19),"NM",P20/P19)</f>
        <v>2</v>
      </c>
      <c r="Q9" s="177">
        <f>IF(ISERROR(O9-P9),"NM",O9-P9)</f>
        <v>-0.41855488082180781</v>
      </c>
      <c r="R9" s="50"/>
      <c r="S9" s="177">
        <f>IF(ISERROR(S20/S19),"NM",S20/S19)</f>
        <v>1.8124823096518539</v>
      </c>
      <c r="T9" s="177">
        <f>IF(ISERROR(T20/T19),"NM",T20/T19)</f>
        <v>2</v>
      </c>
      <c r="U9" s="177">
        <f>IF(ISERROR(S9-T9),"NM",S9-T9)</f>
        <v>-0.18751769034814614</v>
      </c>
      <c r="V9" s="50"/>
      <c r="W9" s="177" t="str">
        <f>IF(ISERROR(W20/W19),"NM",W20/W19)</f>
        <v>NM</v>
      </c>
      <c r="X9" s="177">
        <f>IF(ISERROR(X20/X19),"NM",X20/X19)</f>
        <v>2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2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2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2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2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2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2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1.0340939082031719E-2</v>
      </c>
      <c r="D10" s="37"/>
      <c r="E10" s="37"/>
      <c r="F10" s="50"/>
      <c r="G10" s="177">
        <f>IF(ISERROR((G55+G63)/G19),"NM",(G55+G63)/G19)</f>
        <v>2.0372302454560429E-2</v>
      </c>
      <c r="H10" s="37"/>
      <c r="I10" s="37"/>
      <c r="J10" s="50"/>
      <c r="K10" s="177">
        <f>IF(ISERROR((K55+K63)/K19),"NM",(K55+K63)/K19)</f>
        <v>0</v>
      </c>
      <c r="L10" s="37"/>
      <c r="M10" s="37"/>
      <c r="N10" s="50"/>
      <c r="O10" s="177">
        <f>IF(ISERROR((O55+O63)/O19),"NM",(O55+O63)/O19)</f>
        <v>1.0981514673229716E-2</v>
      </c>
      <c r="P10" s="37"/>
      <c r="Q10" s="37"/>
      <c r="R10" s="50"/>
      <c r="S10" s="177">
        <f>IF(ISERROR((S55+S63)/S19),"NM",(S55+S63)/S19)</f>
        <v>6.3887428733168895E-3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3.1450723495487096E-2</v>
      </c>
      <c r="D11" s="37"/>
      <c r="E11" s="37"/>
      <c r="F11" s="50"/>
      <c r="G11" s="177">
        <f>IF(ISERROR(((G57+G65)/G19)*60),"NM",((G57+G65)/G19)*60)</f>
        <v>6.1393390950395546E-2</v>
      </c>
      <c r="H11" s="37"/>
      <c r="I11" s="37"/>
      <c r="J11" s="50"/>
      <c r="K11" s="177">
        <f>IF(ISERROR(((K57+K65)/K19)*60),"NM",((K57+K65)/K19)*60)</f>
        <v>0</v>
      </c>
      <c r="L11" s="37"/>
      <c r="M11" s="37"/>
      <c r="N11" s="50"/>
      <c r="O11" s="177">
        <f>IF(ISERROR(((O57+O65)/O19)*60),"NM",((O57+O65)/O19)*60)</f>
        <v>2.7644421475820604E-2</v>
      </c>
      <c r="P11" s="37"/>
      <c r="Q11" s="37"/>
      <c r="R11" s="50"/>
      <c r="S11" s="177">
        <f>IF(ISERROR(((S57+S65)/S19)*60),"NM",((S57+S65)/S19)*60)</f>
        <v>1.6683792449047895E-2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3.0413798249847024</v>
      </c>
      <c r="D12" s="37"/>
      <c r="E12" s="37"/>
      <c r="F12" s="50"/>
      <c r="G12" s="177">
        <f>IF(ISERROR(((G57+G65)/(G55+G63))*60),"NM",((G57+G65)/(G55+G63))*60)</f>
        <v>3.0135715433899009</v>
      </c>
      <c r="H12" s="37"/>
      <c r="I12" s="37"/>
      <c r="J12" s="50"/>
      <c r="K12" s="177" t="str">
        <f>IF(ISERROR(((K57+K65)/(K55+K63))*60),"NM",((K57+K65)/(K55+K63))*60)</f>
        <v>NM</v>
      </c>
      <c r="L12" s="37"/>
      <c r="M12" s="37"/>
      <c r="N12" s="50"/>
      <c r="O12" s="177">
        <f>IF(ISERROR(((O57+O65)/(O55+O63))*60),"NM",((O57+O65)/(O55+O63))*60)</f>
        <v>2.5173596082524972</v>
      </c>
      <c r="P12" s="37"/>
      <c r="Q12" s="37"/>
      <c r="R12" s="50"/>
      <c r="S12" s="177">
        <f>IF(ISERROR(((S57+S65)/(S55+S63))*60),"NM",((S57+S65)/(S55+S63))*60)</f>
        <v>2.6114358927683767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0.33770004078792676</v>
      </c>
      <c r="D13" s="178">
        <f>IF(ISERROR(D29/D19),"NM",D29/D19)</f>
        <v>0.19999999999999996</v>
      </c>
      <c r="E13" s="55">
        <f>IF(ISERROR(C13-D13),"NM",C13-D13)</f>
        <v>0.1377000407879268</v>
      </c>
      <c r="F13" s="49"/>
      <c r="G13" s="178">
        <f>IF(ISERROR(G29/G19),"NM",G29/G19)</f>
        <v>0.35890395914557138</v>
      </c>
      <c r="H13" s="178">
        <f>IF(ISERROR(H29/H19),"NM",H29/H19)</f>
        <v>0.19999999999999996</v>
      </c>
      <c r="I13" s="55">
        <f>IF(ISERROR(G13-H13),"NM",G13-H13)</f>
        <v>0.15890395914557143</v>
      </c>
      <c r="J13" s="49"/>
      <c r="K13" s="39">
        <f>IF(ISERROR(K29/K19),"NM",K29/K19)</f>
        <v>0.3831000518403318</v>
      </c>
      <c r="L13" s="178">
        <f>IF(ISERROR(L29/L19),"NM",L29/L19)</f>
        <v>0.19999999999999996</v>
      </c>
      <c r="M13" s="55">
        <f>IF(ISERROR(K13-L13),"NM",K13-L13)</f>
        <v>0.18310005184033185</v>
      </c>
      <c r="N13" s="38"/>
      <c r="O13" s="39">
        <f>IF(ISERROR(O29/O19),"NM",O29/O19)</f>
        <v>0.40330649260319412</v>
      </c>
      <c r="P13" s="178">
        <f>IF(ISERROR(P29/P19),"NM",P29/P19)</f>
        <v>0.19999999999999996</v>
      </c>
      <c r="Q13" s="55">
        <f>IF(ISERROR(O13-P13),"NM",O13-P13)</f>
        <v>0.20330649260319417</v>
      </c>
      <c r="R13" s="38"/>
      <c r="S13" s="39">
        <f>IF(ISERROR(S29/S19),"NM",S29/S19)</f>
        <v>0.1872750798592859</v>
      </c>
      <c r="T13" s="178">
        <f>IF(ISERROR(T29/T19),"NM",T29/T19)</f>
        <v>0.19999999999999996</v>
      </c>
      <c r="U13" s="55">
        <f>IF(ISERROR(S13-T13),"NM",S13-T13)</f>
        <v>-1.2724920140714052E-2</v>
      </c>
      <c r="V13" s="38"/>
      <c r="W13" s="39" t="str">
        <f>IF(ISERROR(W29/W19),"NM",W29/W19)</f>
        <v>NM</v>
      </c>
      <c r="X13" s="178">
        <f>IF(ISERROR(X29/X19),"NM",X29/X19)</f>
        <v>0.19999999999999996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0.19999999999999996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0.19999999999999996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0.19999999999999996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0.19999999999999996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0.19999999999999996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0.19999999999999996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32792</v>
      </c>
      <c r="D18" s="110">
        <v>50000</v>
      </c>
      <c r="E18" s="93">
        <f>C18-D18</f>
        <v>-17208</v>
      </c>
      <c r="F18" s="47"/>
      <c r="G18" s="110">
        <v>44618</v>
      </c>
      <c r="H18" s="110">
        <v>65651.621724394194</v>
      </c>
      <c r="I18" s="93">
        <f>G18-H18</f>
        <v>-21033.621724394194</v>
      </c>
      <c r="J18" s="47"/>
      <c r="K18" s="110">
        <v>43802</v>
      </c>
      <c r="L18" s="110">
        <v>86202.708700858959</v>
      </c>
      <c r="M18" s="93">
        <f>K18-L18</f>
        <v>-42400.708700858959</v>
      </c>
      <c r="N18" s="47"/>
      <c r="O18" s="110">
        <v>57048</v>
      </c>
      <c r="P18" s="110">
        <v>113186.95246493873</v>
      </c>
      <c r="Q18" s="93">
        <f>O18-P18</f>
        <v>-56138.952464938731</v>
      </c>
      <c r="R18" s="47"/>
      <c r="S18" s="110">
        <v>36247</v>
      </c>
      <c r="T18" s="110">
        <v>148618.13974730289</v>
      </c>
      <c r="U18" s="93">
        <f>S18-T18</f>
        <v>-112371.13974730289</v>
      </c>
      <c r="V18" s="47"/>
      <c r="W18" s="110"/>
      <c r="X18" s="110">
        <v>195140.43784146165</v>
      </c>
      <c r="Y18" s="93">
        <f>W18-X18</f>
        <v>-195140.43784146165</v>
      </c>
      <c r="Z18" s="47"/>
      <c r="AA18" s="110"/>
      <c r="AB18" s="110">
        <v>256225.72416600597</v>
      </c>
      <c r="AC18" s="93">
        <f>AA18-AB18</f>
        <v>-256225.72416600597</v>
      </c>
      <c r="AD18" s="47"/>
      <c r="AE18" s="110"/>
      <c r="AF18" s="110">
        <v>336432.68638011185</v>
      </c>
      <c r="AG18" s="93">
        <f>AE18-AF18</f>
        <v>-336432.68638011185</v>
      </c>
      <c r="AH18" s="47"/>
      <c r="AI18" s="110"/>
      <c r="AJ18" s="110">
        <v>441747.029238977</v>
      </c>
      <c r="AK18" s="93">
        <f>AI18-AJ18</f>
        <v>-441747.029238977</v>
      </c>
      <c r="AL18" s="47"/>
      <c r="AM18" s="110"/>
      <c r="AN18" s="110">
        <v>580028.17722944438</v>
      </c>
      <c r="AO18" s="93">
        <f>AM18-AN18</f>
        <v>-580028.17722944438</v>
      </c>
      <c r="AP18" s="47"/>
      <c r="AQ18" s="110"/>
      <c r="AR18" s="110">
        <v>761595.8096191471</v>
      </c>
      <c r="AS18" s="93">
        <f>AQ18-AR18</f>
        <v>-761595.8096191471</v>
      </c>
      <c r="AT18" s="47"/>
      <c r="AU18" s="113"/>
      <c r="AV18" s="113">
        <v>1000000</v>
      </c>
      <c r="AW18" s="93">
        <f>AU18-AV18</f>
        <v>-1000000</v>
      </c>
    </row>
    <row r="19" spans="2:49">
      <c r="B19" s="112" t="s">
        <v>158</v>
      </c>
      <c r="C19" s="113">
        <v>41679</v>
      </c>
      <c r="D19" s="113">
        <v>70000</v>
      </c>
      <c r="E19" s="93">
        <f>C19-D19</f>
        <v>-28321</v>
      </c>
      <c r="F19" s="47"/>
      <c r="G19" s="113">
        <v>54633</v>
      </c>
      <c r="H19" s="113">
        <v>91912.270414151862</v>
      </c>
      <c r="I19" s="93">
        <f>G19-H19</f>
        <v>-37279.270414151862</v>
      </c>
      <c r="J19" s="47"/>
      <c r="K19" s="113">
        <v>55941</v>
      </c>
      <c r="L19" s="113">
        <v>120683.79218120253</v>
      </c>
      <c r="M19" s="93">
        <f>K19-L19</f>
        <v>-64742.792181202531</v>
      </c>
      <c r="N19" s="47"/>
      <c r="O19" s="113">
        <v>74762</v>
      </c>
      <c r="P19" s="113">
        <v>158461.73345091421</v>
      </c>
      <c r="Q19" s="93">
        <f>O19-P19</f>
        <v>-83699.733450914209</v>
      </c>
      <c r="R19" s="47"/>
      <c r="S19" s="113">
        <v>49462</v>
      </c>
      <c r="T19" s="113">
        <v>208065.39564622403</v>
      </c>
      <c r="U19" s="93">
        <f>S19-T19</f>
        <v>-158603.39564622403</v>
      </c>
      <c r="V19" s="47"/>
      <c r="W19" s="113"/>
      <c r="X19" s="113">
        <v>273196.61297804629</v>
      </c>
      <c r="Y19" s="93">
        <f>W19-X19</f>
        <v>-273196.61297804629</v>
      </c>
      <c r="Z19" s="47"/>
      <c r="AA19" s="113"/>
      <c r="AB19" s="113">
        <v>358716.01383240835</v>
      </c>
      <c r="AC19" s="93">
        <f>AA19-AB19</f>
        <v>-358716.01383240835</v>
      </c>
      <c r="AD19" s="47"/>
      <c r="AE19" s="113"/>
      <c r="AF19" s="113">
        <v>471005.76093215653</v>
      </c>
      <c r="AG19" s="93">
        <f>AE19-AF19</f>
        <v>-471005.76093215653</v>
      </c>
      <c r="AH19" s="47"/>
      <c r="AI19" s="113"/>
      <c r="AJ19" s="113">
        <v>618445.84093456774</v>
      </c>
      <c r="AK19" s="93">
        <f>AI19-AJ19</f>
        <v>-618445.84093456774</v>
      </c>
      <c r="AL19" s="47"/>
      <c r="AM19" s="113"/>
      <c r="AN19" s="113">
        <v>812039.44812122209</v>
      </c>
      <c r="AO19" s="93">
        <f>AM19-AN19</f>
        <v>-812039.44812122209</v>
      </c>
      <c r="AP19" s="47"/>
      <c r="AQ19" s="113"/>
      <c r="AR19" s="113">
        <v>1066234.1334668058</v>
      </c>
      <c r="AS19" s="93">
        <f>AQ19-AR19</f>
        <v>-1066234.1334668058</v>
      </c>
      <c r="AT19" s="47"/>
      <c r="AU19" s="113"/>
      <c r="AV19" s="113">
        <v>1400000</v>
      </c>
      <c r="AW19" s="93">
        <f>AU19-AV19</f>
        <v>-1400000</v>
      </c>
    </row>
    <row r="20" spans="2:49">
      <c r="B20" s="112" t="s">
        <v>159</v>
      </c>
      <c r="C20" s="113">
        <v>79278</v>
      </c>
      <c r="D20" s="113">
        <v>140000</v>
      </c>
      <c r="E20" s="93">
        <f>C20-D20</f>
        <v>-60722</v>
      </c>
      <c r="F20" s="47"/>
      <c r="G20" s="113">
        <v>91340</v>
      </c>
      <c r="H20" s="113">
        <v>183824.54082830372</v>
      </c>
      <c r="I20" s="93">
        <f>G20-H20</f>
        <v>-92484.540828303725</v>
      </c>
      <c r="J20" s="47"/>
      <c r="K20" s="113">
        <v>90214</v>
      </c>
      <c r="L20" s="113">
        <v>241367.58436240506</v>
      </c>
      <c r="M20" s="93">
        <f>K20-L20</f>
        <v>-151153.58436240506</v>
      </c>
      <c r="N20" s="47"/>
      <c r="O20" s="113">
        <v>118232</v>
      </c>
      <c r="P20" s="113">
        <v>316923.46690182842</v>
      </c>
      <c r="Q20" s="93">
        <f>O20-P20</f>
        <v>-198691.46690182842</v>
      </c>
      <c r="R20" s="47"/>
      <c r="S20" s="113">
        <v>89649</v>
      </c>
      <c r="T20" s="113">
        <v>416130.79129244806</v>
      </c>
      <c r="U20" s="93">
        <f>S20-T20</f>
        <v>-326481.79129244806</v>
      </c>
      <c r="V20" s="47"/>
      <c r="W20" s="113"/>
      <c r="X20" s="113">
        <v>546393.22595609259</v>
      </c>
      <c r="Y20" s="93">
        <f>W20-X20</f>
        <v>-546393.22595609259</v>
      </c>
      <c r="Z20" s="47"/>
      <c r="AA20" s="113"/>
      <c r="AB20" s="113">
        <v>717432.02766481671</v>
      </c>
      <c r="AC20" s="93">
        <f>AA20-AB20</f>
        <v>-717432.02766481671</v>
      </c>
      <c r="AD20" s="47"/>
      <c r="AE20" s="113"/>
      <c r="AF20" s="113">
        <v>942011.52186431305</v>
      </c>
      <c r="AG20" s="93">
        <f>AE20-AF20</f>
        <v>-942011.52186431305</v>
      </c>
      <c r="AH20" s="47"/>
      <c r="AI20" s="113"/>
      <c r="AJ20" s="113">
        <v>1236891.6818691355</v>
      </c>
      <c r="AK20" s="93">
        <f>AI20-AJ20</f>
        <v>-1236891.6818691355</v>
      </c>
      <c r="AL20" s="47"/>
      <c r="AM20" s="113"/>
      <c r="AN20" s="113">
        <v>1624078.8962424442</v>
      </c>
      <c r="AO20" s="93">
        <f>AM20-AN20</f>
        <v>-1624078.8962424442</v>
      </c>
      <c r="AP20" s="47"/>
      <c r="AQ20" s="113"/>
      <c r="AR20" s="113">
        <v>2132468.2669336116</v>
      </c>
      <c r="AS20" s="93">
        <f>AQ20-AR20</f>
        <v>-2132468.2669336116</v>
      </c>
      <c r="AT20" s="47"/>
      <c r="AU20" s="113"/>
      <c r="AV20" s="113">
        <v>2800000</v>
      </c>
      <c r="AW20" s="93">
        <f>AU20-AV20</f>
        <v>-2800000</v>
      </c>
    </row>
    <row r="21" spans="2:49">
      <c r="B21" s="115" t="s">
        <v>163</v>
      </c>
      <c r="C21" s="167">
        <v>1.25</v>
      </c>
      <c r="D21" s="58"/>
      <c r="E21" s="74"/>
      <c r="F21" s="46"/>
      <c r="G21" s="167">
        <v>1.1100000000000001</v>
      </c>
      <c r="H21" s="58"/>
      <c r="I21" s="74"/>
      <c r="J21" s="46"/>
      <c r="K21" s="167">
        <v>1.1100000000000001</v>
      </c>
      <c r="L21" s="35"/>
      <c r="M21" s="74"/>
      <c r="N21" s="47"/>
      <c r="O21" s="167">
        <v>1.08</v>
      </c>
      <c r="P21" s="35"/>
      <c r="Q21" s="74"/>
      <c r="R21" s="47"/>
      <c r="S21" s="167">
        <v>1.24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27604</v>
      </c>
      <c r="D24" s="110">
        <v>56000</v>
      </c>
      <c r="E24" s="93">
        <f>C24-D24</f>
        <v>-28396</v>
      </c>
      <c r="F24" s="47"/>
      <c r="G24" s="110">
        <f>G19-G29</f>
        <v>35025</v>
      </c>
      <c r="H24" s="110">
        <v>73529.81633132149</v>
      </c>
      <c r="I24" s="93">
        <f>G24-H24</f>
        <v>-38504.81633132149</v>
      </c>
      <c r="J24" s="47"/>
      <c r="K24" s="110">
        <f>K19-K29</f>
        <v>34510</v>
      </c>
      <c r="L24" s="110">
        <v>96547.033744962027</v>
      </c>
      <c r="M24" s="93">
        <f>K24-L24</f>
        <v>-62037.033744962027</v>
      </c>
      <c r="N24" s="47"/>
      <c r="O24" s="110">
        <f>O19-O29</f>
        <v>44610</v>
      </c>
      <c r="P24" s="110">
        <v>126769.38676073137</v>
      </c>
      <c r="Q24" s="93">
        <f>O24-P24</f>
        <v>-82159.386760731373</v>
      </c>
      <c r="R24" s="47"/>
      <c r="S24" s="110">
        <f>S19-S29</f>
        <v>40199</v>
      </c>
      <c r="T24" s="110">
        <v>166452.31651697925</v>
      </c>
      <c r="U24" s="93">
        <f>S24-T24</f>
        <v>-126253.31651697925</v>
      </c>
      <c r="V24" s="47"/>
      <c r="W24" s="110"/>
      <c r="X24" s="110">
        <v>218557.29038243706</v>
      </c>
      <c r="Y24" s="93">
        <f>W24-X24</f>
        <v>-218557.29038243706</v>
      </c>
      <c r="Z24" s="47"/>
      <c r="AA24" s="110"/>
      <c r="AB24" s="110">
        <v>286972.81106592668</v>
      </c>
      <c r="AC24" s="93">
        <f>AA24-AB24</f>
        <v>-286972.81106592668</v>
      </c>
      <c r="AD24" s="47"/>
      <c r="AE24" s="110"/>
      <c r="AF24" s="110">
        <v>376804.60874572524</v>
      </c>
      <c r="AG24" s="93">
        <f>AE24-AF24</f>
        <v>-376804.60874572524</v>
      </c>
      <c r="AH24" s="47"/>
      <c r="AI24" s="110"/>
      <c r="AJ24" s="110">
        <v>494756.6727476542</v>
      </c>
      <c r="AK24" s="93">
        <f>AI24-AJ24</f>
        <v>-494756.6727476542</v>
      </c>
      <c r="AL24" s="47"/>
      <c r="AM24" s="110"/>
      <c r="AN24" s="110">
        <v>649631.55849697767</v>
      </c>
      <c r="AO24" s="93">
        <f>AM24-AN24</f>
        <v>-649631.55849697767</v>
      </c>
      <c r="AP24" s="47"/>
      <c r="AQ24" s="110"/>
      <c r="AR24" s="110">
        <v>852987.30677344464</v>
      </c>
      <c r="AS24" s="93">
        <f>AQ24-AR24</f>
        <v>-852987.30677344464</v>
      </c>
      <c r="AT24" s="47"/>
      <c r="AU24" s="113"/>
      <c r="AV24" s="113">
        <v>1120000</v>
      </c>
      <c r="AW24" s="93">
        <f>AU24-AV24</f>
        <v>-1120000</v>
      </c>
    </row>
    <row r="25" spans="2:49">
      <c r="B25" s="112" t="s">
        <v>162</v>
      </c>
      <c r="C25" s="113">
        <f>C20-C30</f>
        <v>60379</v>
      </c>
      <c r="D25" s="113">
        <v>112000</v>
      </c>
      <c r="E25" s="93">
        <f>C25-D25</f>
        <v>-51621</v>
      </c>
      <c r="F25" s="47"/>
      <c r="G25" s="113">
        <f>G20-G30</f>
        <v>66323</v>
      </c>
      <c r="H25" s="113">
        <v>147059.63266264298</v>
      </c>
      <c r="I25" s="93">
        <f>G25-H25</f>
        <v>-80736.63266264298</v>
      </c>
      <c r="J25" s="47"/>
      <c r="K25" s="113">
        <f>K20-K30</f>
        <v>62962</v>
      </c>
      <c r="L25" s="113">
        <v>193094.06748992405</v>
      </c>
      <c r="M25" s="93">
        <f>K25-L25</f>
        <v>-130132.06748992405</v>
      </c>
      <c r="N25" s="47"/>
      <c r="O25" s="113">
        <f>O20-O30</f>
        <v>79652</v>
      </c>
      <c r="P25" s="113">
        <v>253538.77352146275</v>
      </c>
      <c r="Q25" s="93">
        <f>O25-P25</f>
        <v>-173886.77352146275</v>
      </c>
      <c r="R25" s="47"/>
      <c r="S25" s="113">
        <f>S20-S30</f>
        <v>75976</v>
      </c>
      <c r="T25" s="113">
        <v>332904.6330339585</v>
      </c>
      <c r="U25" s="93">
        <f>S25-T25</f>
        <v>-256928.6330339585</v>
      </c>
      <c r="V25" s="47"/>
      <c r="W25" s="113"/>
      <c r="X25" s="113">
        <v>437114.58076487412</v>
      </c>
      <c r="Y25" s="93">
        <f>W25-X25</f>
        <v>-437114.58076487412</v>
      </c>
      <c r="Z25" s="47"/>
      <c r="AA25" s="113"/>
      <c r="AB25" s="113">
        <v>573945.62213185336</v>
      </c>
      <c r="AC25" s="93">
        <f>AA25-AB25</f>
        <v>-573945.62213185336</v>
      </c>
      <c r="AD25" s="47"/>
      <c r="AE25" s="113"/>
      <c r="AF25" s="113">
        <v>753609.21749145049</v>
      </c>
      <c r="AG25" s="93">
        <f>AE25-AF25</f>
        <v>-753609.21749145049</v>
      </c>
      <c r="AH25" s="47"/>
      <c r="AI25" s="113"/>
      <c r="AJ25" s="113">
        <v>989513.3454953084</v>
      </c>
      <c r="AK25" s="93">
        <f>AI25-AJ25</f>
        <v>-989513.3454953084</v>
      </c>
      <c r="AL25" s="47"/>
      <c r="AM25" s="113"/>
      <c r="AN25" s="113">
        <v>1299263.1169939553</v>
      </c>
      <c r="AO25" s="93">
        <f>AM25-AN25</f>
        <v>-1299263.1169939553</v>
      </c>
      <c r="AP25" s="47"/>
      <c r="AQ25" s="113"/>
      <c r="AR25" s="113">
        <v>1705974.6135468893</v>
      </c>
      <c r="AS25" s="93">
        <f>AQ25-AR25</f>
        <v>-1705974.6135468893</v>
      </c>
      <c r="AT25" s="47"/>
      <c r="AU25" s="113"/>
      <c r="AV25" s="113">
        <v>2240000</v>
      </c>
      <c r="AW25" s="93">
        <f>AU25-AV25</f>
        <v>-2240000</v>
      </c>
    </row>
    <row r="26" spans="2:49">
      <c r="B26" s="115" t="s">
        <v>163</v>
      </c>
      <c r="C26" s="168">
        <v>1.44</v>
      </c>
      <c r="D26" s="56"/>
      <c r="E26" s="71"/>
      <c r="F26" s="45"/>
      <c r="G26" s="167">
        <v>1.25</v>
      </c>
      <c r="H26" s="34"/>
      <c r="I26" s="71"/>
      <c r="J26" s="41"/>
      <c r="K26" s="116">
        <v>1.25</v>
      </c>
      <c r="L26" s="34"/>
      <c r="M26" s="71"/>
      <c r="N26" s="41"/>
      <c r="O26" s="116">
        <v>1.25</v>
      </c>
      <c r="P26" s="34"/>
      <c r="Q26" s="71"/>
      <c r="R26" s="41"/>
      <c r="S26" s="116">
        <v>1.3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14075</v>
      </c>
      <c r="D29" s="110">
        <v>13999.999999999996</v>
      </c>
      <c r="E29" s="93">
        <f>C29-D29</f>
        <v>75.000000000003638</v>
      </c>
      <c r="F29" s="47"/>
      <c r="G29" s="110">
        <v>19608</v>
      </c>
      <c r="H29" s="110">
        <v>18382.454082830369</v>
      </c>
      <c r="I29" s="93">
        <f>G29-H29</f>
        <v>1225.5459171696311</v>
      </c>
      <c r="J29" s="47"/>
      <c r="K29" s="110">
        <v>21431</v>
      </c>
      <c r="L29" s="110">
        <v>24136.7584362405</v>
      </c>
      <c r="M29" s="93">
        <f>K29-L29</f>
        <v>-2705.7584362404996</v>
      </c>
      <c r="N29" s="47"/>
      <c r="O29" s="110">
        <v>30152</v>
      </c>
      <c r="P29" s="110">
        <v>31692.346690182836</v>
      </c>
      <c r="Q29" s="93">
        <f>O29-P29</f>
        <v>-1540.346690182836</v>
      </c>
      <c r="R29" s="47"/>
      <c r="S29" s="110">
        <v>9263</v>
      </c>
      <c r="T29" s="110">
        <v>41613.079129244798</v>
      </c>
      <c r="U29" s="93">
        <f>S29-T29</f>
        <v>-32350.079129244798</v>
      </c>
      <c r="V29" s="47"/>
      <c r="W29" s="110"/>
      <c r="X29" s="110">
        <v>54639.32259560925</v>
      </c>
      <c r="Y29" s="93">
        <f>W29-X29</f>
        <v>-54639.32259560925</v>
      </c>
      <c r="Z29" s="47"/>
      <c r="AA29" s="110"/>
      <c r="AB29" s="110">
        <v>71743.202766481656</v>
      </c>
      <c r="AC29" s="93">
        <f>AA29-AB29</f>
        <v>-71743.202766481656</v>
      </c>
      <c r="AD29" s="47"/>
      <c r="AE29" s="110"/>
      <c r="AF29" s="110">
        <v>94201.152186431282</v>
      </c>
      <c r="AG29" s="93">
        <f>AE29-AF29</f>
        <v>-94201.152186431282</v>
      </c>
      <c r="AH29" s="47"/>
      <c r="AI29" s="110"/>
      <c r="AJ29" s="110">
        <v>123689.16818691352</v>
      </c>
      <c r="AK29" s="93">
        <f>AI29-AJ29</f>
        <v>-123689.16818691352</v>
      </c>
      <c r="AL29" s="47"/>
      <c r="AM29" s="110"/>
      <c r="AN29" s="110">
        <v>162407.88962424439</v>
      </c>
      <c r="AO29" s="93">
        <f>AM29-AN29</f>
        <v>-162407.88962424439</v>
      </c>
      <c r="AP29" s="47"/>
      <c r="AQ29" s="110"/>
      <c r="AR29" s="110">
        <v>213246.8266933611</v>
      </c>
      <c r="AS29" s="93">
        <f>AQ29-AR29</f>
        <v>-213246.8266933611</v>
      </c>
      <c r="AT29" s="47"/>
      <c r="AU29" s="113"/>
      <c r="AV29" s="113">
        <v>279999.99999999994</v>
      </c>
      <c r="AW29" s="93">
        <f>AU29-AV29</f>
        <v>-279999.99999999994</v>
      </c>
    </row>
    <row r="30" spans="2:49">
      <c r="B30" s="112" t="s">
        <v>162</v>
      </c>
      <c r="C30" s="113">
        <v>18899</v>
      </c>
      <c r="D30" s="47">
        <v>27999.999999999993</v>
      </c>
      <c r="E30" s="93">
        <f>C30-D30</f>
        <v>-9100.9999999999927</v>
      </c>
      <c r="F30" s="47"/>
      <c r="G30" s="113">
        <v>25017</v>
      </c>
      <c r="H30" s="113">
        <v>36764.908165660738</v>
      </c>
      <c r="I30" s="93">
        <f>G30-H30</f>
        <v>-11747.908165660738</v>
      </c>
      <c r="J30" s="47"/>
      <c r="K30" s="113">
        <v>27252</v>
      </c>
      <c r="L30" s="113">
        <v>48273.516872480999</v>
      </c>
      <c r="M30" s="93">
        <f>K30-L30</f>
        <v>-21021.516872480999</v>
      </c>
      <c r="N30" s="47"/>
      <c r="O30" s="113">
        <v>38580</v>
      </c>
      <c r="P30" s="113">
        <v>63384.693380365672</v>
      </c>
      <c r="Q30" s="93">
        <f>O30-P30</f>
        <v>-24804.693380365672</v>
      </c>
      <c r="R30" s="47"/>
      <c r="S30" s="113">
        <v>13673</v>
      </c>
      <c r="T30" s="113">
        <v>83226.158258489595</v>
      </c>
      <c r="U30" s="93">
        <f>S30-T30</f>
        <v>-69553.158258489595</v>
      </c>
      <c r="V30" s="47"/>
      <c r="W30" s="113"/>
      <c r="X30" s="113">
        <v>109278.6451912185</v>
      </c>
      <c r="Y30" s="93">
        <f>W30-X30</f>
        <v>-109278.6451912185</v>
      </c>
      <c r="Z30" s="47"/>
      <c r="AA30" s="113"/>
      <c r="AB30" s="113">
        <v>143486.40553296331</v>
      </c>
      <c r="AC30" s="93">
        <f>AA30-AB30</f>
        <v>-143486.40553296331</v>
      </c>
      <c r="AD30" s="47"/>
      <c r="AE30" s="113"/>
      <c r="AF30" s="113">
        <v>188402.30437286256</v>
      </c>
      <c r="AG30" s="93">
        <f>AE30-AF30</f>
        <v>-188402.30437286256</v>
      </c>
      <c r="AH30" s="47"/>
      <c r="AI30" s="113"/>
      <c r="AJ30" s="113">
        <v>247378.33637382704</v>
      </c>
      <c r="AK30" s="93">
        <f>AI30-AJ30</f>
        <v>-247378.33637382704</v>
      </c>
      <c r="AL30" s="47"/>
      <c r="AM30" s="113"/>
      <c r="AN30" s="113">
        <v>324815.77924848878</v>
      </c>
      <c r="AO30" s="93">
        <f>AM30-AN30</f>
        <v>-324815.77924848878</v>
      </c>
      <c r="AP30" s="47"/>
      <c r="AQ30" s="113"/>
      <c r="AR30" s="113">
        <v>426493.6533867222</v>
      </c>
      <c r="AS30" s="93">
        <f>AQ30-AR30</f>
        <v>-426493.6533867222</v>
      </c>
      <c r="AT30" s="47"/>
      <c r="AU30" s="113"/>
      <c r="AV30" s="113">
        <v>559999.99999999988</v>
      </c>
      <c r="AW30" s="93">
        <f>AU30-AV30</f>
        <v>-559999.99999999988</v>
      </c>
    </row>
    <row r="31" spans="2:49">
      <c r="B31" s="115" t="s">
        <v>163</v>
      </c>
      <c r="C31" s="168">
        <v>0.45</v>
      </c>
      <c r="D31" s="56"/>
      <c r="E31" s="71"/>
      <c r="F31" s="45"/>
      <c r="G31" s="167">
        <v>0.42</v>
      </c>
      <c r="H31" s="58"/>
      <c r="I31" s="71"/>
      <c r="J31" s="46"/>
      <c r="K31" s="116">
        <v>0.4</v>
      </c>
      <c r="L31" s="34"/>
      <c r="M31" s="71"/>
      <c r="N31" s="41"/>
      <c r="O31" s="116">
        <v>0.38</v>
      </c>
      <c r="P31" s="34"/>
      <c r="Q31" s="71"/>
      <c r="R31" s="41"/>
      <c r="S31" s="116">
        <v>0.51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0.72689999999999999</v>
      </c>
      <c r="D34" s="33"/>
      <c r="E34" s="63"/>
      <c r="F34" s="123"/>
      <c r="G34" s="121">
        <v>0.77449999999999997</v>
      </c>
      <c r="H34" s="33"/>
      <c r="I34" s="63"/>
      <c r="J34" s="123"/>
      <c r="K34" s="121">
        <v>0.78</v>
      </c>
      <c r="L34" s="33"/>
      <c r="M34" s="63"/>
      <c r="N34" s="123"/>
      <c r="O34" s="121">
        <v>0.78349999999999997</v>
      </c>
      <c r="P34" s="33"/>
      <c r="Q34" s="63"/>
      <c r="R34" s="123"/>
      <c r="S34" s="121">
        <v>0.71409999999999996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0.71279999999999999</v>
      </c>
      <c r="D35" s="54"/>
      <c r="E35" s="69"/>
      <c r="F35" s="123"/>
      <c r="G35" s="123">
        <v>0.74390000000000001</v>
      </c>
      <c r="H35" s="54"/>
      <c r="I35" s="69"/>
      <c r="J35" s="123"/>
      <c r="K35" s="124">
        <v>0.69399999999999995</v>
      </c>
      <c r="L35" s="54"/>
      <c r="M35" s="69"/>
      <c r="N35" s="123"/>
      <c r="O35" s="124">
        <v>0.66969999999999996</v>
      </c>
      <c r="P35" s="54"/>
      <c r="Q35" s="69"/>
      <c r="R35" s="123"/>
      <c r="S35" s="124">
        <v>0.60909999999999997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0.28720000000000001</v>
      </c>
      <c r="D36" s="54"/>
      <c r="E36" s="69"/>
      <c r="F36" s="123"/>
      <c r="G36" s="124">
        <f>1-G35</f>
        <v>0.25609999999999999</v>
      </c>
      <c r="H36" s="54"/>
      <c r="I36" s="69"/>
      <c r="J36" s="123"/>
      <c r="K36" s="124">
        <f>1-K35</f>
        <v>0.30600000000000005</v>
      </c>
      <c r="L36" s="54"/>
      <c r="M36" s="69"/>
      <c r="N36" s="123"/>
      <c r="O36" s="124">
        <f>1-O35</f>
        <v>0.33030000000000004</v>
      </c>
      <c r="P36" s="54"/>
      <c r="Q36" s="69"/>
      <c r="R36" s="123"/>
      <c r="S36" s="124">
        <f>1-S35</f>
        <v>0.39090000000000003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1.66E-2</v>
      </c>
      <c r="D37" s="54"/>
      <c r="E37" s="69"/>
      <c r="F37" s="123"/>
      <c r="G37" s="124">
        <v>2.1433931872677687E-2</v>
      </c>
      <c r="H37" s="54"/>
      <c r="I37" s="69"/>
      <c r="J37" s="123"/>
      <c r="K37" s="124">
        <f>0.28/14.99</f>
        <v>1.8679119412941963E-2</v>
      </c>
      <c r="L37" s="54"/>
      <c r="M37" s="69"/>
      <c r="N37" s="123"/>
      <c r="O37" s="124">
        <f>1398/O19</f>
        <v>1.8699339236510525E-2</v>
      </c>
      <c r="P37" s="54"/>
      <c r="Q37" s="69"/>
      <c r="R37" s="123"/>
      <c r="S37" s="124">
        <v>2.5000000000000001E-2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0.83210000000000006</v>
      </c>
      <c r="D38" s="54"/>
      <c r="E38" s="69"/>
      <c r="F38" s="123"/>
      <c r="G38" s="124">
        <v>0.86070689876082218</v>
      </c>
      <c r="H38" s="54"/>
      <c r="I38" s="69"/>
      <c r="J38" s="123"/>
      <c r="K38" s="124">
        <f>1-K39</f>
        <v>0.86057371581054043</v>
      </c>
      <c r="L38" s="54"/>
      <c r="M38" s="69"/>
      <c r="N38" s="123"/>
      <c r="O38" s="124">
        <f>1-O39</f>
        <v>0.86546641341858166</v>
      </c>
      <c r="P38" s="54"/>
      <c r="Q38" s="69"/>
      <c r="R38" s="123"/>
      <c r="S38" s="124">
        <f>1-S39</f>
        <v>0.84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0.16789999999999999</v>
      </c>
      <c r="D39" s="32"/>
      <c r="E39" s="68"/>
      <c r="F39" s="123"/>
      <c r="G39" s="126">
        <v>0.13929310123917779</v>
      </c>
      <c r="H39" s="32"/>
      <c r="I39" s="68"/>
      <c r="J39" s="123"/>
      <c r="K39" s="126">
        <f>2.09/14.99</f>
        <v>0.13942628418945963</v>
      </c>
      <c r="L39" s="32"/>
      <c r="M39" s="68"/>
      <c r="N39" s="123"/>
      <c r="O39" s="126">
        <f>10058/O19</f>
        <v>0.13453358658141837</v>
      </c>
      <c r="P39" s="32"/>
      <c r="Q39" s="68"/>
      <c r="R39" s="123"/>
      <c r="S39" s="126">
        <v>0.16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0.26169999999999999</v>
      </c>
      <c r="D42" s="33"/>
      <c r="E42" s="63"/>
      <c r="F42" s="123"/>
      <c r="G42" s="121">
        <v>0.23100000000000001</v>
      </c>
      <c r="H42" s="33"/>
      <c r="I42" s="63"/>
      <c r="J42" s="123"/>
      <c r="K42" s="121">
        <v>0.22140000000000001</v>
      </c>
      <c r="L42" s="33"/>
      <c r="M42" s="63"/>
      <c r="N42" s="123"/>
      <c r="O42" s="121">
        <v>0.16850000000000001</v>
      </c>
      <c r="P42" s="33"/>
      <c r="Q42" s="63"/>
      <c r="R42" s="123"/>
      <c r="S42" s="121">
        <v>0.13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</v>
      </c>
      <c r="D43" s="54"/>
      <c r="E43" s="69"/>
      <c r="F43" s="123"/>
      <c r="G43" s="124">
        <v>3.39E-2</v>
      </c>
      <c r="H43" s="54"/>
      <c r="I43" s="69"/>
      <c r="J43" s="123"/>
      <c r="K43" s="124">
        <f>0.02/14.99</f>
        <v>1.3342228152101402E-3</v>
      </c>
      <c r="L43" s="54"/>
      <c r="M43" s="69"/>
      <c r="N43" s="123"/>
      <c r="O43" s="124">
        <v>5.0000000000000001E-3</v>
      </c>
      <c r="P43" s="54"/>
      <c r="Q43" s="69"/>
      <c r="R43" s="123"/>
      <c r="S43" s="124">
        <v>0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0.11</v>
      </c>
      <c r="D44" s="54"/>
      <c r="E44" s="69"/>
      <c r="F44" s="123"/>
      <c r="G44" s="124">
        <v>0.1</v>
      </c>
      <c r="H44" s="54"/>
      <c r="I44" s="69"/>
      <c r="J44" s="123"/>
      <c r="K44" s="124">
        <v>0.12</v>
      </c>
      <c r="L44" s="54"/>
      <c r="M44" s="69"/>
      <c r="N44" s="123"/>
      <c r="O44" s="124">
        <v>0.13800000000000001</v>
      </c>
      <c r="P44" s="54"/>
      <c r="Q44" s="69"/>
      <c r="R44" s="123"/>
      <c r="S44" s="124">
        <v>0.17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0.54659999999999997</v>
      </c>
      <c r="D45" s="54"/>
      <c r="E45" s="69"/>
      <c r="F45" s="123"/>
      <c r="G45" s="124">
        <v>0.56000000000000005</v>
      </c>
      <c r="H45" s="54"/>
      <c r="I45" s="69"/>
      <c r="J45" s="123"/>
      <c r="K45" s="124">
        <v>0.59</v>
      </c>
      <c r="L45" s="54"/>
      <c r="M45" s="69"/>
      <c r="N45" s="123"/>
      <c r="O45" s="124">
        <v>0.64</v>
      </c>
      <c r="P45" s="54"/>
      <c r="Q45" s="69"/>
      <c r="R45" s="123"/>
      <c r="S45" s="124">
        <v>0.65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105</v>
      </c>
      <c r="C46" s="124">
        <v>0</v>
      </c>
      <c r="D46" s="54"/>
      <c r="E46" s="69"/>
      <c r="F46" s="123"/>
      <c r="G46" s="124">
        <v>0</v>
      </c>
      <c r="H46" s="54"/>
      <c r="I46" s="69"/>
      <c r="J46" s="123"/>
      <c r="K46" s="124">
        <v>0</v>
      </c>
      <c r="L46" s="54"/>
      <c r="M46" s="69"/>
      <c r="N46" s="123"/>
      <c r="O46" s="124">
        <v>0</v>
      </c>
      <c r="P46" s="54"/>
      <c r="Q46" s="69"/>
      <c r="R46" s="123"/>
      <c r="S46" s="124">
        <v>3.0000000000000001E-3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0</v>
      </c>
      <c r="D48" s="54"/>
      <c r="E48" s="69"/>
      <c r="F48" s="123"/>
      <c r="G48" s="124">
        <v>0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177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3.8E-3</v>
      </c>
      <c r="P50" s="54"/>
      <c r="Q50" s="69"/>
      <c r="R50" s="123"/>
      <c r="S50" s="124">
        <v>0.02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8.1700000000000106E-2</v>
      </c>
      <c r="D51" s="32"/>
      <c r="E51" s="68"/>
      <c r="F51" s="123"/>
      <c r="G51" s="126">
        <f>1-SUM(G42:G50)</f>
        <v>7.5099999999999945E-2</v>
      </c>
      <c r="H51" s="32"/>
      <c r="I51" s="68"/>
      <c r="J51" s="123"/>
      <c r="K51" s="126">
        <f>1-SUM(K42:K50)</f>
        <v>6.7265777184789877E-2</v>
      </c>
      <c r="L51" s="32"/>
      <c r="M51" s="68"/>
      <c r="N51" s="123"/>
      <c r="O51" s="126">
        <f>1-SUM(O42:O50)</f>
        <v>4.4699999999999962E-2</v>
      </c>
      <c r="P51" s="32"/>
      <c r="Q51" s="68"/>
      <c r="R51" s="123"/>
      <c r="S51" s="126">
        <f>1-SUM(S42:S50)</f>
        <v>2.6999999999999913E-2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58">
        <v>0</v>
      </c>
      <c r="D54" s="110">
        <v>21000</v>
      </c>
      <c r="E54" s="93">
        <f>C54-D54</f>
        <v>-21000</v>
      </c>
      <c r="F54" s="47"/>
      <c r="G54" s="158">
        <v>0</v>
      </c>
      <c r="H54" s="110">
        <v>27573.681124245559</v>
      </c>
      <c r="I54" s="93">
        <f>G54-H54</f>
        <v>-27573.681124245559</v>
      </c>
      <c r="J54" s="47"/>
      <c r="K54" s="158">
        <v>0</v>
      </c>
      <c r="L54" s="110">
        <v>36205.137654360755</v>
      </c>
      <c r="M54" s="93">
        <f>K54-L54</f>
        <v>-36205.137654360755</v>
      </c>
      <c r="N54" s="47"/>
      <c r="O54" s="158">
        <v>0</v>
      </c>
      <c r="P54" s="110">
        <v>47538.520035274254</v>
      </c>
      <c r="Q54" s="93">
        <f>O54-P54</f>
        <v>-47538.520035274254</v>
      </c>
      <c r="R54" s="47"/>
      <c r="S54" s="158">
        <v>0</v>
      </c>
      <c r="T54" s="110">
        <v>62419.618693867211</v>
      </c>
      <c r="U54" s="93">
        <f>S54-T54</f>
        <v>-62419.618693867211</v>
      </c>
      <c r="V54" s="47"/>
      <c r="W54" s="110"/>
      <c r="X54" s="110">
        <v>81958.983893413897</v>
      </c>
      <c r="Y54" s="93">
        <f>W54-X54</f>
        <v>-81958.983893413897</v>
      </c>
      <c r="Z54" s="47"/>
      <c r="AA54" s="110"/>
      <c r="AB54" s="110">
        <v>107614.80414972249</v>
      </c>
      <c r="AC54" s="93">
        <f>AA54-AB54</f>
        <v>-107614.80414972249</v>
      </c>
      <c r="AD54" s="47"/>
      <c r="AE54" s="110"/>
      <c r="AF54" s="110">
        <v>141301.72827964695</v>
      </c>
      <c r="AG54" s="93">
        <f>AE54-AF54</f>
        <v>-141301.72827964695</v>
      </c>
      <c r="AH54" s="47"/>
      <c r="AI54" s="110"/>
      <c r="AJ54" s="110">
        <v>185533.7522803703</v>
      </c>
      <c r="AK54" s="93">
        <f>AI54-AJ54</f>
        <v>-185533.7522803703</v>
      </c>
      <c r="AL54" s="47"/>
      <c r="AM54" s="110"/>
      <c r="AN54" s="110">
        <v>243611.83443636663</v>
      </c>
      <c r="AO54" s="93">
        <f>AM54-AN54</f>
        <v>-243611.83443636663</v>
      </c>
      <c r="AP54" s="47"/>
      <c r="AQ54" s="110"/>
      <c r="AR54" s="110">
        <v>319870.24004004168</v>
      </c>
      <c r="AS54" s="93">
        <f>AQ54-AR54</f>
        <v>-319870.24004004168</v>
      </c>
      <c r="AT54" s="47"/>
      <c r="AU54" s="113"/>
      <c r="AV54" s="110">
        <v>420000</v>
      </c>
      <c r="AW54" s="93">
        <f>AU54-AV54</f>
        <v>-420000</v>
      </c>
    </row>
    <row r="55" spans="2:49">
      <c r="B55" s="112" t="s">
        <v>30</v>
      </c>
      <c r="C55" s="161">
        <v>0</v>
      </c>
      <c r="D55" s="57"/>
      <c r="E55" s="53"/>
      <c r="F55" s="47"/>
      <c r="G55" s="161">
        <v>0</v>
      </c>
      <c r="H55" s="57"/>
      <c r="I55" s="53"/>
      <c r="J55" s="47"/>
      <c r="K55" s="161">
        <v>0</v>
      </c>
      <c r="L55" s="57"/>
      <c r="M55" s="53"/>
      <c r="N55" s="47"/>
      <c r="O55" s="161">
        <v>0</v>
      </c>
      <c r="P55" s="57"/>
      <c r="Q55" s="53"/>
      <c r="R55" s="47"/>
      <c r="S55" s="161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61">
        <v>0</v>
      </c>
      <c r="D56" s="57"/>
      <c r="E56" s="53"/>
      <c r="F56" s="47"/>
      <c r="G56" s="161">
        <v>0</v>
      </c>
      <c r="H56" s="57"/>
      <c r="I56" s="53"/>
      <c r="J56" s="47"/>
      <c r="K56" s="161">
        <v>0</v>
      </c>
      <c r="L56" s="57"/>
      <c r="M56" s="53"/>
      <c r="N56" s="47"/>
      <c r="O56" s="161">
        <v>0</v>
      </c>
      <c r="P56" s="57"/>
      <c r="Q56" s="53"/>
      <c r="R56" s="47"/>
      <c r="S56" s="161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161">
        <v>0</v>
      </c>
      <c r="D57" s="53"/>
      <c r="E57" s="53"/>
      <c r="F57" s="43"/>
      <c r="G57" s="161">
        <v>0</v>
      </c>
      <c r="H57" s="53"/>
      <c r="I57" s="53"/>
      <c r="J57" s="43"/>
      <c r="K57" s="161">
        <v>0</v>
      </c>
      <c r="L57" s="57"/>
      <c r="M57" s="53"/>
      <c r="N57" s="47"/>
      <c r="O57" s="161">
        <v>0</v>
      </c>
      <c r="P57" s="57"/>
      <c r="Q57" s="53"/>
      <c r="R57" s="47"/>
      <c r="S57" s="161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59">
        <v>0</v>
      </c>
      <c r="D58" s="32"/>
      <c r="E58" s="68"/>
      <c r="F58" s="123"/>
      <c r="G58" s="159">
        <v>0</v>
      </c>
      <c r="H58" s="32"/>
      <c r="I58" s="68"/>
      <c r="J58" s="123"/>
      <c r="K58" s="159">
        <v>0</v>
      </c>
      <c r="L58" s="32"/>
      <c r="M58" s="68"/>
      <c r="N58" s="123"/>
      <c r="O58" s="159">
        <v>0</v>
      </c>
      <c r="P58" s="32"/>
      <c r="Q58" s="68"/>
      <c r="R58" s="123"/>
      <c r="S58" s="159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10">
        <v>265</v>
      </c>
      <c r="D59" s="110">
        <v>223</v>
      </c>
      <c r="E59" s="110"/>
      <c r="F59" s="110">
        <v>2137</v>
      </c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265</v>
      </c>
      <c r="D61" s="36"/>
      <c r="E61" s="61"/>
      <c r="F61" s="47"/>
      <c r="G61" s="110">
        <v>223</v>
      </c>
      <c r="H61" s="36"/>
      <c r="I61" s="61"/>
      <c r="J61" s="47"/>
      <c r="K61" s="110"/>
      <c r="L61" s="36"/>
      <c r="M61" s="61"/>
      <c r="N61" s="47"/>
      <c r="O61" s="110">
        <v>2137</v>
      </c>
      <c r="P61" s="36"/>
      <c r="Q61" s="61"/>
      <c r="R61" s="47"/>
      <c r="S61" s="110">
        <v>517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201011</v>
      </c>
      <c r="D62" s="57"/>
      <c r="E62" s="53"/>
      <c r="F62" s="47"/>
      <c r="G62" s="113">
        <v>130641</v>
      </c>
      <c r="H62" s="57"/>
      <c r="I62" s="53"/>
      <c r="J62" s="47"/>
      <c r="K62" s="113">
        <v>96938</v>
      </c>
      <c r="L62" s="57"/>
      <c r="M62" s="53"/>
      <c r="N62" s="47"/>
      <c r="O62" s="113">
        <v>471324</v>
      </c>
      <c r="P62" s="57"/>
      <c r="Q62" s="53"/>
      <c r="R62" s="47"/>
      <c r="S62" s="113">
        <v>142831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431</v>
      </c>
      <c r="D63" s="57"/>
      <c r="E63" s="53"/>
      <c r="F63" s="47"/>
      <c r="G63" s="113">
        <v>1113</v>
      </c>
      <c r="H63" s="57"/>
      <c r="I63" s="53"/>
      <c r="J63" s="47"/>
      <c r="K63" s="113"/>
      <c r="L63" s="57"/>
      <c r="M63" s="53"/>
      <c r="N63" s="47"/>
      <c r="O63" s="113">
        <v>821</v>
      </c>
      <c r="P63" s="57"/>
      <c r="Q63" s="53"/>
      <c r="R63" s="47"/>
      <c r="S63" s="113">
        <v>316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10189.18</v>
      </c>
      <c r="D64" s="57"/>
      <c r="E64" s="53"/>
      <c r="F64" s="47"/>
      <c r="G64" s="113">
        <f>393696/60</f>
        <v>6561.6</v>
      </c>
      <c r="H64" s="57"/>
      <c r="I64" s="53"/>
      <c r="J64" s="47"/>
      <c r="K64" s="113"/>
      <c r="L64" s="57"/>
      <c r="M64" s="53"/>
      <c r="N64" s="47"/>
      <c r="O64" s="113">
        <f>1186492/60</f>
        <v>19774.866666666665</v>
      </c>
      <c r="P64" s="57"/>
      <c r="Q64" s="53"/>
      <c r="R64" s="47"/>
      <c r="S64" s="113">
        <f>372994/60</f>
        <v>6216.5666666666666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>
        <f>(C63/C62)*C64</f>
        <v>21.847245076140112</v>
      </c>
      <c r="D65" s="24"/>
      <c r="E65" s="24"/>
      <c r="F65" s="43"/>
      <c r="G65" s="92">
        <f>(G63/G62)*G64</f>
        <v>55.901752129882667</v>
      </c>
      <c r="H65" s="24"/>
      <c r="I65" s="24"/>
      <c r="J65" s="43"/>
      <c r="K65" s="92">
        <f>(K63/K62)*K64</f>
        <v>0</v>
      </c>
      <c r="L65" s="35"/>
      <c r="M65" s="24"/>
      <c r="N65" s="47"/>
      <c r="O65" s="92">
        <f>(O63/O62)*O64</f>
        <v>34.445870639588335</v>
      </c>
      <c r="P65" s="35"/>
      <c r="Q65" s="24"/>
      <c r="R65" s="47"/>
      <c r="S65" s="92">
        <f>(S63/S62)*S64</f>
        <v>13.753562368580118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58">
        <v>0</v>
      </c>
      <c r="D68" s="36"/>
      <c r="E68" s="61"/>
      <c r="F68" s="47"/>
      <c r="G68" s="158">
        <v>0</v>
      </c>
      <c r="H68" s="36"/>
      <c r="I68" s="61"/>
      <c r="J68" s="47"/>
      <c r="K68" s="158">
        <v>0</v>
      </c>
      <c r="L68" s="36"/>
      <c r="M68" s="61"/>
      <c r="N68" s="47"/>
      <c r="O68" s="158">
        <v>0</v>
      </c>
      <c r="P68" s="36"/>
      <c r="Q68" s="61"/>
      <c r="R68" s="47"/>
      <c r="S68" s="158">
        <v>0</v>
      </c>
      <c r="T68" s="36"/>
      <c r="U68" s="61"/>
      <c r="V68" s="47"/>
      <c r="W68" s="158">
        <v>0</v>
      </c>
      <c r="X68" s="36"/>
      <c r="Y68" s="61"/>
      <c r="Z68" s="47"/>
      <c r="AA68" s="158">
        <v>0</v>
      </c>
      <c r="AB68" s="36"/>
      <c r="AC68" s="61"/>
      <c r="AD68" s="47"/>
      <c r="AE68" s="158">
        <v>0</v>
      </c>
      <c r="AF68" s="36"/>
      <c r="AG68" s="61"/>
      <c r="AH68" s="47"/>
      <c r="AI68" s="158">
        <v>0</v>
      </c>
      <c r="AJ68" s="36"/>
      <c r="AK68" s="61"/>
      <c r="AL68" s="47"/>
      <c r="AM68" s="158">
        <v>0</v>
      </c>
      <c r="AN68" s="36"/>
      <c r="AO68" s="61"/>
      <c r="AP68" s="47"/>
      <c r="AQ68" s="158">
        <v>0</v>
      </c>
      <c r="AR68" s="36"/>
      <c r="AS68" s="61"/>
      <c r="AT68" s="47"/>
      <c r="AU68" s="158">
        <v>0</v>
      </c>
      <c r="AV68" s="57"/>
      <c r="AW68" s="53"/>
    </row>
    <row r="69" spans="2:49">
      <c r="B69" s="115" t="s">
        <v>36</v>
      </c>
      <c r="C69" s="159">
        <v>0</v>
      </c>
      <c r="D69" s="35"/>
      <c r="E69" s="24"/>
      <c r="F69" s="47"/>
      <c r="G69" s="159">
        <v>0</v>
      </c>
      <c r="H69" s="35"/>
      <c r="I69" s="24"/>
      <c r="J69" s="47"/>
      <c r="K69" s="159">
        <v>0</v>
      </c>
      <c r="L69" s="35"/>
      <c r="M69" s="24"/>
      <c r="N69" s="47"/>
      <c r="O69" s="159">
        <v>0</v>
      </c>
      <c r="P69" s="35"/>
      <c r="Q69" s="24"/>
      <c r="R69" s="47"/>
      <c r="S69" s="159">
        <v>0</v>
      </c>
      <c r="T69" s="35"/>
      <c r="U69" s="24"/>
      <c r="V69" s="47"/>
      <c r="W69" s="159">
        <v>0</v>
      </c>
      <c r="X69" s="35"/>
      <c r="Y69" s="24"/>
      <c r="Z69" s="47"/>
      <c r="AA69" s="159">
        <v>0</v>
      </c>
      <c r="AB69" s="35"/>
      <c r="AC69" s="24"/>
      <c r="AD69" s="47"/>
      <c r="AE69" s="159">
        <v>0</v>
      </c>
      <c r="AF69" s="35"/>
      <c r="AG69" s="24"/>
      <c r="AH69" s="47"/>
      <c r="AI69" s="159">
        <v>0</v>
      </c>
      <c r="AJ69" s="35"/>
      <c r="AK69" s="24"/>
      <c r="AL69" s="47"/>
      <c r="AM69" s="159">
        <v>0</v>
      </c>
      <c r="AN69" s="35"/>
      <c r="AO69" s="24"/>
      <c r="AP69" s="47"/>
      <c r="AQ69" s="159">
        <v>0</v>
      </c>
      <c r="AR69" s="35"/>
      <c r="AS69" s="24"/>
      <c r="AT69" s="47"/>
      <c r="AU69" s="159">
        <v>0</v>
      </c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139"/>
      <c r="AV71" s="27"/>
      <c r="AW71" s="67"/>
    </row>
    <row r="72" spans="2:49">
      <c r="B72" s="109" t="s">
        <v>38</v>
      </c>
      <c r="C72" s="152">
        <v>0</v>
      </c>
      <c r="D72" s="33"/>
      <c r="E72" s="63"/>
      <c r="F72" s="123"/>
      <c r="G72" s="152">
        <v>0</v>
      </c>
      <c r="H72" s="33"/>
      <c r="I72" s="63"/>
      <c r="J72" s="123"/>
      <c r="K72" s="152">
        <v>0</v>
      </c>
      <c r="L72" s="33"/>
      <c r="M72" s="63"/>
      <c r="N72" s="123"/>
      <c r="O72" s="152">
        <v>0</v>
      </c>
      <c r="P72" s="33"/>
      <c r="Q72" s="63"/>
      <c r="R72" s="123"/>
      <c r="S72" s="152">
        <v>0</v>
      </c>
      <c r="T72" s="33"/>
      <c r="U72" s="63"/>
      <c r="V72" s="123"/>
      <c r="W72" s="152">
        <v>0</v>
      </c>
      <c r="X72" s="33"/>
      <c r="Y72" s="63"/>
      <c r="Z72" s="123"/>
      <c r="AA72" s="152">
        <v>0</v>
      </c>
      <c r="AB72" s="33"/>
      <c r="AC72" s="63"/>
      <c r="AD72" s="123"/>
      <c r="AE72" s="152">
        <v>0</v>
      </c>
      <c r="AF72" s="33"/>
      <c r="AG72" s="63"/>
      <c r="AH72" s="123"/>
      <c r="AI72" s="152">
        <v>0</v>
      </c>
      <c r="AJ72" s="33"/>
      <c r="AK72" s="63"/>
      <c r="AL72" s="123"/>
      <c r="AM72" s="152">
        <v>0</v>
      </c>
      <c r="AN72" s="33"/>
      <c r="AO72" s="63"/>
      <c r="AP72" s="123"/>
      <c r="AQ72" s="152">
        <v>0</v>
      </c>
      <c r="AR72" s="33"/>
      <c r="AS72" s="63"/>
      <c r="AT72" s="123"/>
      <c r="AU72" s="152">
        <v>0</v>
      </c>
      <c r="AV72" s="54"/>
      <c r="AW72" s="69"/>
    </row>
    <row r="73" spans="2:49">
      <c r="B73" s="112" t="s">
        <v>39</v>
      </c>
      <c r="C73" s="154">
        <v>0</v>
      </c>
      <c r="D73" s="54"/>
      <c r="E73" s="69"/>
      <c r="F73" s="123"/>
      <c r="G73" s="154">
        <v>0</v>
      </c>
      <c r="H73" s="54"/>
      <c r="I73" s="69"/>
      <c r="J73" s="123"/>
      <c r="K73" s="154">
        <v>0</v>
      </c>
      <c r="L73" s="54"/>
      <c r="M73" s="69"/>
      <c r="N73" s="123"/>
      <c r="O73" s="154">
        <v>0</v>
      </c>
      <c r="P73" s="54"/>
      <c r="Q73" s="69"/>
      <c r="R73" s="123"/>
      <c r="S73" s="154">
        <v>0</v>
      </c>
      <c r="T73" s="54"/>
      <c r="U73" s="69"/>
      <c r="V73" s="123"/>
      <c r="W73" s="154">
        <v>0</v>
      </c>
      <c r="X73" s="54"/>
      <c r="Y73" s="69"/>
      <c r="Z73" s="123"/>
      <c r="AA73" s="154">
        <v>0</v>
      </c>
      <c r="AB73" s="54"/>
      <c r="AC73" s="69"/>
      <c r="AD73" s="123"/>
      <c r="AE73" s="154">
        <v>0</v>
      </c>
      <c r="AF73" s="54"/>
      <c r="AG73" s="69"/>
      <c r="AH73" s="123"/>
      <c r="AI73" s="154">
        <v>0</v>
      </c>
      <c r="AJ73" s="54"/>
      <c r="AK73" s="69"/>
      <c r="AL73" s="123"/>
      <c r="AM73" s="154">
        <v>0</v>
      </c>
      <c r="AN73" s="54"/>
      <c r="AO73" s="69"/>
      <c r="AP73" s="123"/>
      <c r="AQ73" s="154">
        <v>0</v>
      </c>
      <c r="AR73" s="54"/>
      <c r="AS73" s="69"/>
      <c r="AT73" s="123"/>
      <c r="AU73" s="154">
        <v>0</v>
      </c>
      <c r="AV73" s="54"/>
      <c r="AW73" s="69"/>
    </row>
    <row r="74" spans="2:49">
      <c r="B74" s="112" t="s">
        <v>40</v>
      </c>
      <c r="C74" s="154">
        <v>0</v>
      </c>
      <c r="D74" s="54"/>
      <c r="E74" s="69"/>
      <c r="F74" s="123"/>
      <c r="G74" s="154">
        <v>0</v>
      </c>
      <c r="H74" s="54"/>
      <c r="I74" s="69"/>
      <c r="J74" s="123"/>
      <c r="K74" s="154">
        <v>0</v>
      </c>
      <c r="L74" s="54"/>
      <c r="M74" s="69"/>
      <c r="N74" s="123"/>
      <c r="O74" s="154">
        <v>0</v>
      </c>
      <c r="P74" s="54"/>
      <c r="Q74" s="69"/>
      <c r="R74" s="123"/>
      <c r="S74" s="154">
        <v>0</v>
      </c>
      <c r="T74" s="54"/>
      <c r="U74" s="69"/>
      <c r="V74" s="123"/>
      <c r="W74" s="154">
        <v>0</v>
      </c>
      <c r="X74" s="54"/>
      <c r="Y74" s="69"/>
      <c r="Z74" s="123"/>
      <c r="AA74" s="154">
        <v>0</v>
      </c>
      <c r="AB74" s="54"/>
      <c r="AC74" s="69"/>
      <c r="AD74" s="123"/>
      <c r="AE74" s="154">
        <v>0</v>
      </c>
      <c r="AF74" s="54"/>
      <c r="AG74" s="69"/>
      <c r="AH74" s="123"/>
      <c r="AI74" s="154">
        <v>0</v>
      </c>
      <c r="AJ74" s="54"/>
      <c r="AK74" s="69"/>
      <c r="AL74" s="123"/>
      <c r="AM74" s="154">
        <v>0</v>
      </c>
      <c r="AN74" s="54"/>
      <c r="AO74" s="69"/>
      <c r="AP74" s="123"/>
      <c r="AQ74" s="154">
        <v>0</v>
      </c>
      <c r="AR74" s="54"/>
      <c r="AS74" s="69"/>
      <c r="AT74" s="123"/>
      <c r="AU74" s="154">
        <v>0</v>
      </c>
      <c r="AV74" s="54"/>
      <c r="AW74" s="69"/>
    </row>
    <row r="75" spans="2:49">
      <c r="B75" s="115" t="s">
        <v>41</v>
      </c>
      <c r="C75" s="156">
        <v>0</v>
      </c>
      <c r="D75" s="32"/>
      <c r="E75" s="68"/>
      <c r="F75" s="123"/>
      <c r="G75" s="156">
        <v>0</v>
      </c>
      <c r="H75" s="32"/>
      <c r="I75" s="68"/>
      <c r="J75" s="123"/>
      <c r="K75" s="156">
        <v>0</v>
      </c>
      <c r="L75" s="32"/>
      <c r="M75" s="68"/>
      <c r="N75" s="123"/>
      <c r="O75" s="156">
        <v>0</v>
      </c>
      <c r="P75" s="32"/>
      <c r="Q75" s="68"/>
      <c r="R75" s="123"/>
      <c r="S75" s="156">
        <v>0</v>
      </c>
      <c r="T75" s="32"/>
      <c r="U75" s="68"/>
      <c r="V75" s="123"/>
      <c r="W75" s="156">
        <v>0</v>
      </c>
      <c r="X75" s="32"/>
      <c r="Y75" s="68"/>
      <c r="Z75" s="123"/>
      <c r="AA75" s="156">
        <v>0</v>
      </c>
      <c r="AB75" s="32"/>
      <c r="AC75" s="68"/>
      <c r="AD75" s="123"/>
      <c r="AE75" s="156">
        <v>0</v>
      </c>
      <c r="AF75" s="32"/>
      <c r="AG75" s="68"/>
      <c r="AH75" s="123"/>
      <c r="AI75" s="156">
        <v>0</v>
      </c>
      <c r="AJ75" s="32"/>
      <c r="AK75" s="68"/>
      <c r="AL75" s="123"/>
      <c r="AM75" s="156">
        <v>0</v>
      </c>
      <c r="AN75" s="32"/>
      <c r="AO75" s="68"/>
      <c r="AP75" s="123"/>
      <c r="AQ75" s="156">
        <v>0</v>
      </c>
      <c r="AR75" s="32"/>
      <c r="AS75" s="68"/>
      <c r="AT75" s="123"/>
      <c r="AU75" s="156">
        <v>0</v>
      </c>
      <c r="AV75" s="32"/>
      <c r="AW75" s="68"/>
    </row>
    <row r="76" spans="2:49">
      <c r="C76" s="150"/>
      <c r="G76" s="150"/>
      <c r="K76" s="150"/>
      <c r="O76" s="150"/>
      <c r="S76" s="150"/>
      <c r="W76" s="150"/>
      <c r="AA76" s="150"/>
      <c r="AE76" s="150"/>
      <c r="AI76" s="150"/>
      <c r="AM76" s="150"/>
      <c r="AQ76" s="150"/>
      <c r="AU76" s="150"/>
    </row>
    <row r="77" spans="2:49">
      <c r="B77" s="137" t="s">
        <v>42</v>
      </c>
      <c r="C77" s="151"/>
      <c r="D77" s="140"/>
      <c r="E77" s="59"/>
      <c r="G77" s="151"/>
      <c r="H77" s="140"/>
      <c r="I77" s="59"/>
      <c r="K77" s="151"/>
      <c r="L77" s="140"/>
      <c r="M77" s="59"/>
      <c r="O77" s="151"/>
      <c r="P77" s="140"/>
      <c r="Q77" s="59"/>
      <c r="S77" s="151"/>
      <c r="T77" s="140"/>
      <c r="U77" s="59"/>
      <c r="W77" s="151"/>
      <c r="X77" s="140"/>
      <c r="Y77" s="59"/>
      <c r="AA77" s="151"/>
      <c r="AB77" s="140"/>
      <c r="AC77" s="59"/>
      <c r="AE77" s="151"/>
      <c r="AF77" s="140"/>
      <c r="AG77" s="59"/>
      <c r="AI77" s="151"/>
      <c r="AJ77" s="140"/>
      <c r="AK77" s="59"/>
      <c r="AM77" s="151"/>
      <c r="AN77" s="140"/>
      <c r="AO77" s="59"/>
      <c r="AQ77" s="151"/>
      <c r="AR77" s="140"/>
      <c r="AS77" s="59"/>
      <c r="AU77" s="151"/>
      <c r="AV77" s="21"/>
      <c r="AW77" s="67"/>
    </row>
    <row r="78" spans="2:49">
      <c r="B78" s="109" t="s">
        <v>43</v>
      </c>
      <c r="C78" s="152">
        <v>0</v>
      </c>
      <c r="D78" s="36"/>
      <c r="E78" s="61"/>
      <c r="F78" s="47"/>
      <c r="G78" s="152">
        <v>0</v>
      </c>
      <c r="H78" s="31"/>
      <c r="I78" s="61"/>
      <c r="J78" s="40"/>
      <c r="K78" s="152">
        <v>0</v>
      </c>
      <c r="L78" s="31"/>
      <c r="M78" s="61"/>
      <c r="N78" s="40"/>
      <c r="O78" s="152">
        <v>0</v>
      </c>
      <c r="P78" s="31"/>
      <c r="Q78" s="61"/>
      <c r="R78" s="40"/>
      <c r="S78" s="152">
        <v>0</v>
      </c>
      <c r="T78" s="31"/>
      <c r="U78" s="61"/>
      <c r="V78" s="40"/>
      <c r="W78" s="152">
        <v>0</v>
      </c>
      <c r="X78" s="31"/>
      <c r="Y78" s="61"/>
      <c r="Z78" s="40"/>
      <c r="AA78" s="152">
        <v>0</v>
      </c>
      <c r="AB78" s="31"/>
      <c r="AC78" s="61"/>
      <c r="AD78" s="40"/>
      <c r="AE78" s="152">
        <v>0</v>
      </c>
      <c r="AF78" s="31"/>
      <c r="AG78" s="61"/>
      <c r="AH78" s="40"/>
      <c r="AI78" s="152">
        <v>0</v>
      </c>
      <c r="AJ78" s="31"/>
      <c r="AK78" s="61"/>
      <c r="AL78" s="40"/>
      <c r="AM78" s="152">
        <v>0</v>
      </c>
      <c r="AN78" s="31"/>
      <c r="AO78" s="61"/>
      <c r="AP78" s="40"/>
      <c r="AQ78" s="152">
        <v>0</v>
      </c>
      <c r="AR78" s="31"/>
      <c r="AS78" s="61"/>
      <c r="AT78" s="40"/>
      <c r="AU78" s="152">
        <v>0</v>
      </c>
      <c r="AV78" s="52"/>
      <c r="AW78" s="53"/>
    </row>
    <row r="79" spans="2:49">
      <c r="B79" s="112" t="s">
        <v>44</v>
      </c>
      <c r="C79" s="154">
        <v>0</v>
      </c>
      <c r="D79" s="57"/>
      <c r="E79" s="53"/>
      <c r="F79" s="47"/>
      <c r="G79" s="154">
        <v>0</v>
      </c>
      <c r="H79" s="52"/>
      <c r="I79" s="53"/>
      <c r="J79" s="40"/>
      <c r="K79" s="154">
        <v>0</v>
      </c>
      <c r="L79" s="52"/>
      <c r="M79" s="53"/>
      <c r="N79" s="40"/>
      <c r="O79" s="154">
        <v>0</v>
      </c>
      <c r="P79" s="52"/>
      <c r="Q79" s="53"/>
      <c r="R79" s="40"/>
      <c r="S79" s="154">
        <v>0</v>
      </c>
      <c r="T79" s="52"/>
      <c r="U79" s="53"/>
      <c r="V79" s="40"/>
      <c r="W79" s="154">
        <v>0</v>
      </c>
      <c r="X79" s="52"/>
      <c r="Y79" s="53"/>
      <c r="Z79" s="40"/>
      <c r="AA79" s="154">
        <v>0</v>
      </c>
      <c r="AB79" s="52"/>
      <c r="AC79" s="53"/>
      <c r="AD79" s="40"/>
      <c r="AE79" s="154">
        <v>0</v>
      </c>
      <c r="AF79" s="52"/>
      <c r="AG79" s="53"/>
      <c r="AH79" s="40"/>
      <c r="AI79" s="154">
        <v>0</v>
      </c>
      <c r="AJ79" s="52"/>
      <c r="AK79" s="53"/>
      <c r="AL79" s="40"/>
      <c r="AM79" s="154">
        <v>0</v>
      </c>
      <c r="AN79" s="52"/>
      <c r="AO79" s="53"/>
      <c r="AP79" s="40"/>
      <c r="AQ79" s="154">
        <v>0</v>
      </c>
      <c r="AR79" s="52"/>
      <c r="AS79" s="53"/>
      <c r="AT79" s="40"/>
      <c r="AU79" s="154">
        <v>0</v>
      </c>
      <c r="AV79" s="52"/>
      <c r="AW79" s="53"/>
    </row>
    <row r="80" spans="2:49">
      <c r="B80" s="115" t="s">
        <v>162</v>
      </c>
      <c r="C80" s="156">
        <v>0</v>
      </c>
      <c r="D80" s="35"/>
      <c r="E80" s="24"/>
      <c r="F80" s="47"/>
      <c r="G80" s="156">
        <v>0</v>
      </c>
      <c r="H80" s="30"/>
      <c r="I80" s="24"/>
      <c r="J80" s="40"/>
      <c r="K80" s="156">
        <v>0</v>
      </c>
      <c r="L80" s="30"/>
      <c r="M80" s="24"/>
      <c r="N80" s="40"/>
      <c r="O80" s="156">
        <v>0</v>
      </c>
      <c r="P80" s="30"/>
      <c r="Q80" s="24"/>
      <c r="R80" s="40"/>
      <c r="S80" s="156">
        <v>0</v>
      </c>
      <c r="T80" s="30"/>
      <c r="U80" s="24"/>
      <c r="V80" s="40"/>
      <c r="W80" s="156">
        <v>0</v>
      </c>
      <c r="X80" s="30"/>
      <c r="Y80" s="24"/>
      <c r="Z80" s="40"/>
      <c r="AA80" s="156">
        <v>0</v>
      </c>
      <c r="AB80" s="30"/>
      <c r="AC80" s="24"/>
      <c r="AD80" s="40"/>
      <c r="AE80" s="156">
        <v>0</v>
      </c>
      <c r="AF80" s="30"/>
      <c r="AG80" s="24"/>
      <c r="AH80" s="40"/>
      <c r="AI80" s="156">
        <v>0</v>
      </c>
      <c r="AJ80" s="30"/>
      <c r="AK80" s="24"/>
      <c r="AL80" s="40"/>
      <c r="AM80" s="156">
        <v>0</v>
      </c>
      <c r="AN80" s="30"/>
      <c r="AO80" s="24"/>
      <c r="AP80" s="40"/>
      <c r="AQ80" s="156">
        <v>0</v>
      </c>
      <c r="AR80" s="30"/>
      <c r="AS80" s="24"/>
      <c r="AT80" s="40"/>
      <c r="AU80" s="156">
        <v>0</v>
      </c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:G16"/>
    </sheetView>
  </sheetViews>
  <sheetFormatPr baseColWidth="10" defaultColWidth="1.1640625" defaultRowHeight="14" x14ac:dyDescent="0"/>
  <cols>
    <col min="1" max="1" width="1.1640625" style="98" customWidth="1"/>
    <col min="2" max="2" width="34.33203125" style="181" customWidth="1"/>
    <col min="3" max="3" width="13.1640625" style="98" bestFit="1" customWidth="1"/>
    <col min="4" max="4" width="10.83203125" style="98" customWidth="1"/>
    <col min="5" max="6" width="12.1640625" style="98" customWidth="1"/>
    <col min="7" max="14" width="11" style="98" customWidth="1"/>
    <col min="15" max="16384" width="1.1640625" style="98"/>
  </cols>
  <sheetData>
    <row r="1" spans="2:14" ht="15" thickBot="1">
      <c r="B1" s="179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180" t="s">
        <v>171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B5" s="182" t="s">
        <v>108</v>
      </c>
    </row>
    <row r="6" spans="2:14">
      <c r="B6" s="183" t="s">
        <v>109</v>
      </c>
      <c r="C6" s="376">
        <f>VICE_USA!C18</f>
        <v>4997423</v>
      </c>
      <c r="D6" s="376">
        <f>VICE_USA!G18</f>
        <v>5865670</v>
      </c>
      <c r="E6" s="376">
        <f>VICE_USA!K18</f>
        <v>6831481</v>
      </c>
      <c r="F6" s="376">
        <f>VICE_USA!O18</f>
        <v>7054804</v>
      </c>
      <c r="G6" s="376">
        <f>VICE_USA!S18</f>
        <v>7361977</v>
      </c>
      <c r="H6" s="184">
        <f>VICE_USA!W18</f>
        <v>0</v>
      </c>
      <c r="I6" s="184">
        <f>VICE_Global!I17</f>
        <v>0</v>
      </c>
      <c r="J6" s="184">
        <f>VICE_Global!J17</f>
        <v>0</v>
      </c>
      <c r="K6" s="184">
        <f>VICE_Global!K17</f>
        <v>0</v>
      </c>
      <c r="L6" s="184">
        <f>VICE_Global!L17</f>
        <v>0</v>
      </c>
      <c r="M6" s="184">
        <f>VICE_Global!M17</f>
        <v>0</v>
      </c>
      <c r="N6" s="185">
        <f>VICE_Global!N17</f>
        <v>0</v>
      </c>
    </row>
    <row r="7" spans="2:14">
      <c r="B7" s="186" t="s">
        <v>110</v>
      </c>
      <c r="C7" s="377">
        <f>Motherboard_USA!C18</f>
        <v>1649346</v>
      </c>
      <c r="D7" s="377">
        <f>Motherboard_USA!G18</f>
        <v>1311356</v>
      </c>
      <c r="E7" s="377">
        <f>Motherboard_USA!K18</f>
        <v>1324866</v>
      </c>
      <c r="F7" s="377">
        <f>Motherboard_USA!O18</f>
        <v>1267183</v>
      </c>
      <c r="G7" s="377">
        <f>Motherboard_USA!S18</f>
        <v>1327462</v>
      </c>
      <c r="H7" s="187">
        <f>Motherboard_USA!W18</f>
        <v>0</v>
      </c>
      <c r="I7" s="187">
        <f>Motherboard_Global!I17</f>
        <v>0</v>
      </c>
      <c r="J7" s="187">
        <f>Motherboard_Global!J17</f>
        <v>0</v>
      </c>
      <c r="K7" s="187">
        <f>Motherboard_Global!K17</f>
        <v>0</v>
      </c>
      <c r="L7" s="187">
        <f>Motherboard_Global!L17</f>
        <v>0</v>
      </c>
      <c r="M7" s="187">
        <f>Motherboard_Global!M17</f>
        <v>0</v>
      </c>
      <c r="N7" s="188">
        <f>Motherboard_Global!N17</f>
        <v>0</v>
      </c>
    </row>
    <row r="8" spans="2:14">
      <c r="B8" s="186" t="s">
        <v>111</v>
      </c>
      <c r="C8" s="377">
        <f>Noisey_USA!C18</f>
        <v>1086194</v>
      </c>
      <c r="D8" s="377">
        <f>Noisey_USA!G18</f>
        <v>1232461</v>
      </c>
      <c r="E8" s="377">
        <f>Noisey_USA!K18</f>
        <v>1418557</v>
      </c>
      <c r="F8" s="377">
        <f>Noisey_USA!O18</f>
        <v>1759855</v>
      </c>
      <c r="G8" s="377">
        <f>Noisey_USA!S18</f>
        <v>1542048</v>
      </c>
      <c r="H8" s="187">
        <f>Noisey_USA!W18</f>
        <v>0</v>
      </c>
      <c r="I8" s="187">
        <f>Noisey_Global!I17</f>
        <v>0</v>
      </c>
      <c r="J8" s="187">
        <f>Noisey_Global!J17</f>
        <v>0</v>
      </c>
      <c r="K8" s="187">
        <f>Noisey_Global!K17</f>
        <v>0</v>
      </c>
      <c r="L8" s="187">
        <f>Noisey_Global!L17</f>
        <v>0</v>
      </c>
      <c r="M8" s="187">
        <f>Noisey_Global!M17</f>
        <v>0</v>
      </c>
      <c r="N8" s="188">
        <f>Noisey_Global!N17</f>
        <v>0</v>
      </c>
    </row>
    <row r="9" spans="2:14">
      <c r="B9" s="186" t="s">
        <v>180</v>
      </c>
      <c r="C9" s="377"/>
      <c r="D9" s="377"/>
      <c r="E9" s="377">
        <f>News_USA!K19</f>
        <v>740226</v>
      </c>
      <c r="F9" s="377">
        <f>News_USA!O18</f>
        <v>1364611</v>
      </c>
      <c r="G9" s="377">
        <f>News_USA!S18</f>
        <v>1387345</v>
      </c>
      <c r="H9" s="187">
        <f>News_USA!W18</f>
        <v>0</v>
      </c>
      <c r="I9" s="187"/>
      <c r="J9" s="187"/>
      <c r="K9" s="187"/>
      <c r="L9" s="187"/>
      <c r="M9" s="187"/>
      <c r="N9" s="188"/>
    </row>
    <row r="10" spans="2:14">
      <c r="B10" s="186" t="s">
        <v>188</v>
      </c>
      <c r="C10" s="377"/>
      <c r="D10" s="377"/>
      <c r="E10" s="377"/>
      <c r="F10" s="377">
        <f>Munchies_USA!O18</f>
        <v>445641</v>
      </c>
      <c r="G10" s="377">
        <f>Munchies_USA!S18</f>
        <v>388643</v>
      </c>
      <c r="H10" s="187">
        <f>Munchies_USA!W18</f>
        <v>0</v>
      </c>
      <c r="I10" s="187"/>
      <c r="J10" s="187"/>
      <c r="K10" s="187"/>
      <c r="L10" s="187"/>
      <c r="M10" s="187"/>
      <c r="N10" s="188"/>
    </row>
    <row r="11" spans="2:14">
      <c r="B11" s="186" t="s">
        <v>112</v>
      </c>
      <c r="C11" s="377">
        <f>TCP_USA!C18</f>
        <v>178508</v>
      </c>
      <c r="D11" s="377">
        <f>TCP_USA!D18</f>
        <v>239752</v>
      </c>
      <c r="E11" s="377">
        <f>TCP_USA!E18</f>
        <v>275183</v>
      </c>
      <c r="F11" s="377">
        <f>TCP_USA!F18</f>
        <v>337967</v>
      </c>
      <c r="G11" s="377">
        <f>TCP_USA!G17</f>
        <v>315530</v>
      </c>
      <c r="H11" s="187">
        <f>TCP_USA!H17</f>
        <v>0</v>
      </c>
      <c r="I11" s="187">
        <f>TCP_Global!I17</f>
        <v>0</v>
      </c>
      <c r="J11" s="187">
        <f>TCP_Global!J17</f>
        <v>0</v>
      </c>
      <c r="K11" s="187">
        <f>TCP_Global!K17</f>
        <v>0</v>
      </c>
      <c r="L11" s="187">
        <f>TCP_Global!L17</f>
        <v>0</v>
      </c>
      <c r="M11" s="187">
        <f>TCP_Global!M17</f>
        <v>0</v>
      </c>
      <c r="N11" s="188">
        <f>TCP_Global!N17</f>
        <v>0</v>
      </c>
    </row>
    <row r="12" spans="2:14">
      <c r="B12" s="186" t="s">
        <v>113</v>
      </c>
      <c r="C12" s="377">
        <f>Fightland_USA!C18</f>
        <v>81318</v>
      </c>
      <c r="D12" s="377">
        <f>Fightland_USA!G18</f>
        <v>104137</v>
      </c>
      <c r="E12" s="377">
        <f>Fightland_USA!K18</f>
        <v>169954</v>
      </c>
      <c r="F12" s="377">
        <f>Fightland_USA!O18</f>
        <v>150133</v>
      </c>
      <c r="G12" s="377">
        <f>Fightland_USA!S18</f>
        <v>166096</v>
      </c>
      <c r="H12" s="187">
        <f>Fightland_USA!W18</f>
        <v>0</v>
      </c>
      <c r="I12" s="187" t="e">
        <f>[1]Fightland_Global!I17</f>
        <v>#REF!</v>
      </c>
      <c r="J12" s="187" t="e">
        <f>[1]Fightland_Global!J17</f>
        <v>#REF!</v>
      </c>
      <c r="K12" s="187" t="e">
        <f>[1]Fightland_Global!K17</f>
        <v>#REF!</v>
      </c>
      <c r="L12" s="187" t="e">
        <f>[1]Fightland_Global!L17</f>
        <v>#REF!</v>
      </c>
      <c r="M12" s="187" t="e">
        <f>[1]Fightland_Global!M17</f>
        <v>#REF!</v>
      </c>
      <c r="N12" s="188" t="e">
        <f>[1]Fightland_Global!N17</f>
        <v>#REF!</v>
      </c>
    </row>
    <row r="13" spans="2:14">
      <c r="B13" s="186" t="s">
        <v>114</v>
      </c>
      <c r="C13" s="377">
        <f>Thump_USA!C18</f>
        <v>169225</v>
      </c>
      <c r="D13" s="377">
        <f>Thump_USA!G18</f>
        <v>151484</v>
      </c>
      <c r="E13" s="377">
        <f>Thump_USA!K18</f>
        <v>177550</v>
      </c>
      <c r="F13" s="377">
        <f>Thump_USA!O18</f>
        <v>227151</v>
      </c>
      <c r="G13" s="377">
        <f>Thump_USA!S18</f>
        <v>321013</v>
      </c>
      <c r="H13" s="187">
        <f>Thump_USA!W18</f>
        <v>0</v>
      </c>
      <c r="I13" s="187">
        <f>Thump_Global!I17</f>
        <v>0</v>
      </c>
      <c r="J13" s="187">
        <f>Thump_Global!J17</f>
        <v>0</v>
      </c>
      <c r="K13" s="187">
        <f>Thump_Global!K17</f>
        <v>0</v>
      </c>
      <c r="L13" s="187">
        <f>Thump_Global!L17</f>
        <v>0</v>
      </c>
      <c r="M13" s="187">
        <f>Thump_Global!M17</f>
        <v>0</v>
      </c>
      <c r="N13" s="188">
        <f>Thump_Global!N17</f>
        <v>0</v>
      </c>
    </row>
    <row r="14" spans="2:14">
      <c r="B14" s="189" t="s">
        <v>115</v>
      </c>
      <c r="C14" s="378">
        <f>iD_USA!C18</f>
        <v>32792</v>
      </c>
      <c r="D14" s="378">
        <f>iD_USA!G18</f>
        <v>44618</v>
      </c>
      <c r="E14" s="378">
        <f>iD_USA!K18</f>
        <v>43802</v>
      </c>
      <c r="F14" s="378">
        <f>iD_USA!O18</f>
        <v>57048</v>
      </c>
      <c r="G14" s="378">
        <f>iD_USA!S18</f>
        <v>36247</v>
      </c>
      <c r="H14" s="190">
        <f>iD_USA!W18</f>
        <v>0</v>
      </c>
      <c r="I14" s="190">
        <f>News_Global!I17</f>
        <v>0</v>
      </c>
      <c r="J14" s="190">
        <f>News_Global!J17</f>
        <v>0</v>
      </c>
      <c r="K14" s="190">
        <f>News_Global!K17</f>
        <v>0</v>
      </c>
      <c r="L14" s="190">
        <f>News_Global!L17</f>
        <v>0</v>
      </c>
      <c r="M14" s="190">
        <f>News_Global!M17</f>
        <v>0</v>
      </c>
      <c r="N14" s="191">
        <f>News_Global!N17</f>
        <v>0</v>
      </c>
    </row>
    <row r="15" spans="2:14">
      <c r="B15" s="182" t="s">
        <v>116</v>
      </c>
      <c r="C15" s="379">
        <f>SUM(C6:C14)</f>
        <v>8194806</v>
      </c>
      <c r="D15" s="379">
        <f t="shared" ref="D15:N15" si="0">SUM(D6:D14)</f>
        <v>8949478</v>
      </c>
      <c r="E15" s="379">
        <f t="shared" si="0"/>
        <v>10981619</v>
      </c>
      <c r="F15" s="379">
        <f t="shared" si="0"/>
        <v>12664393</v>
      </c>
      <c r="G15" s="379">
        <f t="shared" si="0"/>
        <v>12846361</v>
      </c>
      <c r="H15" s="192">
        <f t="shared" ref="H15" si="1">SUM(H6:H14)</f>
        <v>0</v>
      </c>
      <c r="I15" s="192" t="e">
        <f t="shared" si="0"/>
        <v>#REF!</v>
      </c>
      <c r="J15" s="192" t="e">
        <f t="shared" si="0"/>
        <v>#REF!</v>
      </c>
      <c r="K15" s="192" t="e">
        <f t="shared" si="0"/>
        <v>#REF!</v>
      </c>
      <c r="L15" s="192" t="e">
        <f t="shared" si="0"/>
        <v>#REF!</v>
      </c>
      <c r="M15" s="192" t="e">
        <f t="shared" si="0"/>
        <v>#REF!</v>
      </c>
      <c r="N15" s="192" t="e">
        <f t="shared" si="0"/>
        <v>#REF!</v>
      </c>
    </row>
    <row r="16" spans="2:14">
      <c r="C16" s="380"/>
      <c r="D16" s="387">
        <f>D15/C15-1</f>
        <v>9.2091502837285066E-2</v>
      </c>
      <c r="E16" s="387">
        <f t="shared" ref="E16:G16" si="2">E15/D15-1</f>
        <v>0.22706810386035925</v>
      </c>
      <c r="F16" s="387">
        <f t="shared" si="2"/>
        <v>0.15323551108447675</v>
      </c>
      <c r="G16" s="387">
        <f t="shared" si="2"/>
        <v>1.4368473877903298E-2</v>
      </c>
    </row>
    <row r="17" spans="2:14">
      <c r="B17" s="182" t="s">
        <v>168</v>
      </c>
      <c r="C17" s="206"/>
      <c r="D17" s="203"/>
      <c r="E17" s="203"/>
      <c r="F17" s="203"/>
      <c r="G17" s="203"/>
      <c r="H17" s="193"/>
      <c r="I17" s="193"/>
      <c r="J17" s="193"/>
      <c r="K17" s="193"/>
      <c r="L17" s="193"/>
      <c r="M17" s="193"/>
      <c r="N17" s="193"/>
    </row>
    <row r="18" spans="2:14">
      <c r="B18" s="183" t="s">
        <v>1</v>
      </c>
      <c r="C18" s="376">
        <f>VICE_USA!C19</f>
        <v>7688287</v>
      </c>
      <c r="D18" s="376">
        <f>VICE_USA!G19</f>
        <v>8552654</v>
      </c>
      <c r="E18" s="376">
        <f>VICE_USA!K19</f>
        <v>10817822</v>
      </c>
      <c r="F18" s="376">
        <f>VICE_USA!O19</f>
        <v>11624915</v>
      </c>
      <c r="G18" s="376">
        <f>VICE_USA!S19</f>
        <v>11953312</v>
      </c>
      <c r="H18" s="184">
        <f>VICE_USA!W19</f>
        <v>0</v>
      </c>
      <c r="I18" s="195" t="str">
        <f>VICE_Global!I7</f>
        <v>NM</v>
      </c>
      <c r="J18" s="195" t="str">
        <f>VICE_Global!J7</f>
        <v>NM</v>
      </c>
      <c r="K18" s="195" t="str">
        <f>VICE_Global!K7</f>
        <v>NM</v>
      </c>
      <c r="L18" s="195" t="str">
        <f>VICE_Global!L7</f>
        <v>NM</v>
      </c>
      <c r="M18" s="195" t="str">
        <f>VICE_Global!M7</f>
        <v>NM</v>
      </c>
      <c r="N18" s="196" t="str">
        <f>VICE_Global!N7</f>
        <v>NM</v>
      </c>
    </row>
    <row r="19" spans="2:14">
      <c r="B19" s="186" t="s">
        <v>51</v>
      </c>
      <c r="C19" s="377">
        <f>Motherboard_USA!C19</f>
        <v>1984858</v>
      </c>
      <c r="D19" s="377">
        <f>Motherboard_USA!G19</f>
        <v>1600934</v>
      </c>
      <c r="E19" s="377">
        <f>Motherboard_USA!K19</f>
        <v>1681141</v>
      </c>
      <c r="F19" s="377">
        <f>Motherboard_USA!O19</f>
        <v>1594839</v>
      </c>
      <c r="G19" s="377">
        <f>Motherboard_USA!S19</f>
        <v>1634362</v>
      </c>
      <c r="H19" s="187">
        <f>Motherboard_USA!W19</f>
        <v>0</v>
      </c>
      <c r="I19" s="198" t="str">
        <f>Motherboard_Global!I7</f>
        <v>NM</v>
      </c>
      <c r="J19" s="198" t="str">
        <f>Motherboard_Global!J7</f>
        <v>NM</v>
      </c>
      <c r="K19" s="198" t="str">
        <f>Motherboard_Global!K7</f>
        <v>NM</v>
      </c>
      <c r="L19" s="198" t="str">
        <f>Motherboard_Global!L7</f>
        <v>NM</v>
      </c>
      <c r="M19" s="198" t="str">
        <f>Motherboard_Global!M7</f>
        <v>NM</v>
      </c>
      <c r="N19" s="199" t="str">
        <f>Motherboard_Global!N7</f>
        <v>NM</v>
      </c>
    </row>
    <row r="20" spans="2:14">
      <c r="B20" s="186" t="s">
        <v>52</v>
      </c>
      <c r="C20" s="377">
        <f>Noisey_USA!C19</f>
        <v>1420099</v>
      </c>
      <c r="D20" s="377">
        <f>Noisey_USA!G19</f>
        <v>1656959</v>
      </c>
      <c r="E20" s="377">
        <f>Noisey_USA!K19</f>
        <v>1859341</v>
      </c>
      <c r="F20" s="377">
        <f>Noisey_USA!O19</f>
        <v>2336029</v>
      </c>
      <c r="G20" s="377">
        <f>Noisey_USA!S19</f>
        <v>2096454</v>
      </c>
      <c r="H20" s="187">
        <f>Noisey_USA!W19</f>
        <v>0</v>
      </c>
      <c r="I20" s="198" t="str">
        <f>Noisey_Global!I7</f>
        <v>NM</v>
      </c>
      <c r="J20" s="198" t="str">
        <f>Noisey_Global!J7</f>
        <v>NM</v>
      </c>
      <c r="K20" s="198" t="str">
        <f>Noisey_Global!K7</f>
        <v>NM</v>
      </c>
      <c r="L20" s="198" t="str">
        <f>Noisey_Global!L7</f>
        <v>NM</v>
      </c>
      <c r="M20" s="198" t="str">
        <f>Noisey_Global!M7</f>
        <v>NM</v>
      </c>
      <c r="N20" s="199" t="str">
        <f>Noisey_Global!N7</f>
        <v>NM</v>
      </c>
    </row>
    <row r="21" spans="2:14">
      <c r="B21" s="186" t="s">
        <v>180</v>
      </c>
      <c r="C21" s="377"/>
      <c r="D21" s="377"/>
      <c r="E21" s="377">
        <f>News_USA!K19</f>
        <v>740226</v>
      </c>
      <c r="F21" s="377">
        <f>News_USA!O19</f>
        <v>2018048</v>
      </c>
      <c r="G21" s="377">
        <f>News_USA!S19</f>
        <v>2127164</v>
      </c>
      <c r="H21" s="187">
        <f>News_USA!W19</f>
        <v>0</v>
      </c>
      <c r="I21" s="198"/>
      <c r="J21" s="198"/>
      <c r="K21" s="198"/>
      <c r="L21" s="198"/>
      <c r="M21" s="198"/>
      <c r="N21" s="199"/>
    </row>
    <row r="22" spans="2:14">
      <c r="B22" s="186" t="s">
        <v>188</v>
      </c>
      <c r="C22" s="377"/>
      <c r="D22" s="377"/>
      <c r="E22" s="377"/>
      <c r="F22" s="377">
        <f>Munchies_USA!O19</f>
        <v>605917</v>
      </c>
      <c r="G22" s="377">
        <f>Munchies_USA!S19</f>
        <v>550126</v>
      </c>
      <c r="H22" s="187">
        <f>Munchies_USA!W19</f>
        <v>0</v>
      </c>
      <c r="I22" s="198"/>
      <c r="J22" s="198"/>
      <c r="K22" s="198"/>
      <c r="L22" s="198"/>
      <c r="M22" s="198"/>
      <c r="N22" s="199"/>
    </row>
    <row r="23" spans="2:14">
      <c r="B23" s="186" t="s">
        <v>53</v>
      </c>
      <c r="C23" s="377">
        <f>TCP_USA!C19</f>
        <v>268155</v>
      </c>
      <c r="D23" s="377">
        <f>TCP_USA!D19</f>
        <v>345100</v>
      </c>
      <c r="E23" s="377">
        <f>TCP_USA!E19</f>
        <v>394810</v>
      </c>
      <c r="F23" s="377">
        <f>TCP_USA!F19</f>
        <v>480770</v>
      </c>
      <c r="G23" s="377">
        <f>TCP_USA!G19</f>
        <v>521966</v>
      </c>
      <c r="H23" s="187">
        <f>TCP_USA!H19</f>
        <v>0</v>
      </c>
      <c r="I23" s="198" t="str">
        <f>TCP_Global!I7</f>
        <v>NM</v>
      </c>
      <c r="J23" s="198" t="str">
        <f>TCP_Global!J7</f>
        <v>NM</v>
      </c>
      <c r="K23" s="198" t="str">
        <f>TCP_Global!K7</f>
        <v>NM</v>
      </c>
      <c r="L23" s="198" t="str">
        <f>TCP_Global!L7</f>
        <v>NM</v>
      </c>
      <c r="M23" s="198" t="str">
        <f>TCP_Global!M7</f>
        <v>NM</v>
      </c>
      <c r="N23" s="199" t="str">
        <f>TCP_Global!N7</f>
        <v>NM</v>
      </c>
    </row>
    <row r="24" spans="2:14">
      <c r="B24" s="186" t="s">
        <v>54</v>
      </c>
      <c r="C24" s="377">
        <f>Fightland_USA!C19</f>
        <v>110391</v>
      </c>
      <c r="D24" s="377">
        <f>Fightland_USA!G19</f>
        <v>138970</v>
      </c>
      <c r="E24" s="377">
        <f>Fightland_USA!K19</f>
        <v>226759</v>
      </c>
      <c r="F24" s="377">
        <f>Fightland_USA!O19</f>
        <v>223272</v>
      </c>
      <c r="G24" s="377">
        <f>Fightland_USA!S19</f>
        <v>243010</v>
      </c>
      <c r="H24" s="187">
        <f>Fightland_USA!W19</f>
        <v>0</v>
      </c>
      <c r="I24" s="198" t="str">
        <f>[1]Fightland_Global!I7</f>
        <v>NM</v>
      </c>
      <c r="J24" s="198" t="str">
        <f>[1]Fightland_Global!J7</f>
        <v>NM</v>
      </c>
      <c r="K24" s="198" t="str">
        <f>[1]Fightland_Global!K7</f>
        <v>NM</v>
      </c>
      <c r="L24" s="198" t="str">
        <f>[1]Fightland_Global!L7</f>
        <v>NM</v>
      </c>
      <c r="M24" s="198" t="str">
        <f>[1]Fightland_Global!M7</f>
        <v>NM</v>
      </c>
      <c r="N24" s="199" t="str">
        <f>[1]Fightland_Global!N7</f>
        <v>NM</v>
      </c>
    </row>
    <row r="25" spans="2:14">
      <c r="B25" s="186" t="s">
        <v>55</v>
      </c>
      <c r="C25" s="377">
        <f>Thump_USA!C19</f>
        <v>206330</v>
      </c>
      <c r="D25" s="377">
        <f>Thump_USA!G19</f>
        <v>185519</v>
      </c>
      <c r="E25" s="377">
        <f>Thump_USA!K19</f>
        <v>213190</v>
      </c>
      <c r="F25" s="377">
        <f>Thump_USA!O19</f>
        <v>285862</v>
      </c>
      <c r="G25" s="377">
        <f>Thump_USA!S19</f>
        <v>406251</v>
      </c>
      <c r="H25" s="187">
        <f>Thump_USA!W19</f>
        <v>0</v>
      </c>
      <c r="I25" s="198" t="str">
        <f>Thump_Global!I7</f>
        <v>NM</v>
      </c>
      <c r="J25" s="198" t="str">
        <f>Thump_Global!J7</f>
        <v>NM</v>
      </c>
      <c r="K25" s="198" t="str">
        <f>Thump_Global!K7</f>
        <v>NM</v>
      </c>
      <c r="L25" s="198" t="str">
        <f>Thump_Global!L7</f>
        <v>NM</v>
      </c>
      <c r="M25" s="198" t="str">
        <f>Thump_Global!M7</f>
        <v>NM</v>
      </c>
      <c r="N25" s="199" t="str">
        <f>Thump_Global!N7</f>
        <v>NM</v>
      </c>
    </row>
    <row r="26" spans="2:14">
      <c r="B26" s="189" t="s">
        <v>56</v>
      </c>
      <c r="C26" s="378">
        <f>iD_USA!C19</f>
        <v>41679</v>
      </c>
      <c r="D26" s="378">
        <f>iD_USA!G19</f>
        <v>54633</v>
      </c>
      <c r="E26" s="378">
        <f>iD_USA!K19</f>
        <v>55941</v>
      </c>
      <c r="F26" s="378">
        <f>iD_USA!O19</f>
        <v>74762</v>
      </c>
      <c r="G26" s="378">
        <f>iD_USA!S19</f>
        <v>49462</v>
      </c>
      <c r="H26" s="190">
        <f>iD_USA!W19</f>
        <v>0</v>
      </c>
      <c r="I26" s="201" t="str">
        <f>News_Global!I7</f>
        <v>NM</v>
      </c>
      <c r="J26" s="201" t="str">
        <f>News_Global!J7</f>
        <v>NM</v>
      </c>
      <c r="K26" s="201" t="str">
        <f>News_Global!K7</f>
        <v>NM</v>
      </c>
      <c r="L26" s="201" t="str">
        <f>News_Global!L7</f>
        <v>NM</v>
      </c>
      <c r="M26" s="201" t="str">
        <f>News_Global!M7</f>
        <v>NM</v>
      </c>
      <c r="N26" s="202" t="str">
        <f>News_Global!N7</f>
        <v>NM</v>
      </c>
    </row>
    <row r="27" spans="2:14">
      <c r="B27" s="182" t="s">
        <v>158</v>
      </c>
      <c r="C27" s="379">
        <f t="shared" ref="C27:H27" si="3">SUM(C18:C26)</f>
        <v>11719799</v>
      </c>
      <c r="D27" s="379">
        <f t="shared" si="3"/>
        <v>12534769</v>
      </c>
      <c r="E27" s="379">
        <f t="shared" si="3"/>
        <v>15989230</v>
      </c>
      <c r="F27" s="379">
        <f t="shared" si="3"/>
        <v>19244414</v>
      </c>
      <c r="G27" s="379">
        <f t="shared" si="3"/>
        <v>19582107</v>
      </c>
      <c r="H27" s="192">
        <f t="shared" si="3"/>
        <v>0</v>
      </c>
      <c r="I27" s="192">
        <f t="shared" ref="I27:N27" si="4">SUM(I18:I26)</f>
        <v>0</v>
      </c>
      <c r="J27" s="192">
        <f t="shared" si="4"/>
        <v>0</v>
      </c>
      <c r="K27" s="192">
        <f t="shared" si="4"/>
        <v>0</v>
      </c>
      <c r="L27" s="192">
        <f t="shared" si="4"/>
        <v>0</v>
      </c>
      <c r="M27" s="192">
        <f t="shared" si="4"/>
        <v>0</v>
      </c>
      <c r="N27" s="192">
        <f t="shared" si="4"/>
        <v>0</v>
      </c>
    </row>
    <row r="28" spans="2:14">
      <c r="C28" s="206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</row>
    <row r="29" spans="2:14">
      <c r="B29" s="80" t="s">
        <v>169</v>
      </c>
      <c r="C29" s="381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</row>
    <row r="30" spans="2:14">
      <c r="B30" s="183" t="s">
        <v>117</v>
      </c>
      <c r="C30" s="376">
        <f>VICE_USA!C24</f>
        <v>4672510</v>
      </c>
      <c r="D30" s="376">
        <f>VICE_USA!G24</f>
        <v>5180338</v>
      </c>
      <c r="E30" s="376">
        <f>VICE_USA!K24</f>
        <v>5989901</v>
      </c>
      <c r="F30" s="376">
        <f>VICE_USA!O24</f>
        <v>6320005</v>
      </c>
      <c r="G30" s="376">
        <f>VICE_USA!S24</f>
        <v>5870370</v>
      </c>
      <c r="H30" s="184">
        <f>VICE_USA!W24</f>
        <v>0</v>
      </c>
      <c r="I30" s="195" t="str">
        <f>VICE_Global!I8</f>
        <v>NM</v>
      </c>
      <c r="J30" s="195" t="str">
        <f>VICE_Global!J8</f>
        <v>NM</v>
      </c>
      <c r="K30" s="195" t="str">
        <f>VICE_Global!K8</f>
        <v>NM</v>
      </c>
      <c r="L30" s="195" t="str">
        <f>VICE_Global!L8</f>
        <v>NM</v>
      </c>
      <c r="M30" s="195" t="str">
        <f>VICE_Global!M8</f>
        <v>NM</v>
      </c>
      <c r="N30" s="196" t="str">
        <f>VICE_Global!N8</f>
        <v>NM</v>
      </c>
    </row>
    <row r="31" spans="2:14">
      <c r="B31" s="186" t="s">
        <v>51</v>
      </c>
      <c r="C31" s="377">
        <f>Motherboard_USA!C24</f>
        <v>1295367</v>
      </c>
      <c r="D31" s="377">
        <f>Motherboard_USA!G24</f>
        <v>1063903</v>
      </c>
      <c r="E31" s="377">
        <f>Motherboard_USA!K24</f>
        <v>1107111</v>
      </c>
      <c r="F31" s="377">
        <f>Motherboard_USA!O24</f>
        <v>1040940</v>
      </c>
      <c r="G31" s="377">
        <f>Motherboard_USA!S24</f>
        <v>1058636</v>
      </c>
      <c r="H31" s="187">
        <f>Motherboard_USA!W24</f>
        <v>0</v>
      </c>
      <c r="I31" s="198" t="str">
        <f>Motherboard_Global!I8</f>
        <v>NM</v>
      </c>
      <c r="J31" s="198" t="str">
        <f>Motherboard_Global!J8</f>
        <v>NM</v>
      </c>
      <c r="K31" s="198" t="str">
        <f>Motherboard_Global!K8</f>
        <v>NM</v>
      </c>
      <c r="L31" s="198" t="str">
        <f>Motherboard_Global!L8</f>
        <v>NM</v>
      </c>
      <c r="M31" s="198" t="str">
        <f>Motherboard_Global!M8</f>
        <v>NM</v>
      </c>
      <c r="N31" s="199" t="str">
        <f>Motherboard_Global!N8</f>
        <v>NM</v>
      </c>
    </row>
    <row r="32" spans="2:14">
      <c r="B32" s="186" t="s">
        <v>119</v>
      </c>
      <c r="C32" s="377">
        <f>Noisey_USA!C24</f>
        <v>840027</v>
      </c>
      <c r="D32" s="377">
        <f>Noisey_USA!G24</f>
        <v>946090</v>
      </c>
      <c r="E32" s="377">
        <f>Noisey_USA!K24</f>
        <v>1029474</v>
      </c>
      <c r="F32" s="377">
        <f>Noisey_USA!O24</f>
        <v>1173494</v>
      </c>
      <c r="G32" s="377">
        <f>Noisey_USA!S24</f>
        <v>1080377</v>
      </c>
      <c r="H32" s="187">
        <f>Noisey_USA!W24</f>
        <v>0</v>
      </c>
      <c r="I32" s="198" t="str">
        <f>Noisey_Global!I8</f>
        <v>NM</v>
      </c>
      <c r="J32" s="198" t="str">
        <f>Noisey_Global!J8</f>
        <v>NM</v>
      </c>
      <c r="K32" s="198" t="str">
        <f>Noisey_Global!K8</f>
        <v>NM</v>
      </c>
      <c r="L32" s="198" t="str">
        <f>Noisey_Global!L8</f>
        <v>NM</v>
      </c>
      <c r="M32" s="198" t="str">
        <f>Noisey_Global!M8</f>
        <v>NM</v>
      </c>
      <c r="N32" s="199" t="str">
        <f>Noisey_Global!N8</f>
        <v>NM</v>
      </c>
    </row>
    <row r="33" spans="2:14">
      <c r="B33" s="186" t="s">
        <v>120</v>
      </c>
      <c r="C33" s="377">
        <f>TCP_USA!C24</f>
        <v>217701</v>
      </c>
      <c r="D33" s="377">
        <f>TCP_USA!D24</f>
        <v>269179</v>
      </c>
      <c r="E33" s="377">
        <f>TCP_USA!E24</f>
        <v>298327</v>
      </c>
      <c r="F33" s="377">
        <f>TCP_USA!F24</f>
        <v>371285</v>
      </c>
      <c r="G33" s="377">
        <f>TCP_USA!G24</f>
        <v>380207</v>
      </c>
      <c r="H33" s="187">
        <f>TCP_USA!H24</f>
        <v>0</v>
      </c>
      <c r="I33" s="198" t="str">
        <f>TCP_Global!I8</f>
        <v>NM</v>
      </c>
      <c r="J33" s="198" t="str">
        <f>TCP_Global!J8</f>
        <v>NM</v>
      </c>
      <c r="K33" s="198" t="str">
        <f>TCP_Global!K8</f>
        <v>NM</v>
      </c>
      <c r="L33" s="198" t="str">
        <f>TCP_Global!L8</f>
        <v>NM</v>
      </c>
      <c r="M33" s="198" t="str">
        <f>TCP_Global!M8</f>
        <v>NM</v>
      </c>
      <c r="N33" s="199" t="str">
        <f>TCP_Global!N8</f>
        <v>NM</v>
      </c>
    </row>
    <row r="34" spans="2:14">
      <c r="B34" s="186" t="s">
        <v>180</v>
      </c>
      <c r="C34" s="377">
        <v>0</v>
      </c>
      <c r="D34" s="377">
        <v>0</v>
      </c>
      <c r="E34" s="377">
        <f>News_USA!K25</f>
        <v>802140</v>
      </c>
      <c r="F34" s="377">
        <f>News_USA!O25</f>
        <v>1718680</v>
      </c>
      <c r="G34" s="377">
        <f>News_USA!S25</f>
        <v>1805161</v>
      </c>
      <c r="H34" s="187">
        <f>News_USA!W25</f>
        <v>0</v>
      </c>
      <c r="I34" s="198"/>
      <c r="J34" s="198"/>
      <c r="K34" s="198"/>
      <c r="L34" s="198"/>
      <c r="M34" s="198"/>
      <c r="N34" s="199"/>
    </row>
    <row r="35" spans="2:14">
      <c r="B35" s="186" t="s">
        <v>188</v>
      </c>
      <c r="C35" s="377">
        <v>0</v>
      </c>
      <c r="D35" s="377">
        <v>0</v>
      </c>
      <c r="E35" s="377">
        <v>0</v>
      </c>
      <c r="F35" s="377">
        <f>Munchies_USA!O25</f>
        <v>525662</v>
      </c>
      <c r="G35" s="377">
        <f>Munchies_USA!S25</f>
        <v>572343</v>
      </c>
      <c r="H35" s="187">
        <f>Munchies_USA!W25</f>
        <v>0</v>
      </c>
      <c r="I35" s="198"/>
      <c r="J35" s="198"/>
      <c r="K35" s="198"/>
      <c r="L35" s="198"/>
      <c r="M35" s="198"/>
      <c r="N35" s="199"/>
    </row>
    <row r="36" spans="2:14">
      <c r="B36" s="186" t="s">
        <v>121</v>
      </c>
      <c r="C36" s="377">
        <f>Fightland_USA!C24</f>
        <v>82513</v>
      </c>
      <c r="D36" s="377">
        <f>Fightland_USA!G24</f>
        <v>95040</v>
      </c>
      <c r="E36" s="377">
        <f>Fightland_USA!K24</f>
        <v>125178</v>
      </c>
      <c r="F36" s="377">
        <f>Fightland_USA!O24</f>
        <v>148252</v>
      </c>
      <c r="G36" s="377">
        <f>Fightland_USA!S24</f>
        <v>151060</v>
      </c>
      <c r="H36" s="187">
        <f>Fightland_USA!W24</f>
        <v>0</v>
      </c>
      <c r="I36" s="198" t="str">
        <f>[1]Fightland_Global!I8</f>
        <v>NM</v>
      </c>
      <c r="J36" s="198" t="str">
        <f>[1]Fightland_Global!J8</f>
        <v>NM</v>
      </c>
      <c r="K36" s="198" t="str">
        <f>[1]Fightland_Global!K8</f>
        <v>NM</v>
      </c>
      <c r="L36" s="198" t="str">
        <f>[1]Fightland_Global!L8</f>
        <v>NM</v>
      </c>
      <c r="M36" s="198" t="str">
        <f>[1]Fightland_Global!M8</f>
        <v>NM</v>
      </c>
      <c r="N36" s="199" t="str">
        <f>[1]Fightland_Global!N8</f>
        <v>NM</v>
      </c>
    </row>
    <row r="37" spans="2:14">
      <c r="B37" s="186" t="s">
        <v>55</v>
      </c>
      <c r="C37" s="377">
        <f>Thump_USA!C24</f>
        <v>128079</v>
      </c>
      <c r="D37" s="377">
        <f>Thump_USA!G24</f>
        <v>122734</v>
      </c>
      <c r="E37" s="377">
        <f>Thump_USA!K24</f>
        <v>130709</v>
      </c>
      <c r="F37" s="377">
        <f>Thump_USA!O24</f>
        <v>171942</v>
      </c>
      <c r="G37" s="377">
        <f>Thump_USA!S24</f>
        <v>226526</v>
      </c>
      <c r="H37" s="187">
        <f>Thump_USA!W24</f>
        <v>0</v>
      </c>
      <c r="I37" s="198" t="str">
        <f>Thump_Global!I8</f>
        <v>NM</v>
      </c>
      <c r="J37" s="198" t="str">
        <f>Thump_Global!J8</f>
        <v>NM</v>
      </c>
      <c r="K37" s="198" t="str">
        <f>Thump_Global!K8</f>
        <v>NM</v>
      </c>
      <c r="L37" s="198" t="str">
        <f>Thump_Global!L8</f>
        <v>NM</v>
      </c>
      <c r="M37" s="198" t="str">
        <f>Thump_Global!M8</f>
        <v>NM</v>
      </c>
      <c r="N37" s="199" t="str">
        <f>Thump_Global!N8</f>
        <v>NM</v>
      </c>
    </row>
    <row r="38" spans="2:14">
      <c r="B38" s="189" t="s">
        <v>56</v>
      </c>
      <c r="C38" s="378">
        <f>iD_USA!C24</f>
        <v>27604</v>
      </c>
      <c r="D38" s="378">
        <f>iD_USA!G24</f>
        <v>35025</v>
      </c>
      <c r="E38" s="378">
        <f>iD_USA!K24</f>
        <v>34510</v>
      </c>
      <c r="F38" s="378">
        <f>iD_USA!O24</f>
        <v>44610</v>
      </c>
      <c r="G38" s="378">
        <f>iD_USA!S24</f>
        <v>40199</v>
      </c>
      <c r="H38" s="190">
        <f>iD_USA!W24</f>
        <v>0</v>
      </c>
      <c r="I38" s="201" t="str">
        <f>News_Global!I8</f>
        <v>NM</v>
      </c>
      <c r="J38" s="201" t="str">
        <f>News_Global!J8</f>
        <v>NM</v>
      </c>
      <c r="K38" s="201" t="str">
        <f>News_Global!K8</f>
        <v>NM</v>
      </c>
      <c r="L38" s="201" t="str">
        <f>News_Global!L8</f>
        <v>NM</v>
      </c>
      <c r="M38" s="201" t="str">
        <f>News_Global!M8</f>
        <v>NM</v>
      </c>
      <c r="N38" s="202" t="str">
        <f>News_Global!N8</f>
        <v>NM</v>
      </c>
    </row>
    <row r="39" spans="2:14">
      <c r="B39" s="182" t="s">
        <v>116</v>
      </c>
      <c r="C39" s="379">
        <f>SUM(C30:C38)</f>
        <v>7263801</v>
      </c>
      <c r="D39" s="379">
        <f t="shared" ref="D39:N39" si="5">SUM(D30:D38)</f>
        <v>7712309</v>
      </c>
      <c r="E39" s="379">
        <f t="shared" si="5"/>
        <v>9517350</v>
      </c>
      <c r="F39" s="379">
        <f t="shared" si="5"/>
        <v>11514870</v>
      </c>
      <c r="G39" s="379">
        <f t="shared" si="5"/>
        <v>11184879</v>
      </c>
      <c r="H39" s="192">
        <f t="shared" ref="H39" si="6">SUM(H30:H38)</f>
        <v>0</v>
      </c>
      <c r="I39" s="192">
        <f t="shared" si="5"/>
        <v>0</v>
      </c>
      <c r="J39" s="192">
        <f t="shared" si="5"/>
        <v>0</v>
      </c>
      <c r="K39" s="192">
        <f t="shared" si="5"/>
        <v>0</v>
      </c>
      <c r="L39" s="192">
        <f t="shared" si="5"/>
        <v>0</v>
      </c>
      <c r="M39" s="192">
        <f t="shared" si="5"/>
        <v>0</v>
      </c>
      <c r="N39" s="192">
        <f t="shared" si="5"/>
        <v>0</v>
      </c>
    </row>
    <row r="40" spans="2:14"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</row>
    <row r="41" spans="2:14">
      <c r="B41" s="182" t="s">
        <v>124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</row>
    <row r="42" spans="2:14">
      <c r="B42" s="183" t="s">
        <v>117</v>
      </c>
      <c r="C42" s="207">
        <f>VICE_Global!C20</f>
        <v>5.0999999999999996</v>
      </c>
      <c r="D42" s="207">
        <f>VICE_Global!D20</f>
        <v>4.3</v>
      </c>
      <c r="E42" s="207">
        <f>VICE_Global!E20</f>
        <v>4.33</v>
      </c>
      <c r="F42" s="207">
        <f>VICE_Global!F20</f>
        <v>4.38</v>
      </c>
      <c r="G42" s="207">
        <f>VICE_Global!G20</f>
        <v>4.13</v>
      </c>
      <c r="H42" s="207">
        <f>VICE_Global!H20</f>
        <v>0</v>
      </c>
      <c r="I42" s="207">
        <f>VICE_Global!I20</f>
        <v>0</v>
      </c>
      <c r="J42" s="207">
        <f>VICE_Global!J20</f>
        <v>0</v>
      </c>
      <c r="K42" s="207">
        <f>VICE_Global!K20</f>
        <v>0</v>
      </c>
      <c r="L42" s="207">
        <f>VICE_Global!L20</f>
        <v>0</v>
      </c>
      <c r="M42" s="207">
        <f>VICE_Global!M20</f>
        <v>0</v>
      </c>
      <c r="N42" s="208">
        <f>VICE_Global!N20</f>
        <v>0</v>
      </c>
    </row>
    <row r="43" spans="2:14">
      <c r="B43" s="186" t="s">
        <v>51</v>
      </c>
      <c r="C43" s="209">
        <f>Motherboard_Global!C20</f>
        <v>1.54</v>
      </c>
      <c r="D43" s="209">
        <f>Motherboard_Global!D20</f>
        <v>2.17</v>
      </c>
      <c r="E43" s="209">
        <f>Motherboard_Global!E20</f>
        <v>3.39</v>
      </c>
      <c r="F43" s="209">
        <f>Motherboard_Global!F20</f>
        <v>3.28</v>
      </c>
      <c r="G43" s="209">
        <f>Motherboard_Global!G20</f>
        <v>2.2400000000000002</v>
      </c>
      <c r="H43" s="209">
        <f>Motherboard_Global!H20</f>
        <v>0</v>
      </c>
      <c r="I43" s="209">
        <f>Motherboard_Global!I20</f>
        <v>0</v>
      </c>
      <c r="J43" s="209">
        <f>Motherboard_Global!J20</f>
        <v>0</v>
      </c>
      <c r="K43" s="209">
        <f>Motherboard_Global!K20</f>
        <v>0</v>
      </c>
      <c r="L43" s="209">
        <f>Motherboard_Global!L20</f>
        <v>0</v>
      </c>
      <c r="M43" s="209">
        <f>Motherboard_Global!M20</f>
        <v>0</v>
      </c>
      <c r="N43" s="210">
        <f>Motherboard_Global!N20</f>
        <v>0</v>
      </c>
    </row>
    <row r="44" spans="2:14">
      <c r="B44" s="186" t="s">
        <v>119</v>
      </c>
      <c r="C44" s="209">
        <f>Noisey_Global!C20</f>
        <v>2.06</v>
      </c>
      <c r="D44" s="209">
        <f>Noisey_Global!D20</f>
        <v>2.0299999999999998</v>
      </c>
      <c r="E44" s="209">
        <f>Noisey_Global!E20</f>
        <v>2.02</v>
      </c>
      <c r="F44" s="209">
        <f>Noisey_Global!F20</f>
        <v>2</v>
      </c>
      <c r="G44" s="209">
        <f>Noisey_Global!G20</f>
        <v>2.06</v>
      </c>
      <c r="H44" s="209">
        <f>Noisey_Global!H20</f>
        <v>0</v>
      </c>
      <c r="I44" s="209">
        <f>Noisey_Global!I20</f>
        <v>0</v>
      </c>
      <c r="J44" s="209">
        <f>Noisey_Global!J20</f>
        <v>0</v>
      </c>
      <c r="K44" s="209">
        <f>Noisey_Global!K20</f>
        <v>0</v>
      </c>
      <c r="L44" s="209">
        <f>Noisey_Global!L20</f>
        <v>0</v>
      </c>
      <c r="M44" s="209">
        <f>Noisey_Global!M20</f>
        <v>0</v>
      </c>
      <c r="N44" s="210">
        <f>Noisey_Global!N20</f>
        <v>0</v>
      </c>
    </row>
    <row r="45" spans="2:14">
      <c r="B45" s="186" t="s">
        <v>180</v>
      </c>
      <c r="C45" s="209">
        <v>0</v>
      </c>
      <c r="D45" s="209">
        <v>0</v>
      </c>
      <c r="E45" s="209">
        <f>News_USA!K21</f>
        <v>2.52</v>
      </c>
      <c r="F45" s="209">
        <f>News_USA!O21</f>
        <v>2.0699999999999998</v>
      </c>
      <c r="G45" s="209">
        <f>News_USA!S21</f>
        <v>2.17</v>
      </c>
      <c r="H45" s="209">
        <f>News_USA!W21</f>
        <v>0</v>
      </c>
      <c r="I45" s="209"/>
      <c r="J45" s="209"/>
      <c r="K45" s="209"/>
      <c r="L45" s="209"/>
      <c r="M45" s="209"/>
      <c r="N45" s="210"/>
    </row>
    <row r="46" spans="2:14">
      <c r="B46" s="186" t="s">
        <v>188</v>
      </c>
      <c r="C46" s="209">
        <v>0</v>
      </c>
      <c r="D46" s="209">
        <v>0</v>
      </c>
      <c r="E46" s="209">
        <v>0</v>
      </c>
      <c r="F46" s="209">
        <f>Munchies_USA!O21</f>
        <v>2.4</v>
      </c>
      <c r="G46" s="209">
        <f>Munchies_USA!S21</f>
        <v>3.2</v>
      </c>
      <c r="H46" s="209">
        <f>Munchies_USA!W21</f>
        <v>0</v>
      </c>
      <c r="I46" s="209"/>
      <c r="J46" s="209"/>
      <c r="K46" s="209"/>
      <c r="L46" s="209"/>
      <c r="M46" s="209"/>
      <c r="N46" s="210"/>
    </row>
    <row r="47" spans="2:14">
      <c r="B47" s="186" t="s">
        <v>53</v>
      </c>
      <c r="C47" s="209">
        <f>TCP_Global!C20</f>
        <v>2.36</v>
      </c>
      <c r="D47" s="209">
        <f>TCP_Global!D20</f>
        <v>2.1</v>
      </c>
      <c r="E47" s="209">
        <f>TCP_Global!E20</f>
        <v>2.04</v>
      </c>
      <c r="F47" s="209">
        <f>TCP_Global!F20</f>
        <v>2.11</v>
      </c>
      <c r="G47" s="209">
        <f>TCP_Global!G20</f>
        <v>1.36</v>
      </c>
      <c r="H47" s="209">
        <f>TCP_Global!H20</f>
        <v>0</v>
      </c>
      <c r="I47" s="209">
        <f>TCP_Global!I20</f>
        <v>0</v>
      </c>
      <c r="J47" s="209">
        <f>TCP_Global!J20</f>
        <v>0</v>
      </c>
      <c r="K47" s="209">
        <f>TCP_Global!K20</f>
        <v>0</v>
      </c>
      <c r="L47" s="209">
        <f>TCP_Global!L20</f>
        <v>0</v>
      </c>
      <c r="M47" s="209">
        <f>TCP_Global!M20</f>
        <v>0</v>
      </c>
      <c r="N47" s="210">
        <f>TCP_Global!N20</f>
        <v>0</v>
      </c>
    </row>
    <row r="48" spans="2:14">
      <c r="B48" s="186" t="s">
        <v>121</v>
      </c>
      <c r="C48" s="209">
        <f>Fightland_USA!C21</f>
        <v>3.45</v>
      </c>
      <c r="D48" s="209">
        <f>Fightland_USA!G21</f>
        <v>3.06</v>
      </c>
      <c r="E48" s="209">
        <f>Fightland_USA!K21</f>
        <v>2.41</v>
      </c>
      <c r="F48" s="209">
        <f>Fightland_USA!O21</f>
        <v>3.48</v>
      </c>
      <c r="G48" s="209">
        <f>Fightland_USA!S21</f>
        <v>3.12</v>
      </c>
      <c r="H48" s="197">
        <f>Fightland_USA!W21</f>
        <v>0</v>
      </c>
      <c r="I48" s="209" t="e">
        <f>[1]Fightland_Global!I20</f>
        <v>#REF!</v>
      </c>
      <c r="J48" s="209" t="e">
        <f>[1]Fightland_Global!J20</f>
        <v>#REF!</v>
      </c>
      <c r="K48" s="209" t="e">
        <f>[1]Fightland_Global!K20</f>
        <v>#REF!</v>
      </c>
      <c r="L48" s="209" t="e">
        <f>[1]Fightland_Global!L20</f>
        <v>#REF!</v>
      </c>
      <c r="M48" s="209" t="e">
        <f>[1]Fightland_Global!M20</f>
        <v>#REF!</v>
      </c>
      <c r="N48" s="210" t="e">
        <f>[1]Fightland_Global!N20</f>
        <v>#REF!</v>
      </c>
    </row>
    <row r="49" spans="2:14">
      <c r="B49" s="186" t="s">
        <v>55</v>
      </c>
      <c r="C49" s="209">
        <f>Thump_Global!C20</f>
        <v>2.34</v>
      </c>
      <c r="D49" s="209">
        <f>Thump_Global!D20</f>
        <v>1.55</v>
      </c>
      <c r="E49" s="209">
        <f>Thump_Global!E20</f>
        <v>1.4</v>
      </c>
      <c r="F49" s="209">
        <f>Thump_Global!F20</f>
        <v>1.31</v>
      </c>
      <c r="G49" s="209">
        <f>Thump_Global!G20</f>
        <v>1.41</v>
      </c>
      <c r="H49" s="209">
        <f>Thump_Global!H20</f>
        <v>0</v>
      </c>
      <c r="I49" s="209">
        <f>Thump_Global!I20</f>
        <v>0</v>
      </c>
      <c r="J49" s="209">
        <f>Thump_Global!J20</f>
        <v>0</v>
      </c>
      <c r="K49" s="209">
        <f>Thump_Global!K20</f>
        <v>0</v>
      </c>
      <c r="L49" s="209">
        <f>Thump_Global!L20</f>
        <v>0</v>
      </c>
      <c r="M49" s="209">
        <f>Thump_Global!M20</f>
        <v>0</v>
      </c>
      <c r="N49" s="210">
        <f>Thump_Global!N20</f>
        <v>0</v>
      </c>
    </row>
    <row r="50" spans="2:14">
      <c r="B50" s="189" t="s">
        <v>56</v>
      </c>
      <c r="C50" s="211">
        <f>News_Global!C20</f>
        <v>0</v>
      </c>
      <c r="D50" s="211">
        <f>News_Global!D20</f>
        <v>0</v>
      </c>
      <c r="E50" s="211">
        <f>News_Global!E20</f>
        <v>3.08</v>
      </c>
      <c r="F50" s="211">
        <f>News_Global!F20</f>
        <v>2.14</v>
      </c>
      <c r="G50" s="211">
        <f>News_Global!G20</f>
        <v>2.2799999999999998</v>
      </c>
      <c r="H50" s="211">
        <f>News_Global!H20</f>
        <v>0</v>
      </c>
      <c r="I50" s="211">
        <f>News_Global!I20</f>
        <v>0</v>
      </c>
      <c r="J50" s="211">
        <f>News_Global!J20</f>
        <v>0</v>
      </c>
      <c r="K50" s="211">
        <f>News_Global!K20</f>
        <v>0</v>
      </c>
      <c r="L50" s="211">
        <f>News_Global!L20</f>
        <v>0</v>
      </c>
      <c r="M50" s="211">
        <f>News_Global!M20</f>
        <v>0</v>
      </c>
      <c r="N50" s="212">
        <f>News_Global!N20</f>
        <v>0</v>
      </c>
    </row>
    <row r="51" spans="2:14">
      <c r="C51" s="206"/>
      <c r="D51" s="206"/>
      <c r="E51" s="206"/>
      <c r="F51" s="206"/>
      <c r="G51" s="206"/>
    </row>
    <row r="52" spans="2:14">
      <c r="B52" s="80" t="s">
        <v>170</v>
      </c>
      <c r="C52" s="206"/>
      <c r="D52" s="206"/>
      <c r="E52" s="206"/>
      <c r="F52" s="206"/>
      <c r="G52" s="206"/>
    </row>
    <row r="53" spans="2:14">
      <c r="B53" s="183" t="s">
        <v>117</v>
      </c>
      <c r="C53" s="221">
        <f>VICE_USA!C13</f>
        <v>0.39225603830866357</v>
      </c>
      <c r="D53" s="221">
        <f>VICE_USA!G13</f>
        <v>0.39430052940291982</v>
      </c>
      <c r="E53" s="221">
        <f>VICE_USA!K13</f>
        <v>0.44629325570341238</v>
      </c>
      <c r="F53" s="221">
        <f>VICE_USA!O13</f>
        <v>0.4563396807632572</v>
      </c>
      <c r="G53" s="221">
        <f>VICE_USA!S13</f>
        <v>0.50889176154692528</v>
      </c>
      <c r="H53" s="221" t="str">
        <f>VICE_USA!W13</f>
        <v>NM</v>
      </c>
      <c r="I53" s="221" t="str">
        <f>VICE_Global!I12</f>
        <v>NM</v>
      </c>
      <c r="J53" s="221" t="str">
        <f>VICE_Global!J12</f>
        <v>NM</v>
      </c>
      <c r="K53" s="221" t="str">
        <f>VICE_Global!K12</f>
        <v>NM</v>
      </c>
      <c r="L53" s="221" t="str">
        <f>VICE_Global!L12</f>
        <v>NM</v>
      </c>
      <c r="M53" s="221" t="str">
        <f>VICE_Global!M12</f>
        <v>NM</v>
      </c>
      <c r="N53" s="222" t="str">
        <f>VICE_Global!N12</f>
        <v>NM</v>
      </c>
    </row>
    <row r="54" spans="2:14">
      <c r="B54" s="186" t="s">
        <v>51</v>
      </c>
      <c r="C54" s="223">
        <f>Motherboard_USA!C13</f>
        <v>0.34737547975724209</v>
      </c>
      <c r="D54" s="223">
        <f>Motherboard_USA!G13</f>
        <v>0.33544855690490677</v>
      </c>
      <c r="E54" s="223">
        <f>Motherboard_USA!K13</f>
        <v>0.34145262057138576</v>
      </c>
      <c r="F54" s="223">
        <f>Motherboard_USA!O13</f>
        <v>0.34730715765039605</v>
      </c>
      <c r="G54" s="223">
        <f>Motherboard_USA!S13</f>
        <v>0.35226345203816534</v>
      </c>
      <c r="H54" s="223" t="str">
        <f>Motherboard_USA!W13</f>
        <v>NM</v>
      </c>
      <c r="I54" s="223" t="str">
        <f>Motherboard_Global!I12</f>
        <v>NM</v>
      </c>
      <c r="J54" s="223" t="str">
        <f>Motherboard_Global!J12</f>
        <v>NM</v>
      </c>
      <c r="K54" s="223" t="str">
        <f>Motherboard_Global!K12</f>
        <v>NM</v>
      </c>
      <c r="L54" s="223" t="str">
        <f>Motherboard_Global!L12</f>
        <v>NM</v>
      </c>
      <c r="M54" s="223" t="str">
        <f>Motherboard_Global!M12</f>
        <v>NM</v>
      </c>
      <c r="N54" s="224" t="str">
        <f>Motherboard_Global!N12</f>
        <v>NM</v>
      </c>
    </row>
    <row r="55" spans="2:14">
      <c r="B55" s="186" t="s">
        <v>119</v>
      </c>
      <c r="C55" s="223">
        <f>Noisey_USA!C13</f>
        <v>0.40847293040837296</v>
      </c>
      <c r="D55" s="223">
        <f>Noisey_USA!G13</f>
        <v>0.42902027147322291</v>
      </c>
      <c r="E55" s="223">
        <f>Noisey_USA!K13</f>
        <v>0.44632318654835235</v>
      </c>
      <c r="F55" s="223">
        <f>Noisey_USA!O13</f>
        <v>0.49765435274990166</v>
      </c>
      <c r="G55" s="223">
        <f>Noisey_USA!S13</f>
        <v>0.48466458124051376</v>
      </c>
      <c r="H55" s="223" t="str">
        <f>Noisey_USA!W13</f>
        <v>NM</v>
      </c>
      <c r="I55" s="223" t="str">
        <f>Noisey_Global!I12</f>
        <v>NM</v>
      </c>
      <c r="J55" s="223" t="str">
        <f>Noisey_Global!J12</f>
        <v>NM</v>
      </c>
      <c r="K55" s="223" t="str">
        <f>Noisey_Global!K12</f>
        <v>NM</v>
      </c>
      <c r="L55" s="223" t="str">
        <f>Noisey_Global!L12</f>
        <v>NM</v>
      </c>
      <c r="M55" s="223" t="str">
        <f>Noisey_Global!M12</f>
        <v>NM</v>
      </c>
      <c r="N55" s="224" t="str">
        <f>Noisey_Global!N12</f>
        <v>NM</v>
      </c>
    </row>
    <row r="56" spans="2:14">
      <c r="B56" s="186" t="s">
        <v>180</v>
      </c>
      <c r="C56" s="223">
        <v>0</v>
      </c>
      <c r="D56" s="223">
        <v>0</v>
      </c>
      <c r="E56" s="223">
        <f>News_USA!K13</f>
        <v>0.40719726137693085</v>
      </c>
      <c r="F56" s="223">
        <f>News_USA!O13</f>
        <v>0.4889784583914753</v>
      </c>
      <c r="G56" s="223">
        <f>News_USA!S13</f>
        <v>0.48877519551854015</v>
      </c>
      <c r="H56" s="223" t="str">
        <f>News_USA!W13</f>
        <v>NM</v>
      </c>
      <c r="I56" s="223"/>
      <c r="J56" s="223"/>
      <c r="K56" s="223"/>
      <c r="L56" s="223"/>
      <c r="M56" s="223"/>
      <c r="N56" s="224"/>
    </row>
    <row r="57" spans="2:14">
      <c r="B57" s="186" t="s">
        <v>188</v>
      </c>
      <c r="C57" s="223">
        <v>0</v>
      </c>
      <c r="D57" s="223">
        <v>0</v>
      </c>
      <c r="E57" s="223">
        <v>0</v>
      </c>
      <c r="F57" s="223">
        <f>Munchies_USA!O13</f>
        <v>0.45473554958847501</v>
      </c>
      <c r="G57" s="223">
        <f>Munchies_USA!S13</f>
        <v>0.41598833721729206</v>
      </c>
      <c r="H57" s="223" t="str">
        <f>Munchies_USA!W13</f>
        <v>NM</v>
      </c>
      <c r="I57" s="223"/>
      <c r="J57" s="223"/>
      <c r="K57" s="223"/>
      <c r="L57" s="223"/>
      <c r="M57" s="223"/>
      <c r="N57" s="224"/>
    </row>
    <row r="58" spans="2:14">
      <c r="B58" s="186" t="s">
        <v>152</v>
      </c>
      <c r="C58" s="223">
        <f>TCP_USA!C12</f>
        <v>0.23229771214735473</v>
      </c>
      <c r="D58" s="223">
        <f>TCP_USA!D12</f>
        <v>0.25964329807467718</v>
      </c>
      <c r="E58" s="223" t="str">
        <f>TCP_USA!H12</f>
        <v>NM</v>
      </c>
      <c r="F58" s="223" t="str">
        <f>TCP_USA!L12</f>
        <v>NM</v>
      </c>
      <c r="G58" s="223" t="str">
        <f>TCP_USA!M12</f>
        <v>NM</v>
      </c>
      <c r="H58" s="223" t="str">
        <f>TCP_USA!N12</f>
        <v>NM</v>
      </c>
      <c r="I58" s="223" t="str">
        <f>TCP_Global!I12</f>
        <v>NM</v>
      </c>
      <c r="J58" s="223" t="str">
        <f>TCP_Global!J12</f>
        <v>NM</v>
      </c>
      <c r="K58" s="223" t="str">
        <f>TCP_Global!K12</f>
        <v>NM</v>
      </c>
      <c r="L58" s="223" t="str">
        <f>TCP_Global!L12</f>
        <v>NM</v>
      </c>
      <c r="M58" s="223" t="str">
        <f>TCP_Global!M12</f>
        <v>NM</v>
      </c>
      <c r="N58" s="224" t="str">
        <f>TCP_Global!N12</f>
        <v>NM</v>
      </c>
    </row>
    <row r="59" spans="2:14">
      <c r="B59" s="186" t="s">
        <v>145</v>
      </c>
      <c r="C59" s="223">
        <f>Fightland_USA!C13</f>
        <v>0.25253870333632272</v>
      </c>
      <c r="D59" s="223">
        <f>Fightland_USA!G13</f>
        <v>0.31611139094768653</v>
      </c>
      <c r="E59" s="223">
        <f>Fightland_USA!K13</f>
        <v>0.44796898910296834</v>
      </c>
      <c r="F59" s="223">
        <f>Fightland_USA!O13</f>
        <v>0.33600272313590596</v>
      </c>
      <c r="G59" s="223">
        <f>Fightland_USA!S13</f>
        <v>0.37837949055594422</v>
      </c>
      <c r="H59" s="223" t="str">
        <f>Fightland_USA!W13</f>
        <v>NM</v>
      </c>
      <c r="I59" s="223" t="str">
        <f>[1]Fightland_Global!I12</f>
        <v>NM</v>
      </c>
      <c r="J59" s="223" t="str">
        <f>[1]Fightland_Global!J12</f>
        <v>NM</v>
      </c>
      <c r="K59" s="223" t="str">
        <f>[1]Fightland_Global!K12</f>
        <v>NM</v>
      </c>
      <c r="L59" s="223" t="str">
        <f>[1]Fightland_Global!L12</f>
        <v>NM</v>
      </c>
      <c r="M59" s="223" t="str">
        <f>[1]Fightland_Global!M12</f>
        <v>NM</v>
      </c>
      <c r="N59" s="224" t="str">
        <f>[1]Fightland_Global!N12</f>
        <v>NM</v>
      </c>
    </row>
    <row r="60" spans="2:14">
      <c r="B60" s="186" t="s">
        <v>55</v>
      </c>
      <c r="C60" s="223">
        <f>Thump_USA!C13</f>
        <v>0.37925168419522126</v>
      </c>
      <c r="D60" s="223">
        <f>Thump_USA!G13</f>
        <v>0.33842894797837419</v>
      </c>
      <c r="E60" s="223">
        <f>Thump_USA!K13</f>
        <v>0.38688962896946388</v>
      </c>
      <c r="F60" s="223">
        <f>Thump_USA!O13</f>
        <v>0.39851396827840008</v>
      </c>
      <c r="G60" s="223">
        <f>Thump_USA!S13</f>
        <v>0.44239891101806517</v>
      </c>
      <c r="H60" s="223" t="str">
        <f>Thump_USA!W13</f>
        <v>NM</v>
      </c>
      <c r="I60" s="223" t="str">
        <f>Thump_Global!I12</f>
        <v>NM</v>
      </c>
      <c r="J60" s="223" t="str">
        <f>Thump_Global!J12</f>
        <v>NM</v>
      </c>
      <c r="K60" s="223" t="str">
        <f>Thump_Global!K12</f>
        <v>NM</v>
      </c>
      <c r="L60" s="223" t="str">
        <f>Thump_Global!L12</f>
        <v>NM</v>
      </c>
      <c r="M60" s="223" t="str">
        <f>Thump_Global!M12</f>
        <v>NM</v>
      </c>
      <c r="N60" s="224" t="str">
        <f>Thump_Global!N12</f>
        <v>NM</v>
      </c>
    </row>
    <row r="61" spans="2:14">
      <c r="B61" s="189" t="s">
        <v>147</v>
      </c>
      <c r="C61" s="225">
        <f>iD_USA!C13</f>
        <v>0.33770004078792676</v>
      </c>
      <c r="D61" s="225">
        <f>iD_USA!G13</f>
        <v>0.35890395914557138</v>
      </c>
      <c r="E61" s="225">
        <f>iD_USA!K13</f>
        <v>0.3831000518403318</v>
      </c>
      <c r="F61" s="225">
        <f>iD_USA!O13</f>
        <v>0.40330649260319412</v>
      </c>
      <c r="G61" s="225">
        <f>iD_USA!S13</f>
        <v>0.1872750798592859</v>
      </c>
      <c r="H61" s="225" t="str">
        <f>iD_USA!W13</f>
        <v>NM</v>
      </c>
      <c r="I61" s="225" t="str">
        <f>News_Global!I12</f>
        <v>NM</v>
      </c>
      <c r="J61" s="225" t="str">
        <f>News_Global!J12</f>
        <v>NM</v>
      </c>
      <c r="K61" s="225" t="str">
        <f>News_Global!K12</f>
        <v>NM</v>
      </c>
      <c r="L61" s="225" t="str">
        <f>News_Global!L12</f>
        <v>NM</v>
      </c>
      <c r="M61" s="225" t="str">
        <f>News_Global!M12</f>
        <v>NM</v>
      </c>
      <c r="N61" s="226" t="str">
        <f>News_Global!N12</f>
        <v>NM</v>
      </c>
    </row>
    <row r="62" spans="2:14">
      <c r="C62" s="206"/>
      <c r="D62" s="206"/>
      <c r="E62" s="206"/>
      <c r="F62" s="206"/>
      <c r="G62" s="206"/>
    </row>
    <row r="63" spans="2:14">
      <c r="B63" s="80" t="s">
        <v>175</v>
      </c>
      <c r="C63" s="206"/>
      <c r="D63" s="206"/>
      <c r="E63" s="206"/>
      <c r="F63" s="206"/>
      <c r="G63" s="206"/>
    </row>
    <row r="64" spans="2:14">
      <c r="B64" s="183" t="s">
        <v>117</v>
      </c>
      <c r="C64" s="239">
        <f>VICE_USA!C$55</f>
        <v>1842156.242336343</v>
      </c>
      <c r="D64" s="239">
        <f>VICE_USA!G$55</f>
        <v>1365597.9542021258</v>
      </c>
      <c r="E64" s="239">
        <f>VICE_USA!K$55</f>
        <v>1851080.6042833417</v>
      </c>
      <c r="F64" s="239">
        <f>VICE_USA!O$55</f>
        <v>1225492.5762514337</v>
      </c>
      <c r="G64" s="239">
        <f>VICE_USA!S$55</f>
        <v>1036084.0522957285</v>
      </c>
      <c r="H64" s="227">
        <f>VICE_USA!W$55</f>
        <v>0</v>
      </c>
      <c r="I64" s="239">
        <f>VICE_Global!I21</f>
        <v>0</v>
      </c>
      <c r="J64" s="239">
        <f>VICE_Global!J21</f>
        <v>0</v>
      </c>
      <c r="K64" s="239">
        <f>VICE_Global!K21</f>
        <v>0</v>
      </c>
      <c r="L64" s="239">
        <f>VICE_Global!L21</f>
        <v>0</v>
      </c>
      <c r="M64" s="239">
        <f>VICE_Global!M21</f>
        <v>0</v>
      </c>
      <c r="N64" s="240">
        <f>VICE_Global!N21</f>
        <v>0</v>
      </c>
    </row>
    <row r="65" spans="1:14">
      <c r="B65" s="186" t="s">
        <v>51</v>
      </c>
      <c r="C65" s="241">
        <f>Motherboard_USA!C$56</f>
        <v>4619.890912897823</v>
      </c>
      <c r="D65" s="241">
        <f>Motherboard_USA!G$56</f>
        <v>3881.2270872994291</v>
      </c>
      <c r="E65" s="241">
        <f>Motherboard_USA!K$56</f>
        <v>1727</v>
      </c>
      <c r="F65" s="241">
        <f>Motherboard_USA!O$56</f>
        <v>2533</v>
      </c>
      <c r="G65" s="241">
        <f>Motherboard_USA!S$56</f>
        <v>5269.2108137629712</v>
      </c>
      <c r="H65" s="229">
        <f>Motherboard_USA!W$56</f>
        <v>0</v>
      </c>
      <c r="I65" s="241">
        <f>Motherboard_Global!I21</f>
        <v>0</v>
      </c>
      <c r="J65" s="241">
        <f>Motherboard_Global!J21</f>
        <v>0</v>
      </c>
      <c r="K65" s="241">
        <f>Motherboard_Global!K21</f>
        <v>0</v>
      </c>
      <c r="L65" s="241">
        <f>Motherboard_Global!L21</f>
        <v>0</v>
      </c>
      <c r="M65" s="241">
        <f>Motherboard_Global!M21</f>
        <v>0</v>
      </c>
      <c r="N65" s="242">
        <f>Motherboard_Global!N21</f>
        <v>0</v>
      </c>
    </row>
    <row r="66" spans="1:14">
      <c r="B66" s="186" t="s">
        <v>119</v>
      </c>
      <c r="C66" s="241">
        <f>Noisey_USA!C$55</f>
        <v>4945.2107957040762</v>
      </c>
      <c r="D66" s="241">
        <f>Noisey_USA!G$55</f>
        <v>27764.904809492371</v>
      </c>
      <c r="E66" s="241">
        <f>Noisey_USA!K$55</f>
        <v>10887.662832968388</v>
      </c>
      <c r="F66" s="241">
        <f>Noisey_USA!O$55</f>
        <v>10938.015098820424</v>
      </c>
      <c r="G66" s="241">
        <f>Noisey_USA!S$55</f>
        <v>16670.504318280633</v>
      </c>
      <c r="H66" s="229">
        <f>Noisey_USA!W$55</f>
        <v>0</v>
      </c>
      <c r="I66" s="241">
        <f>Noisey_Global!I21</f>
        <v>0</v>
      </c>
      <c r="J66" s="241">
        <f>Noisey_Global!J21</f>
        <v>0</v>
      </c>
      <c r="K66" s="241">
        <f>Noisey_Global!K21</f>
        <v>0</v>
      </c>
      <c r="L66" s="241">
        <f>Noisey_Global!L21</f>
        <v>0</v>
      </c>
      <c r="M66" s="241">
        <f>Noisey_Global!M21</f>
        <v>0</v>
      </c>
      <c r="N66" s="242">
        <f>Noisey_Global!N21</f>
        <v>0</v>
      </c>
    </row>
    <row r="67" spans="1:14">
      <c r="B67" s="186" t="s">
        <v>152</v>
      </c>
      <c r="C67" s="251">
        <f>TCP_USA!C54</f>
        <v>0</v>
      </c>
      <c r="D67" s="251">
        <f>TCP_USA!D54</f>
        <v>0</v>
      </c>
      <c r="E67" s="251">
        <f>TCP_USA!H54</f>
        <v>0</v>
      </c>
      <c r="F67" s="251">
        <f>TCP_USA!L54</f>
        <v>0</v>
      </c>
      <c r="G67" s="251">
        <f>TCP_USA!M54</f>
        <v>0</v>
      </c>
      <c r="H67" s="243">
        <f>TCP_USA!N54</f>
        <v>0</v>
      </c>
      <c r="I67" s="244">
        <f>TCP_USA!I54</f>
        <v>0</v>
      </c>
      <c r="J67" s="244">
        <f>TCP_USA!J54</f>
        <v>0</v>
      </c>
      <c r="K67" s="244">
        <f>TCP_USA!K54</f>
        <v>0</v>
      </c>
      <c r="L67" s="244">
        <f>TCP_USA!L54</f>
        <v>0</v>
      </c>
      <c r="M67" s="244">
        <f>TCP_USA!M54</f>
        <v>0</v>
      </c>
      <c r="N67" s="245">
        <f>TCP_USA!N54</f>
        <v>0</v>
      </c>
    </row>
    <row r="68" spans="1:14">
      <c r="B68" s="186" t="s">
        <v>145</v>
      </c>
      <c r="C68" s="241">
        <f>Fightland_USA!C$55</f>
        <v>19920.463638333214</v>
      </c>
      <c r="D68" s="241">
        <f>Fightland_USA!G$55</f>
        <v>23048.649511279938</v>
      </c>
      <c r="E68" s="241">
        <f>Fightland_USA!K$55</f>
        <v>29908.443872460994</v>
      </c>
      <c r="F68" s="241">
        <f>Fightland_USA!O$55</f>
        <v>40302.038518418929</v>
      </c>
      <c r="G68" s="241">
        <f>Fightland_USA!S$55</f>
        <v>23668.545157088523</v>
      </c>
      <c r="H68" s="229">
        <f>Fightland_USA!W$55</f>
        <v>0</v>
      </c>
      <c r="I68" s="241" t="e">
        <f>[1]Fightland_Global!I21</f>
        <v>#REF!</v>
      </c>
      <c r="J68" s="241" t="e">
        <f>[1]Fightland_Global!J21</f>
        <v>#REF!</v>
      </c>
      <c r="K68" s="241" t="e">
        <f>[1]Fightland_Global!K21</f>
        <v>#REF!</v>
      </c>
      <c r="L68" s="241" t="e">
        <f>[1]Fightland_Global!L21</f>
        <v>#REF!</v>
      </c>
      <c r="M68" s="241" t="e">
        <f>[1]Fightland_Global!M21</f>
        <v>#REF!</v>
      </c>
      <c r="N68" s="242" t="e">
        <f>[1]Fightland_Global!N21</f>
        <v>#REF!</v>
      </c>
    </row>
    <row r="69" spans="1:14">
      <c r="B69" s="186" t="s">
        <v>55</v>
      </c>
      <c r="C69" s="246">
        <f>Thump_USA!C$55</f>
        <v>0</v>
      </c>
      <c r="D69" s="246">
        <f>Thump_USA!G$55</f>
        <v>0</v>
      </c>
      <c r="E69" s="246">
        <f>Thump_USA!K$55</f>
        <v>0</v>
      </c>
      <c r="F69" s="246">
        <f>Thump_USA!O$55</f>
        <v>0</v>
      </c>
      <c r="G69" s="246">
        <f>Thump_USA!S$55</f>
        <v>0</v>
      </c>
      <c r="H69" s="244">
        <f>Thump_USA!W$55</f>
        <v>0</v>
      </c>
      <c r="I69" s="246">
        <f>Thump_Global!I21</f>
        <v>0</v>
      </c>
      <c r="J69" s="246">
        <f>Thump_Global!J21</f>
        <v>0</v>
      </c>
      <c r="K69" s="246">
        <f>Thump_Global!K21</f>
        <v>0</v>
      </c>
      <c r="L69" s="246">
        <f>Thump_Global!L21</f>
        <v>0</v>
      </c>
      <c r="M69" s="246">
        <f>Thump_Global!M21</f>
        <v>0</v>
      </c>
      <c r="N69" s="247">
        <f>Thump_Global!N21</f>
        <v>0</v>
      </c>
    </row>
    <row r="70" spans="1:14">
      <c r="B70" s="189" t="s">
        <v>147</v>
      </c>
      <c r="C70" s="249">
        <f>iD_USA!C$55</f>
        <v>0</v>
      </c>
      <c r="D70" s="249">
        <f>iD_USA!G$55</f>
        <v>0</v>
      </c>
      <c r="E70" s="249">
        <f>iD_USA!K$55</f>
        <v>0</v>
      </c>
      <c r="F70" s="249">
        <f>iD_USA!O$55</f>
        <v>0</v>
      </c>
      <c r="G70" s="249">
        <f>iD_USA!S$55</f>
        <v>0</v>
      </c>
      <c r="H70" s="248">
        <f>iD_USA!W$55</f>
        <v>0</v>
      </c>
      <c r="I70" s="249">
        <f>News_Global!I21</f>
        <v>0</v>
      </c>
      <c r="J70" s="249">
        <f>News_Global!J21</f>
        <v>0</v>
      </c>
      <c r="K70" s="249">
        <f>News_Global!K21</f>
        <v>0</v>
      </c>
      <c r="L70" s="249">
        <f>News_Global!L21</f>
        <v>0</v>
      </c>
      <c r="M70" s="249">
        <f>News_Global!M21</f>
        <v>0</v>
      </c>
      <c r="N70" s="250">
        <f>News_Global!N21</f>
        <v>0</v>
      </c>
    </row>
    <row r="71" spans="1:14">
      <c r="A71" s="231"/>
      <c r="B71" s="232" t="s">
        <v>174</v>
      </c>
      <c r="C71" s="379">
        <f>SUM(C64:C70)</f>
        <v>1871641.8076832781</v>
      </c>
      <c r="D71" s="379">
        <f>SUM(D64:D70)</f>
        <v>1420292.7356101975</v>
      </c>
      <c r="E71" s="379">
        <f t="shared" ref="E71:N71" si="7">SUM(E64:E70)</f>
        <v>1893603.7109887712</v>
      </c>
      <c r="F71" s="379">
        <f t="shared" si="7"/>
        <v>1279265.6298686732</v>
      </c>
      <c r="G71" s="379">
        <f t="shared" si="7"/>
        <v>1081692.3125848605</v>
      </c>
      <c r="H71" s="192">
        <f t="shared" ref="H71" si="8">SUM(H64:H70)</f>
        <v>0</v>
      </c>
      <c r="I71" s="192" t="e">
        <f t="shared" si="7"/>
        <v>#REF!</v>
      </c>
      <c r="J71" s="192" t="e">
        <f t="shared" si="7"/>
        <v>#REF!</v>
      </c>
      <c r="K71" s="192" t="e">
        <f t="shared" si="7"/>
        <v>#REF!</v>
      </c>
      <c r="L71" s="192" t="e">
        <f t="shared" si="7"/>
        <v>#REF!</v>
      </c>
      <c r="M71" s="192" t="e">
        <f t="shared" si="7"/>
        <v>#REF!</v>
      </c>
      <c r="N71" s="192" t="e">
        <f t="shared" si="7"/>
        <v>#REF!</v>
      </c>
    </row>
    <row r="72" spans="1:14">
      <c r="C72" s="206"/>
      <c r="D72" s="206"/>
      <c r="E72" s="206"/>
      <c r="F72" s="206"/>
      <c r="G72" s="206"/>
    </row>
    <row r="73" spans="1:14">
      <c r="B73" s="80" t="s">
        <v>172</v>
      </c>
      <c r="C73" s="206"/>
      <c r="D73" s="206"/>
      <c r="E73" s="206"/>
      <c r="F73" s="206"/>
      <c r="G73" s="206"/>
    </row>
    <row r="74" spans="1:14">
      <c r="B74" s="183" t="s">
        <v>117</v>
      </c>
      <c r="C74" s="376">
        <f>VICE_USA!C$62</f>
        <v>13091640</v>
      </c>
      <c r="D74" s="376">
        <f>VICE_USA!G$62</f>
        <v>12435578</v>
      </c>
      <c r="E74" s="376">
        <f>VICE_USA!K$62</f>
        <v>10643160</v>
      </c>
      <c r="F74" s="376">
        <f>VICE_USA!O$62</f>
        <v>10791845</v>
      </c>
      <c r="G74" s="376">
        <f>VICE_USA!S$62</f>
        <v>10115872</v>
      </c>
      <c r="H74" s="184">
        <f>VICE_USA!W$62</f>
        <v>0</v>
      </c>
      <c r="I74" s="233">
        <f>VICE_Global!I30</f>
        <v>0</v>
      </c>
      <c r="J74" s="233">
        <f>VICE_Global!J30</f>
        <v>0</v>
      </c>
      <c r="K74" s="233">
        <f>VICE_Global!K30</f>
        <v>0</v>
      </c>
      <c r="L74" s="233">
        <f>VICE_Global!L30</f>
        <v>0</v>
      </c>
      <c r="M74" s="233">
        <f>VICE_Global!M30</f>
        <v>0</v>
      </c>
      <c r="N74" s="234">
        <f>VICE_Global!N30</f>
        <v>0</v>
      </c>
    </row>
    <row r="75" spans="1:14">
      <c r="B75" s="186" t="s">
        <v>51</v>
      </c>
      <c r="C75" s="241">
        <f>Motherboard_USA!C$63</f>
        <v>599627</v>
      </c>
      <c r="D75" s="241">
        <f>Motherboard_USA!G$63</f>
        <v>472722</v>
      </c>
      <c r="E75" s="241">
        <f>Motherboard_USA!K$63</f>
        <v>686150</v>
      </c>
      <c r="F75" s="241">
        <f>Motherboard_USA!O$63</f>
        <v>476821</v>
      </c>
      <c r="G75" s="241">
        <f>Motherboard_USA!S$63</f>
        <v>724721</v>
      </c>
      <c r="H75" s="229">
        <f>Motherboard_USA!W$63</f>
        <v>0</v>
      </c>
      <c r="I75" s="235">
        <f>Motherboard_Global!I30</f>
        <v>0</v>
      </c>
      <c r="J75" s="235">
        <f>Motherboard_Global!J30</f>
        <v>0</v>
      </c>
      <c r="K75" s="235">
        <f>Motherboard_Global!K30</f>
        <v>0</v>
      </c>
      <c r="L75" s="235">
        <f>Motherboard_Global!L30</f>
        <v>0</v>
      </c>
      <c r="M75" s="235">
        <f>Motherboard_Global!M30</f>
        <v>0</v>
      </c>
      <c r="N75" s="236">
        <f>Motherboard_Global!N30</f>
        <v>0</v>
      </c>
    </row>
    <row r="76" spans="1:14">
      <c r="B76" s="186" t="s">
        <v>119</v>
      </c>
      <c r="C76" s="241">
        <f>Noisey_USA!C$62</f>
        <v>3479647</v>
      </c>
      <c r="D76" s="241">
        <f>Noisey_USA!G$62</f>
        <v>4176167</v>
      </c>
      <c r="E76" s="241">
        <f>Noisey_USA!K$62</f>
        <v>5067117</v>
      </c>
      <c r="F76" s="241">
        <f>Noisey_USA!O$62</f>
        <v>3838874</v>
      </c>
      <c r="G76" s="241">
        <f>Noisey_USA!S$62</f>
        <v>4080920</v>
      </c>
      <c r="H76" s="229">
        <f>Noisey_USA!W$62</f>
        <v>0</v>
      </c>
      <c r="I76" s="235">
        <f>Noisey_Global!I30</f>
        <v>0</v>
      </c>
      <c r="J76" s="235">
        <f>Noisey_Global!J30</f>
        <v>0</v>
      </c>
      <c r="K76" s="235">
        <f>Noisey_Global!K30</f>
        <v>0</v>
      </c>
      <c r="L76" s="235">
        <f>Noisey_Global!L30</f>
        <v>0</v>
      </c>
      <c r="M76" s="235">
        <f>Noisey_Global!M30</f>
        <v>0</v>
      </c>
      <c r="N76" s="236">
        <f>Noisey_Global!N30</f>
        <v>0</v>
      </c>
    </row>
    <row r="77" spans="1:14">
      <c r="B77" s="186" t="s">
        <v>180</v>
      </c>
      <c r="C77" s="241">
        <v>0</v>
      </c>
      <c r="D77" s="241">
        <v>0</v>
      </c>
      <c r="E77" s="241">
        <f>News_USA!K62</f>
        <v>4247717</v>
      </c>
      <c r="F77" s="241">
        <f>News_USA!O62</f>
        <v>6034826</v>
      </c>
      <c r="G77" s="241">
        <f>News_USA!S62</f>
        <v>6552204</v>
      </c>
      <c r="H77" s="229">
        <f>News_USA!W62</f>
        <v>0</v>
      </c>
      <c r="I77" s="235"/>
      <c r="J77" s="235"/>
      <c r="K77" s="235"/>
      <c r="L77" s="235"/>
      <c r="M77" s="235"/>
      <c r="N77" s="236"/>
    </row>
    <row r="78" spans="1:14">
      <c r="B78" s="186" t="s">
        <v>188</v>
      </c>
      <c r="C78" s="241">
        <v>0</v>
      </c>
      <c r="D78" s="241">
        <v>0</v>
      </c>
      <c r="E78" s="241">
        <v>0</v>
      </c>
      <c r="F78" s="241">
        <f>Munchies_USA!O62</f>
        <v>221068</v>
      </c>
      <c r="G78" s="241">
        <f>Munchies_USA!S62</f>
        <v>1029362</v>
      </c>
      <c r="H78" s="229">
        <f>Munchies_USA!W62</f>
        <v>0</v>
      </c>
      <c r="I78" s="235"/>
      <c r="J78" s="235"/>
      <c r="K78" s="235"/>
      <c r="L78" s="235"/>
      <c r="M78" s="235"/>
      <c r="N78" s="236"/>
    </row>
    <row r="79" spans="1:14">
      <c r="B79" s="186" t="s">
        <v>152</v>
      </c>
      <c r="C79" s="241">
        <f>TCP_USA!C$61</f>
        <v>741291</v>
      </c>
      <c r="D79" s="241">
        <f>TCP_USA!D$61</f>
        <v>514444</v>
      </c>
      <c r="E79" s="241">
        <f>TCP_USA!E$61</f>
        <v>528753</v>
      </c>
      <c r="F79" s="241">
        <f>TCP_USA!F$61</f>
        <v>470575</v>
      </c>
      <c r="G79" s="241">
        <f>TCP_USA!G$61</f>
        <v>652370</v>
      </c>
      <c r="H79" s="229">
        <f>TCP_USA!H$61</f>
        <v>0</v>
      </c>
      <c r="I79" s="228">
        <f>TCP_USA!I$61</f>
        <v>0</v>
      </c>
      <c r="J79" s="228">
        <f>TCP_USA!J$61</f>
        <v>0</v>
      </c>
      <c r="K79" s="228">
        <f>TCP_USA!K$61</f>
        <v>0</v>
      </c>
      <c r="L79" s="228">
        <f>TCP_USA!L$61</f>
        <v>0</v>
      </c>
      <c r="M79" s="228">
        <f>TCP_USA!M$61</f>
        <v>0</v>
      </c>
      <c r="N79" s="386">
        <f>TCP_USA!N$61</f>
        <v>0</v>
      </c>
    </row>
    <row r="80" spans="1:14">
      <c r="B80" s="186" t="s">
        <v>145</v>
      </c>
      <c r="C80" s="246">
        <f>Fightland_USA!C$62</f>
        <v>0</v>
      </c>
      <c r="D80" s="246">
        <f>Fightland_USA!G$62</f>
        <v>0</v>
      </c>
      <c r="E80" s="246">
        <f>Fightland_USA!K$62</f>
        <v>0</v>
      </c>
      <c r="F80" s="246">
        <f>Fightland_USA!O$62</f>
        <v>0</v>
      </c>
      <c r="G80" s="246">
        <f>Fightland_USA!S$62</f>
        <v>0</v>
      </c>
      <c r="H80" s="244">
        <f>Fightland_USA!W$62</f>
        <v>0</v>
      </c>
      <c r="I80" s="251"/>
      <c r="J80" s="251"/>
      <c r="K80" s="251"/>
      <c r="L80" s="251"/>
      <c r="M80" s="251"/>
      <c r="N80" s="252"/>
    </row>
    <row r="81" spans="2:14">
      <c r="B81" s="186" t="s">
        <v>55</v>
      </c>
      <c r="C81" s="241">
        <f>Thump_USA!C$62</f>
        <v>1037404</v>
      </c>
      <c r="D81" s="241">
        <f>Thump_USA!G$62</f>
        <v>919236</v>
      </c>
      <c r="E81" s="241">
        <f>Thump_USA!K$62</f>
        <v>1897602</v>
      </c>
      <c r="F81" s="241">
        <f>Thump_USA!O$62</f>
        <v>1903987</v>
      </c>
      <c r="G81" s="241">
        <f>Thump_USA!S$62</f>
        <v>612364</v>
      </c>
      <c r="H81" s="229">
        <f>Thump_USA!W$62</f>
        <v>0</v>
      </c>
      <c r="I81" s="235">
        <f>Thump_Global!I30</f>
        <v>0</v>
      </c>
      <c r="J81" s="235">
        <f>Thump_Global!J30</f>
        <v>0</v>
      </c>
      <c r="K81" s="235">
        <f>Thump_Global!K30</f>
        <v>0</v>
      </c>
      <c r="L81" s="235">
        <f>Thump_Global!L30</f>
        <v>0</v>
      </c>
      <c r="M81" s="235">
        <f>Thump_Global!M30</f>
        <v>0</v>
      </c>
      <c r="N81" s="236">
        <f>Thump_Global!N30</f>
        <v>0</v>
      </c>
    </row>
    <row r="82" spans="2:14">
      <c r="B82" s="189" t="s">
        <v>147</v>
      </c>
      <c r="C82" s="382">
        <f>iD_USA!C$62</f>
        <v>201011</v>
      </c>
      <c r="D82" s="382">
        <f>iD_USA!G$62</f>
        <v>130641</v>
      </c>
      <c r="E82" s="382">
        <f>iD_USA!K$62</f>
        <v>96938</v>
      </c>
      <c r="F82" s="382">
        <f>iD_USA!O$62</f>
        <v>471324</v>
      </c>
      <c r="G82" s="382">
        <f>iD_USA!S$62</f>
        <v>142831</v>
      </c>
      <c r="H82" s="230">
        <f>iD_USA!W$62</f>
        <v>0</v>
      </c>
      <c r="I82" s="237">
        <f>News_Global!I30</f>
        <v>0</v>
      </c>
      <c r="J82" s="237">
        <f>News_Global!J30</f>
        <v>0</v>
      </c>
      <c r="K82" s="237">
        <f>News_Global!K30</f>
        <v>0</v>
      </c>
      <c r="L82" s="237">
        <f>News_Global!L30</f>
        <v>0</v>
      </c>
      <c r="M82" s="237">
        <f>News_Global!M30</f>
        <v>0</v>
      </c>
      <c r="N82" s="238">
        <f>News_Global!N30</f>
        <v>0</v>
      </c>
    </row>
    <row r="83" spans="2:14">
      <c r="B83" s="182" t="s">
        <v>173</v>
      </c>
      <c r="C83" s="379">
        <f>SUM(C74:C82)</f>
        <v>19150620</v>
      </c>
      <c r="D83" s="379">
        <f>SUM(D74:D82)</f>
        <v>18648788</v>
      </c>
      <c r="E83" s="379">
        <f t="shared" ref="E83:N83" si="9">SUM(E74:E82)</f>
        <v>23167437</v>
      </c>
      <c r="F83" s="379">
        <f t="shared" si="9"/>
        <v>24209320</v>
      </c>
      <c r="G83" s="379">
        <f t="shared" ref="G83:H83" si="10">SUM(G74:G82)</f>
        <v>23910644</v>
      </c>
      <c r="H83" s="192">
        <f t="shared" si="10"/>
        <v>0</v>
      </c>
      <c r="I83" s="192">
        <f t="shared" si="9"/>
        <v>0</v>
      </c>
      <c r="J83" s="192">
        <f t="shared" si="9"/>
        <v>0</v>
      </c>
      <c r="K83" s="192">
        <f t="shared" si="9"/>
        <v>0</v>
      </c>
      <c r="L83" s="192">
        <f t="shared" si="9"/>
        <v>0</v>
      </c>
      <c r="M83" s="192">
        <f t="shared" si="9"/>
        <v>0</v>
      </c>
      <c r="N83" s="192">
        <f t="shared" si="9"/>
        <v>0</v>
      </c>
    </row>
  </sheetData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63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"/>
  <sheetViews>
    <sheetView workbookViewId="0"/>
  </sheetViews>
  <sheetFormatPr baseColWidth="10" defaultColWidth="1.1640625" defaultRowHeight="7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0"/>
  <sheetViews>
    <sheetView workbookViewId="0">
      <pane xSplit="2" ySplit="4" topLeftCell="C22" activePane="bottomRight" state="frozenSplit"/>
      <selection activeCell="C73" sqref="C73"/>
      <selection pane="topRight" activeCell="C73" sqref="C73"/>
      <selection pane="bottomLeft" activeCell="C73" sqref="C73"/>
      <selection pane="bottomRight" activeCell="H44" sqref="H44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bestFit="1" customWidth="1"/>
    <col min="5" max="5" width="10.6640625" style="98" bestFit="1" customWidth="1"/>
    <col min="6" max="6" width="13.1640625" style="98" bestFit="1" customWidth="1"/>
    <col min="7" max="7" width="12.33203125" style="98" bestFit="1" customWidth="1"/>
    <col min="8" max="14" width="13.1640625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48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1.7188975935792554</v>
      </c>
      <c r="D7" s="177">
        <f t="shared" ref="D7:N7" si="0">IF(ISERROR(D18/D17),"NM",D18/D17)</f>
        <v>1.7224957552569455</v>
      </c>
      <c r="E7" s="177">
        <f t="shared" si="0"/>
        <v>1.8362892496417336</v>
      </c>
      <c r="F7" s="177">
        <f t="shared" si="0"/>
        <v>1.9399822434373373</v>
      </c>
      <c r="G7" s="177">
        <f t="shared" si="0"/>
        <v>1.8913933704116717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2.7991929999987319</v>
      </c>
      <c r="D8" s="177">
        <f t="shared" ref="D8:N8" si="1">IF(ISERROR(D19/D18),"NM",D19/D18)</f>
        <v>2.8148589220703397</v>
      </c>
      <c r="E8" s="177">
        <f t="shared" si="1"/>
        <v>2.54013693686528</v>
      </c>
      <c r="F8" s="177">
        <f t="shared" si="1"/>
        <v>2.7130127325333495</v>
      </c>
      <c r="G8" s="177">
        <f t="shared" si="1"/>
        <v>2.363817765238291</v>
      </c>
      <c r="H8" s="177" t="str">
        <f t="shared" si="1"/>
        <v>NM</v>
      </c>
      <c r="I8" s="177" t="str">
        <f t="shared" si="1"/>
        <v>NM</v>
      </c>
      <c r="J8" s="177" t="str">
        <f t="shared" si="1"/>
        <v>NM</v>
      </c>
      <c r="K8" s="177" t="str">
        <f t="shared" si="1"/>
        <v>NM</v>
      </c>
      <c r="L8" s="177" t="str">
        <f t="shared" si="1"/>
        <v>NM</v>
      </c>
      <c r="M8" s="177" t="str">
        <f t="shared" si="1"/>
        <v>NM</v>
      </c>
      <c r="N8" s="177" t="str">
        <f t="shared" si="1"/>
        <v>NM</v>
      </c>
    </row>
    <row r="9" spans="2:14">
      <c r="B9" s="98" t="s">
        <v>5</v>
      </c>
      <c r="C9" s="177">
        <f>IF(ISERROR((C54+C62)/C18),"NM",(C54+C62)/C18)</f>
        <v>0.2274065145756583</v>
      </c>
      <c r="D9" s="177">
        <f t="shared" ref="D9:N9" si="2">IF(ISERROR((D54+D62)/D18),"NM",(D54+D62)/D18)</f>
        <v>0.17738170777758089</v>
      </c>
      <c r="E9" s="177">
        <f t="shared" si="2"/>
        <v>0.19115451156794422</v>
      </c>
      <c r="F9" s="177">
        <f t="shared" si="2"/>
        <v>0.13723785180132103</v>
      </c>
      <c r="G9" s="177">
        <f t="shared" si="2"/>
        <v>0.10467327070420067</v>
      </c>
      <c r="H9" s="177" t="str">
        <f t="shared" si="2"/>
        <v>NM</v>
      </c>
      <c r="I9" s="177" t="str">
        <f t="shared" si="2"/>
        <v>NM</v>
      </c>
      <c r="J9" s="177" t="str">
        <f t="shared" si="2"/>
        <v>NM</v>
      </c>
      <c r="K9" s="177" t="str">
        <f t="shared" si="2"/>
        <v>NM</v>
      </c>
      <c r="L9" s="177" t="str">
        <f t="shared" si="2"/>
        <v>NM</v>
      </c>
      <c r="M9" s="177" t="str">
        <f t="shared" si="2"/>
        <v>NM</v>
      </c>
      <c r="N9" s="177" t="str">
        <f t="shared" si="2"/>
        <v>NM</v>
      </c>
    </row>
    <row r="10" spans="2:14">
      <c r="B10" s="98" t="s">
        <v>6</v>
      </c>
      <c r="C10" s="177">
        <f>IF(ISERROR(((C56+C64)/C18)*60),"NM",((C56+C64)/C18)*60)</f>
        <v>1.3655572199002644</v>
      </c>
      <c r="D10" s="177">
        <f t="shared" ref="D10:N10" si="3">IF(ISERROR(((D56+D64)/D18)*60),"NM",((D56+D64)/D18)*60)</f>
        <v>1.0323800630979263</v>
      </c>
      <c r="E10" s="177">
        <f t="shared" si="3"/>
        <v>1.0709623890764668</v>
      </c>
      <c r="F10" s="177">
        <f t="shared" si="3"/>
        <v>0.79902874235744714</v>
      </c>
      <c r="G10" s="177">
        <f t="shared" si="3"/>
        <v>0.58293613581630122</v>
      </c>
      <c r="H10" s="177" t="str">
        <f t="shared" si="3"/>
        <v>NM</v>
      </c>
      <c r="I10" s="177" t="str">
        <f t="shared" si="3"/>
        <v>NM</v>
      </c>
      <c r="J10" s="177" t="str">
        <f t="shared" si="3"/>
        <v>NM</v>
      </c>
      <c r="K10" s="177" t="str">
        <f>IF(ISERROR(((K56+K64)/K18)*60),"NM",((K56+K64)/K18)*60)</f>
        <v>NM</v>
      </c>
      <c r="L10" s="177" t="str">
        <f t="shared" si="3"/>
        <v>NM</v>
      </c>
      <c r="M10" s="177" t="str">
        <f t="shared" si="3"/>
        <v>NM</v>
      </c>
      <c r="N10" s="177" t="str">
        <f t="shared" si="3"/>
        <v>NM</v>
      </c>
    </row>
    <row r="11" spans="2:14">
      <c r="B11" s="98" t="s">
        <v>7</v>
      </c>
      <c r="C11" s="177">
        <f>IF(ISERROR(((C56+C64)/(C54+C62))*60),"NM",((C56+C64)/(C54+C62))*60)</f>
        <v>6.0049168883679567</v>
      </c>
      <c r="D11" s="177">
        <f t="shared" ref="D11:N11" si="4">IF(ISERROR(((D56+D64)/(D54+D62))*60),"NM",((D56+D64)/(D54+D62))*60)</f>
        <v>5.8201044292144761</v>
      </c>
      <c r="E11" s="177">
        <f t="shared" si="4"/>
        <v>5.6026006411875997</v>
      </c>
      <c r="F11" s="177">
        <f t="shared" si="4"/>
        <v>5.8222183739381137</v>
      </c>
      <c r="G11" s="177">
        <f t="shared" si="4"/>
        <v>5.5691021393956239</v>
      </c>
      <c r="H11" s="177" t="str">
        <f t="shared" si="4"/>
        <v>NM</v>
      </c>
      <c r="I11" s="177" t="str">
        <f t="shared" si="4"/>
        <v>NM</v>
      </c>
      <c r="J11" s="177" t="str">
        <f t="shared" si="4"/>
        <v>NM</v>
      </c>
      <c r="K11" s="177" t="str">
        <f>IF(ISERROR(((K56+K64)/(K54+K62))*60),"NM",((K56+K64)/(K54+K62))*60)</f>
        <v>NM</v>
      </c>
      <c r="L11" s="177" t="str">
        <f t="shared" si="4"/>
        <v>NM</v>
      </c>
      <c r="M11" s="177" t="str">
        <f t="shared" si="4"/>
        <v>NM</v>
      </c>
      <c r="N11" s="177" t="str">
        <f t="shared" si="4"/>
        <v>NM</v>
      </c>
    </row>
    <row r="12" spans="2:14">
      <c r="B12" s="98" t="s">
        <v>8</v>
      </c>
      <c r="C12" s="178">
        <f>IF(ISERROR(C28/C18),"NM",C28/C18)</f>
        <v>0.33502388457977045</v>
      </c>
      <c r="D12" s="178">
        <f t="shared" ref="D12:N12" si="5">IF(ISERROR(D28/D18),"NM",D28/D18)</f>
        <v>0.35056158861579534</v>
      </c>
      <c r="E12" s="178">
        <f t="shared" si="5"/>
        <v>0.38578434999177474</v>
      </c>
      <c r="F12" s="178">
        <f t="shared" si="5"/>
        <v>0.39016770349499658</v>
      </c>
      <c r="G12" s="178">
        <f t="shared" si="5"/>
        <v>0.41531622222707754</v>
      </c>
      <c r="H12" s="178" t="str">
        <f t="shared" si="5"/>
        <v>NM</v>
      </c>
      <c r="I12" s="178" t="str">
        <f t="shared" si="5"/>
        <v>NM</v>
      </c>
      <c r="J12" s="178" t="str">
        <f t="shared" si="5"/>
        <v>NM</v>
      </c>
      <c r="K12" s="178" t="str">
        <f t="shared" si="5"/>
        <v>NM</v>
      </c>
      <c r="L12" s="178" t="str">
        <f t="shared" si="5"/>
        <v>NM</v>
      </c>
      <c r="M12" s="178" t="str">
        <f t="shared" si="5"/>
        <v>NM</v>
      </c>
      <c r="N12" s="178" t="str">
        <f t="shared" si="5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  <c r="E16" s="113"/>
      <c r="F16" s="321"/>
      <c r="G16" s="321"/>
    </row>
    <row r="17" spans="2:17">
      <c r="B17" s="109" t="s">
        <v>157</v>
      </c>
      <c r="C17" s="110">
        <v>13765631</v>
      </c>
      <c r="D17" s="110">
        <v>13992013</v>
      </c>
      <c r="E17" s="110">
        <v>16760567</v>
      </c>
      <c r="F17" s="110">
        <v>16702557</v>
      </c>
      <c r="G17" s="110">
        <v>17253560</v>
      </c>
      <c r="H17" s="372"/>
      <c r="I17" s="372"/>
      <c r="J17" s="372"/>
      <c r="K17" s="372"/>
      <c r="L17" s="372"/>
      <c r="M17" s="372"/>
      <c r="N17" s="373"/>
    </row>
    <row r="18" spans="2:17">
      <c r="B18" s="112" t="s">
        <v>158</v>
      </c>
      <c r="C18" s="113">
        <v>23661710</v>
      </c>
      <c r="D18" s="113">
        <v>24101183</v>
      </c>
      <c r="E18" s="113">
        <v>30777249</v>
      </c>
      <c r="F18" s="113">
        <v>32402664</v>
      </c>
      <c r="G18" s="113">
        <v>32633269</v>
      </c>
      <c r="H18" s="113"/>
      <c r="I18" s="113"/>
      <c r="J18" s="113"/>
      <c r="K18" s="113"/>
      <c r="L18" s="113"/>
      <c r="M18" s="113"/>
      <c r="N18" s="114"/>
    </row>
    <row r="19" spans="2:17">
      <c r="B19" s="112" t="s">
        <v>159</v>
      </c>
      <c r="C19" s="113">
        <v>66233693</v>
      </c>
      <c r="D19" s="113">
        <v>67841430</v>
      </c>
      <c r="E19" s="113">
        <v>78178427</v>
      </c>
      <c r="F19" s="113">
        <v>87908840</v>
      </c>
      <c r="G19" s="113">
        <v>77139101</v>
      </c>
      <c r="H19" s="113"/>
      <c r="I19" s="113"/>
      <c r="J19" s="113"/>
      <c r="K19" s="113"/>
      <c r="L19" s="113"/>
      <c r="M19" s="113"/>
      <c r="N19" s="114"/>
      <c r="O19" s="106"/>
    </row>
    <row r="20" spans="2:17">
      <c r="B20" s="115" t="s">
        <v>10</v>
      </c>
      <c r="C20" s="167">
        <v>5.0999999999999996</v>
      </c>
      <c r="D20" s="167">
        <v>4.3</v>
      </c>
      <c r="E20" s="167">
        <v>4.33</v>
      </c>
      <c r="F20" s="116">
        <v>4.38</v>
      </c>
      <c r="G20" s="167">
        <v>4.13</v>
      </c>
      <c r="H20" s="131"/>
      <c r="I20" s="131"/>
      <c r="J20" s="131"/>
      <c r="K20" s="131"/>
      <c r="L20" s="131"/>
      <c r="M20" s="131"/>
      <c r="N20" s="132"/>
      <c r="O20" s="106"/>
    </row>
    <row r="21" spans="2:17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90"/>
      <c r="P21" s="90"/>
    </row>
    <row r="22" spans="2:17">
      <c r="B22" s="108" t="s">
        <v>13</v>
      </c>
      <c r="C22" s="105"/>
      <c r="D22" s="105"/>
      <c r="E22" s="371"/>
      <c r="F22" s="371"/>
      <c r="G22" s="371"/>
      <c r="H22" s="105"/>
      <c r="I22" s="105"/>
      <c r="J22" s="105"/>
      <c r="K22" s="105"/>
      <c r="L22" s="105"/>
      <c r="M22" s="105"/>
      <c r="N22" s="105"/>
    </row>
    <row r="23" spans="2:17">
      <c r="B23" s="109" t="s">
        <v>14</v>
      </c>
      <c r="C23" s="89">
        <f>C18-C28</f>
        <v>15734472</v>
      </c>
      <c r="D23" s="89">
        <f t="shared" ref="D23:N23" si="6">D18-D28</f>
        <v>15652234</v>
      </c>
      <c r="E23" s="89">
        <f t="shared" si="6"/>
        <v>18903868</v>
      </c>
      <c r="F23" s="89">
        <f t="shared" si="6"/>
        <v>19760191</v>
      </c>
      <c r="G23" s="89">
        <f t="shared" si="6"/>
        <v>19080143</v>
      </c>
      <c r="H23" s="89">
        <f t="shared" si="6"/>
        <v>0</v>
      </c>
      <c r="I23" s="89">
        <f t="shared" si="6"/>
        <v>0</v>
      </c>
      <c r="J23" s="89">
        <f t="shared" si="6"/>
        <v>0</v>
      </c>
      <c r="K23" s="89">
        <f t="shared" si="6"/>
        <v>0</v>
      </c>
      <c r="L23" s="89">
        <f t="shared" si="6"/>
        <v>0</v>
      </c>
      <c r="M23" s="89">
        <f t="shared" si="6"/>
        <v>0</v>
      </c>
      <c r="N23" s="88">
        <f t="shared" si="6"/>
        <v>0</v>
      </c>
    </row>
    <row r="24" spans="2:17">
      <c r="B24" s="112" t="s">
        <v>15</v>
      </c>
      <c r="C24" s="93">
        <f>C19-C29</f>
        <v>51183629</v>
      </c>
      <c r="D24" s="93">
        <f t="shared" ref="D24:N24" si="7">D19-D29</f>
        <v>51966163</v>
      </c>
      <c r="E24" s="93">
        <f t="shared" si="7"/>
        <v>57115952</v>
      </c>
      <c r="F24" s="93">
        <f t="shared" si="7"/>
        <v>64120786</v>
      </c>
      <c r="G24" s="93">
        <f t="shared" si="7"/>
        <v>55492246</v>
      </c>
      <c r="H24" s="93">
        <f t="shared" si="7"/>
        <v>0</v>
      </c>
      <c r="I24" s="93">
        <f t="shared" si="7"/>
        <v>0</v>
      </c>
      <c r="J24" s="93">
        <f t="shared" si="7"/>
        <v>0</v>
      </c>
      <c r="K24" s="93">
        <f t="shared" si="7"/>
        <v>0</v>
      </c>
      <c r="L24" s="93">
        <f t="shared" si="7"/>
        <v>0</v>
      </c>
      <c r="M24" s="93">
        <f t="shared" si="7"/>
        <v>0</v>
      </c>
      <c r="N24" s="87">
        <f t="shared" si="7"/>
        <v>0</v>
      </c>
    </row>
    <row r="25" spans="2:17">
      <c r="B25" s="115" t="s">
        <v>26</v>
      </c>
      <c r="C25" s="168">
        <v>6.38</v>
      </c>
      <c r="D25" s="167">
        <v>5.5</v>
      </c>
      <c r="E25" s="167">
        <v>6</v>
      </c>
      <c r="F25" s="167">
        <v>6.02</v>
      </c>
      <c r="G25" s="167">
        <v>5.3</v>
      </c>
      <c r="H25" s="116"/>
      <c r="I25" s="116"/>
      <c r="J25" s="116"/>
      <c r="K25" s="116"/>
      <c r="L25" s="116"/>
      <c r="M25" s="116"/>
      <c r="N25" s="117"/>
    </row>
    <row r="26" spans="2:17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7">
      <c r="B27" s="108" t="s">
        <v>164</v>
      </c>
      <c r="C27" s="105"/>
      <c r="D27" s="105"/>
      <c r="E27" s="105"/>
      <c r="F27" s="105"/>
      <c r="G27" s="371"/>
      <c r="H27" s="105"/>
      <c r="I27" s="105"/>
      <c r="J27" s="105"/>
      <c r="K27" s="105"/>
      <c r="L27" s="105"/>
      <c r="M27" s="118"/>
      <c r="N27" s="105"/>
    </row>
    <row r="28" spans="2:17">
      <c r="B28" s="109" t="s">
        <v>161</v>
      </c>
      <c r="C28" s="110">
        <v>7927238</v>
      </c>
      <c r="D28" s="110">
        <v>8448949</v>
      </c>
      <c r="E28" s="110">
        <v>11873381</v>
      </c>
      <c r="F28" s="110">
        <v>12642473</v>
      </c>
      <c r="G28" s="110">
        <v>13553126</v>
      </c>
      <c r="H28" s="110"/>
      <c r="I28" s="110"/>
      <c r="J28" s="110"/>
      <c r="K28" s="110"/>
      <c r="L28" s="110"/>
      <c r="M28" s="110"/>
      <c r="N28" s="111"/>
    </row>
    <row r="29" spans="2:17">
      <c r="B29" s="112" t="s">
        <v>162</v>
      </c>
      <c r="C29" s="113">
        <v>15050064</v>
      </c>
      <c r="D29" s="113">
        <v>15875267</v>
      </c>
      <c r="E29" s="113">
        <v>21062475</v>
      </c>
      <c r="F29" s="113">
        <v>23788054</v>
      </c>
      <c r="G29" s="113">
        <v>21646855</v>
      </c>
      <c r="H29" s="113"/>
      <c r="I29" s="113"/>
      <c r="J29" s="113"/>
      <c r="K29" s="113"/>
      <c r="L29" s="113"/>
      <c r="M29" s="113"/>
      <c r="N29" s="114"/>
    </row>
    <row r="30" spans="2:17">
      <c r="B30" s="115" t="s">
        <v>163</v>
      </c>
      <c r="C30" s="168">
        <v>2.29</v>
      </c>
      <c r="D30" s="167">
        <v>2.16</v>
      </c>
      <c r="E30" s="167">
        <v>2.2000000000000002</v>
      </c>
      <c r="F30" s="167">
        <v>2.2799999999999998</v>
      </c>
      <c r="G30" s="116">
        <v>2.21</v>
      </c>
      <c r="H30" s="116"/>
      <c r="I30" s="116"/>
      <c r="J30" s="116"/>
      <c r="K30" s="116"/>
      <c r="L30" s="116"/>
      <c r="M30" s="116"/>
      <c r="N30" s="117"/>
    </row>
    <row r="31" spans="2:17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7" ht="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Q32" s="149"/>
    </row>
    <row r="33" spans="2:17" ht="16">
      <c r="B33" s="109" t="s">
        <v>166</v>
      </c>
      <c r="C33" s="121">
        <v>0.67930000000000001</v>
      </c>
      <c r="D33" s="121">
        <v>0.68899999999999995</v>
      </c>
      <c r="E33" s="121">
        <v>0.5796</v>
      </c>
      <c r="F33" s="121">
        <v>0.48</v>
      </c>
      <c r="G33" s="121">
        <v>0.71</v>
      </c>
      <c r="H33" s="121"/>
      <c r="I33" s="121"/>
      <c r="J33" s="121"/>
      <c r="K33" s="121"/>
      <c r="L33" s="121"/>
      <c r="M33" s="121"/>
      <c r="N33" s="122"/>
      <c r="Q33" s="149"/>
    </row>
    <row r="34" spans="2:17" ht="16">
      <c r="B34" s="112" t="s">
        <v>167</v>
      </c>
      <c r="C34" s="123">
        <v>0.4834</v>
      </c>
      <c r="D34" s="123">
        <v>0.47339999999999999</v>
      </c>
      <c r="E34" s="124">
        <v>0.44</v>
      </c>
      <c r="F34" s="124">
        <v>0.39989999999999998</v>
      </c>
      <c r="G34" s="124">
        <v>0.40239999999999998</v>
      </c>
      <c r="H34" s="124"/>
      <c r="I34" s="124"/>
      <c r="J34" s="124"/>
      <c r="K34" s="124"/>
      <c r="L34" s="124"/>
      <c r="M34" s="124"/>
      <c r="N34" s="125"/>
      <c r="Q34" s="149"/>
    </row>
    <row r="35" spans="2:17" ht="16">
      <c r="B35" s="112" t="s">
        <v>189</v>
      </c>
      <c r="C35" s="124">
        <f>1-C34</f>
        <v>0.51659999999999995</v>
      </c>
      <c r="D35" s="124">
        <f>1-D34</f>
        <v>0.52659999999999996</v>
      </c>
      <c r="E35" s="124">
        <f>1-E34</f>
        <v>0.56000000000000005</v>
      </c>
      <c r="F35" s="124">
        <f>1-F34</f>
        <v>0.60010000000000008</v>
      </c>
      <c r="G35" s="124">
        <f>1-G34</f>
        <v>0.59760000000000002</v>
      </c>
      <c r="H35" s="124"/>
      <c r="I35" s="124"/>
      <c r="J35" s="124"/>
      <c r="K35" s="124"/>
      <c r="L35" s="124"/>
      <c r="M35" s="124"/>
      <c r="N35" s="125"/>
      <c r="Q35" s="149"/>
    </row>
    <row r="36" spans="2:17" ht="16">
      <c r="B36" s="112" t="s">
        <v>190</v>
      </c>
      <c r="C36" s="124">
        <v>0.124</v>
      </c>
      <c r="D36" s="124">
        <v>0.1249</v>
      </c>
      <c r="E36" s="124">
        <v>0.12620000000000001</v>
      </c>
      <c r="F36" s="124">
        <v>0.13880000000000001</v>
      </c>
      <c r="G36" s="124">
        <v>0.14399999999999999</v>
      </c>
      <c r="H36" s="124"/>
      <c r="I36" s="124"/>
      <c r="J36" s="124"/>
      <c r="K36" s="124"/>
      <c r="L36" s="124"/>
      <c r="M36" s="124"/>
      <c r="N36" s="125"/>
      <c r="Q36" s="149"/>
    </row>
    <row r="37" spans="2:17" ht="16">
      <c r="B37" s="112" t="s">
        <v>191</v>
      </c>
      <c r="C37" s="124">
        <f>1-C38</f>
        <v>0.74869999999999992</v>
      </c>
      <c r="D37" s="124">
        <f>1-D38</f>
        <v>0.75970000000000004</v>
      </c>
      <c r="E37" s="124">
        <f>1-E38</f>
        <v>0.75880000000000003</v>
      </c>
      <c r="F37" s="124">
        <f>1-F38</f>
        <v>0.75550000000000006</v>
      </c>
      <c r="G37" s="124">
        <f>1-G38</f>
        <v>0.77049999999999996</v>
      </c>
      <c r="H37" s="124"/>
      <c r="I37" s="124"/>
      <c r="J37" s="124"/>
      <c r="K37" s="124"/>
      <c r="L37" s="124"/>
      <c r="M37" s="124"/>
      <c r="N37" s="125"/>
      <c r="Q37" s="149"/>
    </row>
    <row r="38" spans="2:17" ht="16">
      <c r="B38" s="115" t="s">
        <v>192</v>
      </c>
      <c r="C38" s="126">
        <v>0.25130000000000002</v>
      </c>
      <c r="D38" s="126">
        <v>0.24030000000000001</v>
      </c>
      <c r="E38" s="126">
        <v>0.2412</v>
      </c>
      <c r="F38" s="126">
        <v>0.2445</v>
      </c>
      <c r="G38" s="126">
        <v>0.22950000000000001</v>
      </c>
      <c r="H38" s="126"/>
      <c r="I38" s="126"/>
      <c r="J38" s="126"/>
      <c r="K38" s="126"/>
      <c r="L38" s="126"/>
      <c r="M38" s="126"/>
      <c r="N38" s="127"/>
      <c r="Q38" s="149"/>
    </row>
    <row r="39" spans="2:17" ht="16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Q39" s="149"/>
    </row>
    <row r="40" spans="2:17" ht="16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Q40" s="149"/>
    </row>
    <row r="41" spans="2:17" ht="16">
      <c r="B41" s="128" t="s">
        <v>194</v>
      </c>
      <c r="C41" s="121">
        <v>0.20050000000000001</v>
      </c>
      <c r="D41" s="121">
        <v>0.19239999999999999</v>
      </c>
      <c r="E41" s="121">
        <v>0.20200000000000001</v>
      </c>
      <c r="F41" s="121">
        <v>0.19070000000000001</v>
      </c>
      <c r="G41" s="121">
        <v>0.19750000000000001</v>
      </c>
      <c r="H41" s="121"/>
      <c r="I41" s="121"/>
      <c r="J41" s="121"/>
      <c r="K41" s="121"/>
      <c r="L41" s="121"/>
      <c r="M41" s="121"/>
      <c r="N41" s="122"/>
      <c r="Q41" s="149"/>
    </row>
    <row r="42" spans="2:17" ht="16">
      <c r="B42" s="147" t="s">
        <v>47</v>
      </c>
      <c r="C42" s="124">
        <v>4.8099999999999997E-2</v>
      </c>
      <c r="D42" s="124">
        <v>4.6800000000000001E-2</v>
      </c>
      <c r="E42" s="124">
        <v>4.1099999999999998E-2</v>
      </c>
      <c r="F42" s="124">
        <v>4.2200000000000001E-2</v>
      </c>
      <c r="G42" s="124">
        <v>3.6600000000000001E-2</v>
      </c>
      <c r="H42" s="124"/>
      <c r="I42" s="124"/>
      <c r="J42" s="124"/>
      <c r="K42" s="124"/>
      <c r="L42" s="124"/>
      <c r="M42" s="124"/>
      <c r="N42" s="125"/>
      <c r="Q42" s="149"/>
    </row>
    <row r="43" spans="2:17" ht="16">
      <c r="B43" s="112" t="s">
        <v>195</v>
      </c>
      <c r="C43" s="124">
        <v>0.22070000000000001</v>
      </c>
      <c r="D43" s="124">
        <v>0.21490000000000001</v>
      </c>
      <c r="E43" s="124">
        <v>0.23280000000000001</v>
      </c>
      <c r="F43" s="124">
        <v>0.17810000000000001</v>
      </c>
      <c r="G43" s="124">
        <v>0.1789</v>
      </c>
      <c r="H43" s="124"/>
      <c r="I43" s="124"/>
      <c r="J43" s="124"/>
      <c r="K43" s="124"/>
      <c r="L43" s="124"/>
      <c r="M43" s="124"/>
      <c r="N43" s="125"/>
      <c r="Q43" s="149"/>
    </row>
    <row r="44" spans="2:17" ht="16">
      <c r="B44" s="112" t="s">
        <v>196</v>
      </c>
      <c r="C44" s="124">
        <v>0.44469999999999998</v>
      </c>
      <c r="D44" s="124">
        <v>0.433</v>
      </c>
      <c r="E44" s="124">
        <v>0.4889</v>
      </c>
      <c r="F44" s="124">
        <v>0.51500000000000001</v>
      </c>
      <c r="G44" s="124">
        <v>0.53390000000000004</v>
      </c>
      <c r="H44" s="124"/>
      <c r="I44" s="124"/>
      <c r="J44" s="124"/>
      <c r="K44" s="124"/>
      <c r="L44" s="124"/>
      <c r="M44" s="124"/>
      <c r="N44" s="125"/>
      <c r="Q44" s="149"/>
    </row>
    <row r="45" spans="2:17" ht="16">
      <c r="B45" s="112" t="s">
        <v>105</v>
      </c>
      <c r="C45" s="124">
        <v>0</v>
      </c>
      <c r="D45" s="124">
        <v>0</v>
      </c>
      <c r="E45" s="124">
        <v>1E-3</v>
      </c>
      <c r="F45" s="124">
        <v>0</v>
      </c>
      <c r="G45" s="124">
        <v>1.1000000000000001E-3</v>
      </c>
      <c r="H45" s="124"/>
      <c r="I45" s="124"/>
      <c r="J45" s="124"/>
      <c r="K45" s="124"/>
      <c r="L45" s="124"/>
      <c r="M45" s="124"/>
      <c r="N45" s="125"/>
      <c r="Q45" s="149"/>
    </row>
    <row r="46" spans="2:17" ht="16">
      <c r="B46" s="112" t="s">
        <v>198</v>
      </c>
      <c r="C46" s="124">
        <v>1.5E-3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  <c r="Q46" s="149"/>
    </row>
    <row r="47" spans="2:17" ht="16">
      <c r="B47" s="112" t="s">
        <v>199</v>
      </c>
      <c r="C47" s="124">
        <v>1.5E-3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  <c r="Q47" s="149"/>
    </row>
    <row r="48" spans="2:17" ht="16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  <c r="Q48" s="149"/>
    </row>
    <row r="49" spans="2:17" ht="16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  <c r="Q49" s="149"/>
    </row>
    <row r="50" spans="2:17" ht="16">
      <c r="B50" s="115" t="s">
        <v>27</v>
      </c>
      <c r="C50" s="126">
        <f t="shared" ref="C50:N50" si="8">1-SUM(C41:C49)</f>
        <v>8.3000000000000074E-2</v>
      </c>
      <c r="D50" s="126">
        <f t="shared" si="8"/>
        <v>0.1129</v>
      </c>
      <c r="E50" s="126">
        <f t="shared" si="8"/>
        <v>3.4200000000000008E-2</v>
      </c>
      <c r="F50" s="126">
        <f t="shared" si="8"/>
        <v>7.3999999999999955E-2</v>
      </c>
      <c r="G50" s="126">
        <f t="shared" si="8"/>
        <v>5.1999999999999935E-2</v>
      </c>
      <c r="H50" s="126">
        <f t="shared" si="8"/>
        <v>1</v>
      </c>
      <c r="I50" s="126">
        <f t="shared" si="8"/>
        <v>1</v>
      </c>
      <c r="J50" s="126">
        <f t="shared" si="8"/>
        <v>1</v>
      </c>
      <c r="K50" s="126">
        <f t="shared" si="8"/>
        <v>1</v>
      </c>
      <c r="L50" s="126">
        <f t="shared" si="8"/>
        <v>1</v>
      </c>
      <c r="M50" s="126">
        <f t="shared" si="8"/>
        <v>1</v>
      </c>
      <c r="N50" s="127">
        <f t="shared" si="8"/>
        <v>1</v>
      </c>
      <c r="Q50" s="149"/>
    </row>
    <row r="51" spans="2:17" ht="16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Q51" s="149"/>
    </row>
    <row r="52" spans="2:17" ht="16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Q52" s="149"/>
    </row>
    <row r="53" spans="2:17" ht="16">
      <c r="B53" s="109" t="s">
        <v>29</v>
      </c>
      <c r="C53" s="110">
        <v>6999400</v>
      </c>
      <c r="D53" s="141">
        <v>4631394</v>
      </c>
      <c r="E53" s="110">
        <v>6883971</v>
      </c>
      <c r="F53" s="110">
        <v>5326831</v>
      </c>
      <c r="G53" s="110">
        <v>4015414</v>
      </c>
      <c r="H53" s="110"/>
      <c r="I53" s="110"/>
      <c r="J53" s="110"/>
      <c r="K53" s="110"/>
      <c r="L53" s="110"/>
      <c r="M53" s="110"/>
      <c r="N53" s="111"/>
      <c r="Q53" s="149"/>
    </row>
    <row r="54" spans="2:17" ht="16">
      <c r="B54" s="112" t="s">
        <v>30</v>
      </c>
      <c r="C54" s="113">
        <v>5257687</v>
      </c>
      <c r="D54" s="113">
        <v>4126598</v>
      </c>
      <c r="E54" s="113">
        <v>5794817</v>
      </c>
      <c r="F54" s="113">
        <v>4328201</v>
      </c>
      <c r="G54" s="113">
        <v>3314935</v>
      </c>
      <c r="H54" s="113"/>
      <c r="I54" s="113"/>
      <c r="J54" s="113"/>
      <c r="K54" s="113"/>
      <c r="L54" s="113"/>
      <c r="M54" s="113"/>
      <c r="N54" s="114"/>
      <c r="Q54" s="149"/>
    </row>
    <row r="55" spans="2:17">
      <c r="B55" s="112" t="s">
        <v>31</v>
      </c>
      <c r="C55" s="113">
        <v>689692</v>
      </c>
      <c r="D55" s="113">
        <v>446258</v>
      </c>
      <c r="E55" s="113">
        <v>639907</v>
      </c>
      <c r="F55" s="113">
        <v>513803</v>
      </c>
      <c r="G55" s="113">
        <v>369632</v>
      </c>
      <c r="H55" s="113"/>
      <c r="I55" s="113"/>
      <c r="J55" s="113"/>
      <c r="K55" s="113"/>
      <c r="L55" s="113"/>
      <c r="M55" s="113"/>
      <c r="N55" s="114"/>
    </row>
    <row r="56" spans="2:17">
      <c r="B56" s="112" t="s">
        <v>11</v>
      </c>
      <c r="C56" s="93">
        <f>(C54/C53)*C55</f>
        <v>518070.78641083522</v>
      </c>
      <c r="D56" s="93">
        <f>(D54/D53)*D55</f>
        <v>397618.37802700442</v>
      </c>
      <c r="E56" s="93">
        <f>(E54/E53)*E55</f>
        <v>538663.5071558262</v>
      </c>
      <c r="F56" s="93">
        <f>(F54/F53)*F55</f>
        <v>417479.48421922902</v>
      </c>
      <c r="G56" s="93">
        <f>(G54/G53)*G55</f>
        <v>305150.61558285152</v>
      </c>
      <c r="H56" s="113"/>
      <c r="I56" s="113"/>
      <c r="J56" s="113"/>
      <c r="K56" s="113"/>
      <c r="L56" s="113"/>
      <c r="M56" s="113"/>
      <c r="N56" s="114"/>
    </row>
    <row r="57" spans="2:17">
      <c r="B57" s="115" t="s">
        <v>32</v>
      </c>
      <c r="C57" s="126">
        <v>0.68</v>
      </c>
      <c r="D57" s="126">
        <v>0.68</v>
      </c>
      <c r="E57" s="126">
        <v>0.68799999999999994</v>
      </c>
      <c r="F57" s="126">
        <v>0.66500000000000004</v>
      </c>
      <c r="G57" s="126">
        <v>0.625</v>
      </c>
      <c r="H57" s="126"/>
      <c r="I57" s="126"/>
      <c r="J57" s="126"/>
      <c r="K57" s="126"/>
      <c r="L57" s="126"/>
      <c r="M57" s="126"/>
      <c r="N57" s="127"/>
    </row>
    <row r="58" spans="2:17">
      <c r="B58" s="133"/>
      <c r="C58" s="134"/>
      <c r="D58" s="134"/>
      <c r="E58" s="362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7">
      <c r="B59" s="129" t="s">
        <v>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7">
      <c r="B60" s="109" t="s">
        <v>50</v>
      </c>
      <c r="C60" s="110">
        <v>236938</v>
      </c>
      <c r="D60" s="110">
        <v>204162</v>
      </c>
      <c r="E60" s="110">
        <v>139817</v>
      </c>
      <c r="F60" s="110">
        <v>113018</v>
      </c>
      <c r="G60" s="110">
        <v>114537</v>
      </c>
      <c r="H60" s="110"/>
      <c r="I60" s="110"/>
      <c r="J60" s="110"/>
      <c r="K60" s="110"/>
      <c r="L60" s="110"/>
      <c r="M60" s="110"/>
      <c r="N60" s="111"/>
    </row>
    <row r="61" spans="2:17">
      <c r="B61" s="112" t="s">
        <v>29</v>
      </c>
      <c r="C61" s="113">
        <v>31582264</v>
      </c>
      <c r="D61" s="113">
        <v>28668868</v>
      </c>
      <c r="E61" s="113">
        <v>25757248</v>
      </c>
      <c r="F61" s="113">
        <v>25490565</v>
      </c>
      <c r="G61" s="113">
        <v>24536359</v>
      </c>
      <c r="H61" s="113"/>
      <c r="I61" s="113"/>
      <c r="J61" s="113"/>
      <c r="K61" s="113"/>
      <c r="L61" s="113"/>
      <c r="M61" s="113"/>
      <c r="N61" s="114"/>
    </row>
    <row r="62" spans="2:17">
      <c r="B62" s="112" t="s">
        <v>30</v>
      </c>
      <c r="C62" s="113">
        <v>123140</v>
      </c>
      <c r="D62" s="113">
        <v>148511</v>
      </c>
      <c r="E62" s="113">
        <v>88393</v>
      </c>
      <c r="F62" s="113">
        <v>118671</v>
      </c>
      <c r="G62" s="113">
        <v>100896</v>
      </c>
      <c r="H62" s="113"/>
      <c r="I62" s="113"/>
      <c r="J62" s="113"/>
      <c r="K62" s="113"/>
      <c r="L62" s="113"/>
      <c r="M62" s="113"/>
      <c r="N62" s="114"/>
    </row>
    <row r="63" spans="2:17">
      <c r="B63" s="112" t="s">
        <v>31</v>
      </c>
      <c r="C63" s="113">
        <v>5245636.66</v>
      </c>
      <c r="D63" s="113">
        <v>3296122.7</v>
      </c>
      <c r="E63" s="113">
        <f>186919675/60</f>
        <v>3115327.9166666665</v>
      </c>
      <c r="F63" s="113">
        <f>180838389/60</f>
        <v>3013973.15</v>
      </c>
      <c r="G63" s="113">
        <f>173652033/60</f>
        <v>2894200.55</v>
      </c>
      <c r="H63" s="113"/>
      <c r="I63" s="113"/>
      <c r="J63" s="113"/>
      <c r="K63" s="113"/>
      <c r="L63" s="113"/>
      <c r="M63" s="113"/>
      <c r="N63" s="114"/>
    </row>
    <row r="64" spans="2:17">
      <c r="B64" s="115" t="s">
        <v>12</v>
      </c>
      <c r="C64" s="92">
        <f>(C62/C61)*C63</f>
        <v>20452.86235060286</v>
      </c>
      <c r="D64" s="92">
        <f>(D62/D61)*D63</f>
        <v>17074.635744240059</v>
      </c>
      <c r="E64" s="92">
        <f>(E62/E61)*E63</f>
        <v>10691.094814862079</v>
      </c>
      <c r="F64" s="92">
        <f>(F62/F61)*F63</f>
        <v>14031.513529953141</v>
      </c>
      <c r="G64" s="92">
        <f>(G62/G61)*G63</f>
        <v>11901.246582380048</v>
      </c>
      <c r="H64" s="131"/>
      <c r="I64" s="131"/>
      <c r="J64" s="131"/>
      <c r="K64" s="131"/>
      <c r="L64" s="131"/>
      <c r="M64" s="131"/>
      <c r="N64" s="132"/>
    </row>
    <row r="65" spans="2:14"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>
      <c r="B66" s="137" t="s">
        <v>34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spans="2:14">
      <c r="B67" s="109" t="s">
        <v>35</v>
      </c>
      <c r="C67" s="110">
        <v>1857644</v>
      </c>
      <c r="D67" s="110">
        <v>1928971</v>
      </c>
      <c r="E67" s="110">
        <v>2076482</v>
      </c>
      <c r="F67" s="110">
        <v>2253484</v>
      </c>
      <c r="G67" s="110">
        <v>2494824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946931</v>
      </c>
      <c r="D68" s="131">
        <v>984234</v>
      </c>
      <c r="E68" s="131">
        <v>1032776</v>
      </c>
      <c r="F68" s="131">
        <v>1090703</v>
      </c>
      <c r="G68" s="131">
        <v>1151879</v>
      </c>
      <c r="H68" s="131"/>
      <c r="I68" s="131"/>
      <c r="J68" s="131"/>
      <c r="K68" s="131"/>
      <c r="L68" s="131"/>
      <c r="M68" s="131"/>
      <c r="N68" s="132"/>
    </row>
    <row r="69" spans="2:14"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</row>
    <row r="70" spans="2:14">
      <c r="B70" s="137" t="s">
        <v>37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</row>
    <row r="71" spans="2:14">
      <c r="B71" s="128" t="s">
        <v>185</v>
      </c>
      <c r="C71" s="365"/>
      <c r="D71" s="365"/>
      <c r="E71" s="367">
        <v>11128000</v>
      </c>
      <c r="F71" s="367">
        <v>11605000</v>
      </c>
      <c r="G71" s="365"/>
      <c r="H71" s="365"/>
      <c r="I71" s="365"/>
      <c r="J71" s="365"/>
      <c r="K71" s="365"/>
      <c r="L71" s="365"/>
      <c r="M71" s="365"/>
      <c r="N71" s="366"/>
    </row>
    <row r="72" spans="2:14">
      <c r="B72" s="112" t="s">
        <v>38</v>
      </c>
      <c r="C72" s="124">
        <v>0.71499999999999997</v>
      </c>
      <c r="D72" s="124">
        <v>0.68400000000000005</v>
      </c>
      <c r="E72" s="124">
        <v>0.71199999999999997</v>
      </c>
      <c r="F72" s="124">
        <v>0.68100000000000005</v>
      </c>
      <c r="G72" s="124"/>
      <c r="H72" s="124"/>
      <c r="I72" s="124"/>
      <c r="J72" s="124"/>
      <c r="K72" s="124"/>
      <c r="L72" s="124"/>
      <c r="M72" s="124"/>
      <c r="N72" s="125"/>
    </row>
    <row r="73" spans="2:14">
      <c r="B73" s="112" t="s">
        <v>39</v>
      </c>
      <c r="C73" s="124">
        <f>1-C72</f>
        <v>0.28500000000000003</v>
      </c>
      <c r="D73" s="124">
        <f>1-D72</f>
        <v>0.31599999999999995</v>
      </c>
      <c r="E73" s="124">
        <f>1-E72</f>
        <v>0.28800000000000003</v>
      </c>
      <c r="F73" s="124">
        <f>1-F72</f>
        <v>0.31899999999999995</v>
      </c>
      <c r="G73" s="124"/>
      <c r="H73" s="124"/>
      <c r="I73" s="124"/>
      <c r="J73" s="124"/>
      <c r="K73" s="124"/>
      <c r="L73" s="124"/>
      <c r="M73" s="124"/>
      <c r="N73" s="125"/>
    </row>
    <row r="74" spans="2:14">
      <c r="B74" s="112" t="s">
        <v>40</v>
      </c>
      <c r="C74" s="124">
        <v>0.61599999999999999</v>
      </c>
      <c r="D74" s="124">
        <v>0.628</v>
      </c>
      <c r="E74" s="124">
        <v>0.60199999999999998</v>
      </c>
      <c r="F74" s="124">
        <v>0.64400000000000002</v>
      </c>
      <c r="G74" s="124"/>
      <c r="H74" s="124"/>
      <c r="I74" s="124"/>
      <c r="J74" s="124"/>
      <c r="K74" s="124"/>
      <c r="L74" s="124"/>
      <c r="M74" s="124"/>
      <c r="N74" s="125"/>
    </row>
    <row r="75" spans="2:14">
      <c r="B75" s="115" t="s">
        <v>41</v>
      </c>
      <c r="C75" s="126">
        <v>0</v>
      </c>
      <c r="D75" s="126">
        <v>0</v>
      </c>
      <c r="E75" s="126">
        <v>0</v>
      </c>
      <c r="F75" s="126">
        <v>0</v>
      </c>
      <c r="G75" s="126"/>
      <c r="H75" s="126"/>
      <c r="I75" s="126"/>
      <c r="J75" s="126"/>
      <c r="K75" s="126"/>
      <c r="L75" s="126"/>
      <c r="M75" s="126"/>
      <c r="N75" s="127"/>
    </row>
    <row r="77" spans="2:14">
      <c r="B77" s="137" t="s">
        <v>42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</row>
    <row r="78" spans="2:14">
      <c r="B78" s="109" t="s">
        <v>43</v>
      </c>
      <c r="C78" s="86">
        <v>13583</v>
      </c>
      <c r="D78" s="86">
        <v>11890</v>
      </c>
      <c r="E78" s="86">
        <v>21459</v>
      </c>
      <c r="F78" s="86">
        <v>19553</v>
      </c>
      <c r="G78" s="86">
        <v>21235</v>
      </c>
      <c r="H78" s="86"/>
      <c r="I78" s="86"/>
      <c r="J78" s="86"/>
      <c r="K78" s="86"/>
      <c r="L78" s="86"/>
      <c r="M78" s="86"/>
      <c r="N78" s="85"/>
    </row>
    <row r="79" spans="2:14">
      <c r="B79" s="112" t="s">
        <v>44</v>
      </c>
      <c r="C79" s="84">
        <v>50334</v>
      </c>
      <c r="D79" s="84">
        <v>50248</v>
      </c>
      <c r="E79" s="84">
        <v>64476</v>
      </c>
      <c r="F79" s="84">
        <v>69107</v>
      </c>
      <c r="G79" s="84">
        <v>73709</v>
      </c>
      <c r="H79" s="84"/>
      <c r="I79" s="84"/>
      <c r="J79" s="84"/>
      <c r="K79" s="84"/>
      <c r="L79" s="84"/>
      <c r="M79" s="84"/>
      <c r="N79" s="83"/>
    </row>
    <row r="80" spans="2:14">
      <c r="B80" s="115" t="s">
        <v>162</v>
      </c>
      <c r="C80" s="82">
        <v>1938697</v>
      </c>
      <c r="D80" s="82">
        <v>1896187</v>
      </c>
      <c r="E80" s="82">
        <v>2156108</v>
      </c>
      <c r="F80" s="82">
        <v>2498415</v>
      </c>
      <c r="G80" s="82">
        <v>2533819</v>
      </c>
      <c r="H80" s="82"/>
      <c r="I80" s="82"/>
      <c r="J80" s="82"/>
      <c r="K80" s="82"/>
      <c r="L80" s="82"/>
      <c r="M80" s="82"/>
      <c r="N80" s="81"/>
    </row>
  </sheetData>
  <autoFilter ref="B40:N50"/>
  <sortState ref="B41:N50">
    <sortCondition ref="B42:B50"/>
  </sortState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80"/>
  <sheetViews>
    <sheetView workbookViewId="0">
      <pane xSplit="2" ySplit="4" topLeftCell="C29" activePane="bottomRight" state="frozenSplit"/>
      <selection activeCell="B32" sqref="B32"/>
      <selection pane="topRight" activeCell="B32" sqref="B32"/>
      <selection pane="bottomLeft" activeCell="B32" sqref="B32"/>
      <selection pane="bottomRight" activeCell="F37" sqref="F37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155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1.377309020087349</v>
      </c>
      <c r="D7" s="177">
        <f t="shared" ref="D7:N8" si="0">IF(ISERROR(D18/D17),"NM",D18/D17)</f>
        <v>1.3883940610079155</v>
      </c>
      <c r="E7" s="177">
        <f t="shared" si="0"/>
        <v>1.3786481153256422</v>
      </c>
      <c r="F7" s="177">
        <f t="shared" si="0"/>
        <v>1.4162456311958616</v>
      </c>
      <c r="G7" s="177">
        <f t="shared" si="0"/>
        <v>1.4337867283386136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1.4061457396385535</v>
      </c>
      <c r="D8" s="177">
        <f t="shared" si="0"/>
        <v>1.4023260167851903</v>
      </c>
      <c r="E8" s="177">
        <f t="shared" si="0"/>
        <v>1.3912930556139438</v>
      </c>
      <c r="F8" s="177">
        <f t="shared" si="0"/>
        <v>1.3964075534283833</v>
      </c>
      <c r="G8" s="177">
        <f t="shared" si="0"/>
        <v>1.3998631830346964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7.2898791563270157E-2</v>
      </c>
      <c r="D9" s="177">
        <f t="shared" ref="D9:N9" si="1">IF(ISERROR((D54+D62)/D18),"NM",(D54+D62)/D18)</f>
        <v>9.6253232490282725E-2</v>
      </c>
      <c r="E9" s="177">
        <f t="shared" si="1"/>
        <v>8.8448825852528279E-2</v>
      </c>
      <c r="F9" s="177">
        <f t="shared" si="1"/>
        <v>4.6412242028156456E-2</v>
      </c>
      <c r="G9" s="177">
        <f t="shared" si="1"/>
        <v>4.4464142125052078E-2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0.2261771652030983</v>
      </c>
      <c r="D10" s="177">
        <f t="shared" ref="D10:N10" si="2">IF(ISERROR(((D56+D64)/D18)*60),"NM",((D56+D64)/D18)*60)</f>
        <v>0.32915190129795086</v>
      </c>
      <c r="E10" s="177">
        <f t="shared" si="2"/>
        <v>0.31602846443542265</v>
      </c>
      <c r="F10" s="177">
        <f t="shared" si="2"/>
        <v>0.15151599767039103</v>
      </c>
      <c r="G10" s="177">
        <f t="shared" si="2"/>
        <v>0.14953030008669821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3.1026188548927469</v>
      </c>
      <c r="D11" s="177">
        <f t="shared" ref="D11:N11" si="3">IF(ISERROR(((D56+D64)/(D54+D62))*60),"NM",((D56+D64)/(D54+D62))*60)</f>
        <v>3.4196451670460046</v>
      </c>
      <c r="E11" s="177">
        <f t="shared" si="3"/>
        <v>3.5730091540428184</v>
      </c>
      <c r="F11" s="177">
        <f t="shared" si="3"/>
        <v>3.2645696706156171</v>
      </c>
      <c r="G11" s="177">
        <f t="shared" si="3"/>
        <v>3.3629413037173954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0.33480374332574209</v>
      </c>
      <c r="D12" s="178">
        <f t="shared" ref="D12:N12" si="4">IF(ISERROR(D28/D18),"NM",D28/D18)</f>
        <v>0.36527847778822492</v>
      </c>
      <c r="E12" s="178">
        <f t="shared" si="4"/>
        <v>0.37552469670434013</v>
      </c>
      <c r="F12" s="178">
        <f t="shared" si="4"/>
        <v>0.43244198469746481</v>
      </c>
      <c r="G12" s="178">
        <f t="shared" si="4"/>
        <v>0.4011488853189224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6" spans="2:14">
      <c r="B16" s="94" t="s">
        <v>9</v>
      </c>
      <c r="E16" s="105"/>
    </row>
    <row r="17" spans="2:16">
      <c r="B17" s="109" t="s">
        <v>157</v>
      </c>
      <c r="C17" s="110">
        <v>2731570</v>
      </c>
      <c r="D17" s="110">
        <v>2773804</v>
      </c>
      <c r="E17" s="110">
        <v>3295503</v>
      </c>
      <c r="F17" s="110">
        <v>3749882</v>
      </c>
      <c r="G17" s="110">
        <v>4067976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3762216</v>
      </c>
      <c r="D18" s="113">
        <v>3851133</v>
      </c>
      <c r="E18" s="113">
        <v>4543339</v>
      </c>
      <c r="F18" s="113">
        <v>5310754</v>
      </c>
      <c r="G18" s="113">
        <v>5832610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5290224</v>
      </c>
      <c r="D19" s="113">
        <v>5400544</v>
      </c>
      <c r="E19" s="113">
        <v>6321116</v>
      </c>
      <c r="F19" s="113">
        <v>7415977</v>
      </c>
      <c r="G19" s="113">
        <v>8164856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2.06</v>
      </c>
      <c r="D20" s="167">
        <v>2.0299999999999998</v>
      </c>
      <c r="E20" s="167">
        <v>2.02</v>
      </c>
      <c r="F20" s="167">
        <v>2</v>
      </c>
      <c r="G20" s="167">
        <v>2.06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2502612</v>
      </c>
      <c r="D23" s="110">
        <f t="shared" si="5"/>
        <v>2444397</v>
      </c>
      <c r="E23" s="110">
        <f t="shared" si="5"/>
        <v>2837203</v>
      </c>
      <c r="F23" s="110">
        <f t="shared" si="5"/>
        <v>3014161</v>
      </c>
      <c r="G23" s="110">
        <f t="shared" si="5"/>
        <v>3492865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3690553</v>
      </c>
      <c r="D24" s="113">
        <f t="shared" si="6"/>
        <v>3629351</v>
      </c>
      <c r="E24" s="113">
        <f t="shared" si="6"/>
        <v>4151313</v>
      </c>
      <c r="F24" s="113">
        <f t="shared" si="6"/>
        <v>4450344</v>
      </c>
      <c r="G24" s="113">
        <f t="shared" si="6"/>
        <v>5182531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2.2999999999999998</v>
      </c>
      <c r="D25" s="168">
        <v>2.2999999999999998</v>
      </c>
      <c r="E25" s="167">
        <v>2.25</v>
      </c>
      <c r="F25" s="167">
        <v>2.2999999999999998</v>
      </c>
      <c r="G25" s="167">
        <v>2.35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1259604</v>
      </c>
      <c r="D28" s="110">
        <v>1406736</v>
      </c>
      <c r="E28" s="110">
        <v>1706136</v>
      </c>
      <c r="F28" s="110">
        <v>2296593</v>
      </c>
      <c r="G28" s="110">
        <v>2339745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1599671</v>
      </c>
      <c r="D29" s="113">
        <v>1771193</v>
      </c>
      <c r="E29" s="113">
        <v>2169803</v>
      </c>
      <c r="F29" s="113">
        <v>2965633</v>
      </c>
      <c r="G29" s="113">
        <v>2982325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1.59</v>
      </c>
      <c r="D30" s="167">
        <v>1.1599999999999999</v>
      </c>
      <c r="E30" s="167">
        <v>1.2</v>
      </c>
      <c r="F30" s="167">
        <v>1.19</v>
      </c>
      <c r="G30" s="116">
        <v>1.2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0.8256</v>
      </c>
      <c r="D33" s="121">
        <v>0.82620000000000005</v>
      </c>
      <c r="E33" s="121">
        <v>0.8256</v>
      </c>
      <c r="F33" s="121">
        <v>0.82740000000000002</v>
      </c>
      <c r="G33" s="121">
        <v>0.82569999999999999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0.63490000000000002</v>
      </c>
      <c r="D34" s="123">
        <v>0.60940000000000005</v>
      </c>
      <c r="E34" s="124">
        <v>0.61470000000000002</v>
      </c>
      <c r="F34" s="124">
        <v>0.60489999999999999</v>
      </c>
      <c r="G34" s="124">
        <v>0.57340000000000002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0.36509999999999998</v>
      </c>
      <c r="D35" s="124">
        <f>1-D34</f>
        <v>0.39059999999999995</v>
      </c>
      <c r="E35" s="124">
        <f>1-E34</f>
        <v>0.38529999999999998</v>
      </c>
      <c r="F35" s="124">
        <f>1-F34</f>
        <v>0.39510000000000001</v>
      </c>
      <c r="G35" s="124">
        <f>1-G34</f>
        <v>0.42659999999999998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4.5400000000000003E-2</v>
      </c>
      <c r="D36" s="124">
        <v>4.9700000000000001E-2</v>
      </c>
      <c r="E36" s="124">
        <v>0.05</v>
      </c>
      <c r="F36" s="124">
        <v>4.9200000000000001E-2</v>
      </c>
      <c r="G36" s="124">
        <v>5.8500000000000003E-2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0.86360000000000003</v>
      </c>
      <c r="D37" s="124">
        <f>1-D38</f>
        <v>0.86619999999999997</v>
      </c>
      <c r="E37" s="124">
        <f>1-E38</f>
        <v>0.86660000000000004</v>
      </c>
      <c r="F37" s="124">
        <f>1-F38</f>
        <v>0.86</v>
      </c>
      <c r="G37" s="124">
        <f>1-G38</f>
        <v>0.86070000000000002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0.13639999999999999</v>
      </c>
      <c r="D38" s="126">
        <v>0.1338</v>
      </c>
      <c r="E38" s="126">
        <v>0.13339999999999999</v>
      </c>
      <c r="F38" s="126">
        <v>0.14000000000000001</v>
      </c>
      <c r="G38" s="126">
        <v>0.13930000000000001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0.20710000000000001</v>
      </c>
      <c r="D41" s="121">
        <v>0.20899999999999999</v>
      </c>
      <c r="E41" s="121">
        <v>0.2142</v>
      </c>
      <c r="F41" s="121">
        <v>0.20630000000000001</v>
      </c>
      <c r="G41" s="121">
        <v>0.1741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2.4400000000000002E-2</v>
      </c>
      <c r="D42" s="124">
        <v>3.0700000000000002E-2</v>
      </c>
      <c r="E42" s="124">
        <v>4.1799999999999997E-2</v>
      </c>
      <c r="F42" s="124">
        <v>0.03</v>
      </c>
      <c r="G42" s="124">
        <v>0.02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0.1447</v>
      </c>
      <c r="D43" s="124">
        <v>0.14199999999999999</v>
      </c>
      <c r="E43" s="124">
        <v>0.14760000000000001</v>
      </c>
      <c r="F43" s="124">
        <v>0.125</v>
      </c>
      <c r="G43" s="124">
        <v>0.1502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0.45340000000000003</v>
      </c>
      <c r="D44" s="124">
        <v>0.46710000000000002</v>
      </c>
      <c r="E44" s="124">
        <v>0.45</v>
      </c>
      <c r="F44" s="124">
        <v>0.53639999999999999</v>
      </c>
      <c r="G44" s="124">
        <v>0.54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8.6099999999999996E-2</v>
      </c>
      <c r="D45" s="124">
        <v>7.4300000000000005E-2</v>
      </c>
      <c r="E45" s="124">
        <v>6.08E-2</v>
      </c>
      <c r="F45" s="124">
        <v>6.7699999999999996E-2</v>
      </c>
      <c r="G45" s="124">
        <v>7.0000000000000007E-2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5.0000000000000001E-4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5.0000000000000001E-4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8.3300000000000152E-2</v>
      </c>
      <c r="D50" s="126">
        <f>1-SUM(D41:D49)</f>
        <v>7.6899999999999968E-2</v>
      </c>
      <c r="E50" s="126">
        <f>1-SUM(E41:E49)</f>
        <v>8.5600000000000009E-2</v>
      </c>
      <c r="F50" s="126">
        <f>1-SUM(F41:F49)</f>
        <v>3.4600000000000075E-2</v>
      </c>
      <c r="G50" s="126">
        <f>1-SUM(G41:G49)</f>
        <v>4.5699999999999852E-2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10">
        <v>125235</v>
      </c>
      <c r="D53" s="110">
        <v>221146</v>
      </c>
      <c r="E53" s="110">
        <v>282234</v>
      </c>
      <c r="F53" s="110">
        <v>165907</v>
      </c>
      <c r="G53" s="110">
        <v>186301</v>
      </c>
      <c r="H53" s="110"/>
      <c r="I53" s="110"/>
      <c r="J53" s="110"/>
      <c r="K53" s="110"/>
      <c r="L53" s="110"/>
      <c r="M53" s="110"/>
      <c r="N53" s="111"/>
    </row>
    <row r="54" spans="2:14">
      <c r="B54" s="112" t="s">
        <v>30</v>
      </c>
      <c r="C54" s="113">
        <v>80882</v>
      </c>
      <c r="D54" s="113">
        <v>174291</v>
      </c>
      <c r="E54" s="113">
        <v>210312</v>
      </c>
      <c r="F54" s="113">
        <v>115903</v>
      </c>
      <c r="G54" s="113">
        <v>124125</v>
      </c>
      <c r="H54" s="113"/>
      <c r="I54" s="113"/>
      <c r="J54" s="113"/>
      <c r="K54" s="113"/>
      <c r="L54" s="113"/>
      <c r="M54" s="113"/>
      <c r="N54" s="114"/>
    </row>
    <row r="55" spans="2:14">
      <c r="B55" s="112" t="s">
        <v>31</v>
      </c>
      <c r="C55" s="113">
        <v>6116</v>
      </c>
      <c r="D55" s="113">
        <v>11749</v>
      </c>
      <c r="E55" s="113">
        <v>15879</v>
      </c>
      <c r="F55" s="113">
        <v>8600</v>
      </c>
      <c r="G55" s="113">
        <v>10351</v>
      </c>
      <c r="H55" s="113"/>
      <c r="I55" s="113"/>
      <c r="J55" s="113"/>
      <c r="K55" s="113"/>
      <c r="L55" s="113"/>
      <c r="M55" s="113"/>
      <c r="N55" s="114"/>
    </row>
    <row r="56" spans="2:14">
      <c r="B56" s="112" t="s">
        <v>11</v>
      </c>
      <c r="C56" s="93">
        <f>(C54/C53)*C55</f>
        <v>3949.9685551163811</v>
      </c>
      <c r="D56" s="93">
        <f>(D54/D53)*D55</f>
        <v>9259.697028207609</v>
      </c>
      <c r="E56" s="93">
        <f>(E54/E53)*E55</f>
        <v>11832.537001211762</v>
      </c>
      <c r="F56" s="93">
        <f>(F54/F53)*F55</f>
        <v>6007.9791690525417</v>
      </c>
      <c r="G56" s="93">
        <f>(G54/G53)*G55</f>
        <v>6896.4625793742389</v>
      </c>
      <c r="H56" s="113"/>
      <c r="I56" s="113"/>
      <c r="J56" s="113"/>
      <c r="K56" s="113"/>
      <c r="L56" s="113"/>
      <c r="M56" s="113"/>
      <c r="N56" s="114"/>
    </row>
    <row r="57" spans="2:14">
      <c r="B57" s="115" t="s">
        <v>32</v>
      </c>
      <c r="C57" s="126">
        <v>0.68500000000000005</v>
      </c>
      <c r="D57" s="126">
        <v>0.71399999999999997</v>
      </c>
      <c r="E57" s="126">
        <v>0.78900000000000003</v>
      </c>
      <c r="F57" s="126">
        <v>0.71</v>
      </c>
      <c r="G57" s="126">
        <v>0.74</v>
      </c>
      <c r="H57" s="131"/>
      <c r="I57" s="131"/>
      <c r="J57" s="131"/>
      <c r="K57" s="131"/>
      <c r="L57" s="131"/>
      <c r="M57" s="131"/>
      <c r="N57" s="132"/>
    </row>
    <row r="58" spans="2:14">
      <c r="B58" s="133"/>
      <c r="C58" s="134"/>
      <c r="D58" s="134"/>
      <c r="E58" s="362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4">
      <c r="B59" s="129" t="s">
        <v>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4">
      <c r="B60" s="109" t="s">
        <v>50</v>
      </c>
      <c r="C60" s="110">
        <v>40167</v>
      </c>
      <c r="D60" s="110">
        <v>37030</v>
      </c>
      <c r="E60" s="110">
        <v>37646</v>
      </c>
      <c r="F60" s="110">
        <v>27149</v>
      </c>
      <c r="G60" s="110">
        <v>31756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11508243</v>
      </c>
      <c r="D61" s="113">
        <v>11810926</v>
      </c>
      <c r="E61" s="113">
        <v>13198648</v>
      </c>
      <c r="F61" s="113">
        <v>10828919</v>
      </c>
      <c r="G61" s="113">
        <v>12164076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193379</v>
      </c>
      <c r="D62" s="113">
        <v>196393</v>
      </c>
      <c r="E62" s="113">
        <v>191541</v>
      </c>
      <c r="F62" s="113">
        <v>130581</v>
      </c>
      <c r="G62" s="113">
        <v>135217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608929.17000000004</v>
      </c>
      <c r="D63" s="113">
        <f>42820699/60</f>
        <v>713678.31666666665</v>
      </c>
      <c r="E63" s="113">
        <f>50018179/60</f>
        <v>833636.31666666665</v>
      </c>
      <c r="F63" s="113">
        <f>36835743/60</f>
        <v>613929.05000000005</v>
      </c>
      <c r="G63" s="113">
        <f>41234287/60</f>
        <v>687238.1166666667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10232.153940912614</v>
      </c>
      <c r="D64" s="92">
        <f>(D62/D61)*D63</f>
        <v>11867.098790147078</v>
      </c>
      <c r="E64" s="92">
        <f>(E62/E61)*E63</f>
        <v>12097.870458447715</v>
      </c>
      <c r="F64" s="92">
        <f>(F62/F61)*F63</f>
        <v>7403.0906758144565</v>
      </c>
      <c r="G64" s="92">
        <f>(G62/G61)*G63</f>
        <v>7639.4028137703735</v>
      </c>
      <c r="H64" s="131"/>
      <c r="I64" s="131"/>
      <c r="J64" s="131"/>
      <c r="K64" s="131"/>
      <c r="L64" s="131"/>
      <c r="M64" s="131"/>
      <c r="N64" s="132"/>
    </row>
    <row r="65" spans="2:14"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>
      <c r="B66" s="137" t="s">
        <v>34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spans="2:14">
      <c r="B67" s="109" t="s">
        <v>35</v>
      </c>
      <c r="C67" s="110">
        <v>387555</v>
      </c>
      <c r="D67" s="110">
        <v>395873</v>
      </c>
      <c r="E67" s="110">
        <v>413333</v>
      </c>
      <c r="F67" s="110">
        <v>425671</v>
      </c>
      <c r="G67" s="110">
        <v>451595</v>
      </c>
      <c r="H67" s="110"/>
      <c r="I67" s="110"/>
      <c r="J67" s="110"/>
      <c r="K67" s="110"/>
      <c r="L67" s="110"/>
      <c r="M67" s="110"/>
      <c r="N67" s="111"/>
    </row>
    <row r="68" spans="2:14">
      <c r="B68" s="112" t="s">
        <v>36</v>
      </c>
      <c r="C68" s="113">
        <v>84570</v>
      </c>
      <c r="D68" s="113">
        <v>93563</v>
      </c>
      <c r="E68" s="113">
        <v>96500</v>
      </c>
      <c r="F68" s="113">
        <v>103000</v>
      </c>
      <c r="G68" s="363">
        <v>109937</v>
      </c>
      <c r="H68" s="113"/>
      <c r="I68" s="113"/>
      <c r="J68" s="113"/>
      <c r="K68" s="113"/>
      <c r="L68" s="113"/>
      <c r="M68" s="113"/>
      <c r="N68" s="114"/>
    </row>
    <row r="69" spans="2:14">
      <c r="B69" s="115" t="s">
        <v>46</v>
      </c>
      <c r="C69" s="131">
        <v>12551</v>
      </c>
      <c r="D69" s="131">
        <v>13215</v>
      </c>
      <c r="E69" s="131">
        <v>15077</v>
      </c>
      <c r="F69" s="131">
        <v>18779</v>
      </c>
      <c r="G69" s="131">
        <v>21349</v>
      </c>
      <c r="H69" s="131"/>
      <c r="I69" s="131"/>
      <c r="J69" s="131"/>
      <c r="K69" s="131"/>
      <c r="L69" s="131"/>
      <c r="M69" s="131"/>
      <c r="N69" s="132"/>
    </row>
    <row r="70" spans="2:14"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</row>
    <row r="71" spans="2:14">
      <c r="B71" s="137" t="s">
        <v>37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</row>
    <row r="72" spans="2:14">
      <c r="B72" s="109" t="s">
        <v>38</v>
      </c>
      <c r="C72" s="152">
        <v>0</v>
      </c>
      <c r="D72" s="152">
        <v>0</v>
      </c>
      <c r="E72" s="152">
        <v>0</v>
      </c>
      <c r="F72" s="152">
        <v>0</v>
      </c>
      <c r="G72" s="152">
        <v>0</v>
      </c>
      <c r="H72" s="152">
        <v>0</v>
      </c>
      <c r="I72" s="152">
        <v>0</v>
      </c>
      <c r="J72" s="152">
        <v>0</v>
      </c>
      <c r="K72" s="152">
        <v>0</v>
      </c>
      <c r="L72" s="152">
        <v>0</v>
      </c>
      <c r="M72" s="152">
        <v>0</v>
      </c>
      <c r="N72" s="153">
        <v>0</v>
      </c>
    </row>
    <row r="73" spans="2:14">
      <c r="B73" s="112" t="s">
        <v>39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2" t="s">
        <v>40</v>
      </c>
      <c r="C74" s="154">
        <v>0</v>
      </c>
      <c r="D74" s="154">
        <v>0</v>
      </c>
      <c r="E74" s="154">
        <v>0</v>
      </c>
      <c r="F74" s="154">
        <v>0</v>
      </c>
      <c r="G74" s="154">
        <v>0</v>
      </c>
      <c r="H74" s="154">
        <v>0</v>
      </c>
      <c r="I74" s="154">
        <v>0</v>
      </c>
      <c r="J74" s="154">
        <v>0</v>
      </c>
      <c r="K74" s="154">
        <v>0</v>
      </c>
      <c r="L74" s="154">
        <v>0</v>
      </c>
      <c r="M74" s="154">
        <v>0</v>
      </c>
      <c r="N74" s="155">
        <v>0</v>
      </c>
    </row>
    <row r="75" spans="2:14">
      <c r="B75" s="115" t="s">
        <v>41</v>
      </c>
      <c r="C75" s="156">
        <v>0</v>
      </c>
      <c r="D75" s="156">
        <v>0</v>
      </c>
      <c r="E75" s="156">
        <v>0</v>
      </c>
      <c r="F75" s="156">
        <v>0</v>
      </c>
      <c r="G75" s="156">
        <v>0</v>
      </c>
      <c r="H75" s="156">
        <v>0</v>
      </c>
      <c r="I75" s="156">
        <v>0</v>
      </c>
      <c r="J75" s="156">
        <v>0</v>
      </c>
      <c r="K75" s="156">
        <v>0</v>
      </c>
      <c r="L75" s="156">
        <v>0</v>
      </c>
      <c r="M75" s="156">
        <v>0</v>
      </c>
      <c r="N75" s="157">
        <v>0</v>
      </c>
    </row>
    <row r="76" spans="2:14"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2:14">
      <c r="B77" s="137" t="s">
        <v>42</v>
      </c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</row>
    <row r="78" spans="2:14">
      <c r="B78" s="109" t="s">
        <v>43</v>
      </c>
      <c r="C78" s="152">
        <v>0</v>
      </c>
      <c r="D78" s="152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0</v>
      </c>
      <c r="J78" s="152">
        <v>0</v>
      </c>
      <c r="K78" s="152">
        <v>0</v>
      </c>
      <c r="L78" s="152">
        <v>0</v>
      </c>
      <c r="M78" s="152">
        <v>0</v>
      </c>
      <c r="N78" s="153">
        <v>0</v>
      </c>
    </row>
    <row r="79" spans="2:14">
      <c r="B79" s="112" t="s">
        <v>44</v>
      </c>
      <c r="C79" s="154">
        <v>0</v>
      </c>
      <c r="D79" s="154">
        <v>0</v>
      </c>
      <c r="E79" s="154">
        <v>0</v>
      </c>
      <c r="F79" s="154">
        <v>0</v>
      </c>
      <c r="G79" s="154">
        <v>0</v>
      </c>
      <c r="H79" s="154">
        <v>0</v>
      </c>
      <c r="I79" s="154">
        <v>0</v>
      </c>
      <c r="J79" s="154">
        <v>0</v>
      </c>
      <c r="K79" s="154">
        <v>0</v>
      </c>
      <c r="L79" s="154">
        <v>0</v>
      </c>
      <c r="M79" s="154">
        <v>0</v>
      </c>
      <c r="N79" s="155">
        <v>0</v>
      </c>
    </row>
    <row r="80" spans="2:14">
      <c r="B80" s="115" t="s">
        <v>162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7">
        <v>0</v>
      </c>
    </row>
  </sheetData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5" activePane="bottomRight" state="frozenSplit"/>
      <selection activeCell="G74" sqref="G74"/>
      <selection pane="topRight" activeCell="G74" sqref="G74"/>
      <selection pane="bottomLeft" activeCell="G74" sqref="G74"/>
      <selection pane="bottomRight" activeCell="G42" sqref="G42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181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 t="str">
        <f>IF(ISERROR(C18/C17),"NM",C18/C17)</f>
        <v>NM</v>
      </c>
      <c r="D7" s="177" t="str">
        <f t="shared" ref="D7:N8" si="0">IF(ISERROR(D18/D17),"NM",D18/D17)</f>
        <v>NM</v>
      </c>
      <c r="E7" s="177">
        <f t="shared" si="0"/>
        <v>1.5698824405507157</v>
      </c>
      <c r="F7" s="177">
        <f t="shared" si="0"/>
        <v>1.4942514862501792</v>
      </c>
      <c r="G7" s="177">
        <f t="shared" si="0"/>
        <v>1.5664447666702634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 t="str">
        <f>IF(ISERROR(C19/C18),"NM",C19/C18)</f>
        <v>NM</v>
      </c>
      <c r="D8" s="177" t="str">
        <f t="shared" si="0"/>
        <v>NM</v>
      </c>
      <c r="E8" s="177">
        <f t="shared" si="0"/>
        <v>1.6458505408267503</v>
      </c>
      <c r="F8" s="177">
        <f t="shared" si="0"/>
        <v>1.4809935655717976</v>
      </c>
      <c r="G8" s="177">
        <f t="shared" si="0"/>
        <v>1.4768839350922467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 t="str">
        <f>IF(ISERROR((C54+C62)/C18),"NM",(C54+C62)/C18)</f>
        <v>NM</v>
      </c>
      <c r="D9" s="177" t="str">
        <f t="shared" ref="D9:N9" si="1">IF(ISERROR((D54+D62)/D18),"NM",(D54+D62)/D18)</f>
        <v>NM</v>
      </c>
      <c r="E9" s="177">
        <f t="shared" si="1"/>
        <v>0.58508806422374005</v>
      </c>
      <c r="F9" s="177">
        <f t="shared" si="1"/>
        <v>0.2310680160862065</v>
      </c>
      <c r="G9" s="177">
        <f t="shared" si="1"/>
        <v>0.23611709943949247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 t="str">
        <f>IF(ISERROR(((C56+C64)/C18)*60),"NM",((C56+C64)/C18)*60)</f>
        <v>NM</v>
      </c>
      <c r="D10" s="177" t="str">
        <f t="shared" ref="D10:N10" si="2">IF(ISERROR(((D56+D64)/D18)*60),"NM",((D56+D64)/D18)*60)</f>
        <v>NM</v>
      </c>
      <c r="E10" s="177">
        <f t="shared" si="2"/>
        <v>3.6339175557674466</v>
      </c>
      <c r="F10" s="177">
        <f t="shared" si="2"/>
        <v>1.5086175026294455</v>
      </c>
      <c r="G10" s="177">
        <f t="shared" si="2"/>
        <v>1.5622173125304175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 t="str">
        <f>IF(ISERROR(((C56+C64)/(C54+C62))*60),"NM",((C56+C64)/(C54+C62))*60)</f>
        <v>NM</v>
      </c>
      <c r="D11" s="177" t="str">
        <f t="shared" ref="D11:N11" si="3">IF(ISERROR(((D56+D64)/(D54+D62))*60),"NM",((D56+D64)/(D54+D62))*60)</f>
        <v>NM</v>
      </c>
      <c r="E11" s="177">
        <f t="shared" si="3"/>
        <v>6.2108899120830836</v>
      </c>
      <c r="F11" s="177">
        <f t="shared" si="3"/>
        <v>6.5288893209115226</v>
      </c>
      <c r="G11" s="177">
        <f t="shared" si="3"/>
        <v>6.6162819899062519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 t="str">
        <f>IF(ISERROR(C28/C18),"NM",C28/C18)</f>
        <v>NM</v>
      </c>
      <c r="D12" s="178" t="str">
        <f t="shared" ref="D12:N12" si="4">IF(ISERROR(D28/D18),"NM",D28/D18)</f>
        <v>NM</v>
      </c>
      <c r="E12" s="178">
        <f t="shared" si="4"/>
        <v>0.35799006767876201</v>
      </c>
      <c r="F12" s="178">
        <f t="shared" si="4"/>
        <v>0.43702084804779195</v>
      </c>
      <c r="G12" s="178">
        <f t="shared" si="4"/>
        <v>0.41748170085565706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0</v>
      </c>
      <c r="D17" s="110">
        <v>0</v>
      </c>
      <c r="E17" s="110">
        <v>918514</v>
      </c>
      <c r="F17" s="110">
        <v>2460723</v>
      </c>
      <c r="G17" s="110">
        <v>2539282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0</v>
      </c>
      <c r="D18" s="113">
        <v>0</v>
      </c>
      <c r="E18" s="113">
        <v>1441959</v>
      </c>
      <c r="F18" s="113">
        <v>3676939</v>
      </c>
      <c r="G18" s="113">
        <v>3977645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0</v>
      </c>
      <c r="D19" s="113">
        <v>0</v>
      </c>
      <c r="E19" s="113">
        <v>2373249</v>
      </c>
      <c r="F19" s="113">
        <v>5445523</v>
      </c>
      <c r="G19" s="113">
        <v>5874520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0</v>
      </c>
      <c r="D20" s="167">
        <v>0</v>
      </c>
      <c r="E20" s="167">
        <v>3.08</v>
      </c>
      <c r="F20" s="167">
        <v>2.14</v>
      </c>
      <c r="G20" s="167">
        <v>2.2799999999999998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6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v>0</v>
      </c>
      <c r="D23" s="110">
        <v>0</v>
      </c>
      <c r="E23" s="110">
        <f t="shared" ref="E23:N23" si="5">E18-E28</f>
        <v>925752</v>
      </c>
      <c r="F23" s="110">
        <f t="shared" si="5"/>
        <v>2070040</v>
      </c>
      <c r="G23" s="110">
        <f t="shared" si="5"/>
        <v>2317051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v>0</v>
      </c>
      <c r="D24" s="113">
        <v>0</v>
      </c>
      <c r="E24" s="113">
        <f t="shared" ref="E24:N24" si="6">E19-E29</f>
        <v>1698338</v>
      </c>
      <c r="F24" s="113">
        <f t="shared" si="6"/>
        <v>3426943</v>
      </c>
      <c r="G24" s="113">
        <f t="shared" si="6"/>
        <v>3804053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0</v>
      </c>
      <c r="D25" s="167">
        <v>0</v>
      </c>
      <c r="E25" s="167">
        <v>3.56</v>
      </c>
      <c r="F25" s="116">
        <v>3</v>
      </c>
      <c r="G25" s="116">
        <v>3.1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0</v>
      </c>
      <c r="D28" s="110">
        <v>0</v>
      </c>
      <c r="E28" s="110">
        <v>516207</v>
      </c>
      <c r="F28" s="110">
        <v>1606899</v>
      </c>
      <c r="G28" s="110">
        <v>1660594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0</v>
      </c>
      <c r="D29" s="113">
        <v>0</v>
      </c>
      <c r="E29" s="113">
        <v>674911</v>
      </c>
      <c r="F29" s="113">
        <v>2018580</v>
      </c>
      <c r="G29" s="113">
        <v>2070467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0</v>
      </c>
      <c r="D30" s="167">
        <v>0</v>
      </c>
      <c r="E30" s="167">
        <v>1.38</v>
      </c>
      <c r="F30" s="116">
        <v>1.1399999999999999</v>
      </c>
      <c r="G30" s="116">
        <v>1.1599999999999999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</v>
      </c>
      <c r="D33" s="121">
        <v>0</v>
      </c>
      <c r="E33" s="121">
        <v>0.65029999999999999</v>
      </c>
      <c r="F33" s="121">
        <v>0.76539999999999997</v>
      </c>
      <c r="G33" s="121">
        <v>0.76549999999999996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</v>
      </c>
      <c r="D34" s="123">
        <v>0</v>
      </c>
      <c r="E34" s="124">
        <v>0.62</v>
      </c>
      <c r="F34" s="124">
        <v>0.61609999999999998</v>
      </c>
      <c r="G34" s="124">
        <v>0.53939999999999999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v>0</v>
      </c>
      <c r="D35" s="124">
        <v>0</v>
      </c>
      <c r="E35" s="124">
        <f>1-E34</f>
        <v>0.38</v>
      </c>
      <c r="F35" s="124">
        <f>1-F34</f>
        <v>0.38390000000000002</v>
      </c>
      <c r="G35" s="124">
        <f>1-G34</f>
        <v>0.46060000000000001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0</v>
      </c>
      <c r="D36" s="124">
        <v>0</v>
      </c>
      <c r="E36" s="124">
        <v>3.1800000000000002E-2</v>
      </c>
      <c r="F36" s="124">
        <v>0.04</v>
      </c>
      <c r="G36" s="124">
        <v>6.5799999999999997E-2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v>0</v>
      </c>
      <c r="D37" s="124">
        <v>0</v>
      </c>
      <c r="E37" s="124">
        <f>1-E38</f>
        <v>0.75729999999999997</v>
      </c>
      <c r="F37" s="124">
        <f>1-F38</f>
        <v>0.82240000000000002</v>
      </c>
      <c r="G37" s="124">
        <f>1-G38</f>
        <v>0.81969999999999998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</v>
      </c>
      <c r="D38" s="126">
        <v>0</v>
      </c>
      <c r="E38" s="126">
        <v>0.2427</v>
      </c>
      <c r="F38" s="126">
        <v>0.17760000000000001</v>
      </c>
      <c r="G38" s="126">
        <v>0.18029999999999999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</v>
      </c>
      <c r="D41" s="121">
        <v>0</v>
      </c>
      <c r="E41" s="121">
        <v>0.28499999999999998</v>
      </c>
      <c r="F41" s="121">
        <v>0.15679999999999999</v>
      </c>
      <c r="G41" s="121">
        <v>0.1148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0</v>
      </c>
      <c r="D42" s="124">
        <v>0</v>
      </c>
      <c r="E42" s="124">
        <v>6.6E-3</v>
      </c>
      <c r="F42" s="124">
        <v>1.4999999999999999E-2</v>
      </c>
      <c r="G42" s="124">
        <v>0.01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</v>
      </c>
      <c r="D43" s="124">
        <v>0</v>
      </c>
      <c r="E43" s="124">
        <v>7.7700000000000005E-2</v>
      </c>
      <c r="F43" s="124">
        <v>6.3100000000000003E-2</v>
      </c>
      <c r="G43" s="124">
        <v>0.09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</v>
      </c>
      <c r="D44" s="124">
        <v>0</v>
      </c>
      <c r="E44" s="124">
        <v>0.52</v>
      </c>
      <c r="F44" s="124">
        <v>0.6</v>
      </c>
      <c r="G44" s="124">
        <v>0.66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0</v>
      </c>
      <c r="D45" s="124">
        <v>0</v>
      </c>
      <c r="E45" s="124">
        <v>0</v>
      </c>
      <c r="F45" s="124">
        <v>3.9699999999999999E-2</v>
      </c>
      <c r="G45" s="124">
        <v>6.5000000000000002E-2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v>0</v>
      </c>
      <c r="D50" s="126">
        <v>0</v>
      </c>
      <c r="E50" s="126">
        <f>1-SUM(E41:E49)</f>
        <v>0.11070000000000002</v>
      </c>
      <c r="F50" s="126">
        <f>1-SUM(F41:F49)</f>
        <v>0.12540000000000007</v>
      </c>
      <c r="G50" s="126">
        <f>1-SUM(G41:G49)</f>
        <v>6.0200000000000031E-2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124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58">
        <v>0</v>
      </c>
      <c r="D60" s="158">
        <v>0</v>
      </c>
      <c r="E60" s="110">
        <v>103054</v>
      </c>
      <c r="F60" s="110">
        <v>88009</v>
      </c>
      <c r="G60" s="110">
        <v>79979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61">
        <v>0</v>
      </c>
      <c r="D61" s="161">
        <v>0</v>
      </c>
      <c r="E61" s="113">
        <v>10741960</v>
      </c>
      <c r="F61" s="113">
        <v>12262732</v>
      </c>
      <c r="G61" s="113">
        <v>14235545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61">
        <v>0</v>
      </c>
      <c r="D62" s="161">
        <v>0</v>
      </c>
      <c r="E62" s="113">
        <v>843673</v>
      </c>
      <c r="F62" s="113">
        <v>849623</v>
      </c>
      <c r="G62" s="113">
        <v>939190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61">
        <v>0</v>
      </c>
      <c r="D63" s="161">
        <v>0</v>
      </c>
      <c r="E63" s="113">
        <f>66717131/60</f>
        <v>1111952.1833333333</v>
      </c>
      <c r="F63" s="113">
        <f>80062020/60</f>
        <v>1334367</v>
      </c>
      <c r="G63" s="113">
        <f>94186380/60</f>
        <v>1569773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159">
        <v>0</v>
      </c>
      <c r="D64" s="159">
        <v>0</v>
      </c>
      <c r="E64" s="131">
        <f>(E62/E61)*E63</f>
        <v>87332.668746614523</v>
      </c>
      <c r="F64" s="131">
        <f>(F62/F61)*F63</f>
        <v>92451.575525013512</v>
      </c>
      <c r="G64" s="131">
        <f>(G62/G61)*G63</f>
        <v>103565.76470166755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0</v>
      </c>
      <c r="D67" s="110">
        <v>0</v>
      </c>
      <c r="E67" s="110">
        <v>53420</v>
      </c>
      <c r="F67" s="110">
        <v>157408</v>
      </c>
      <c r="G67" s="110">
        <v>304252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0</v>
      </c>
      <c r="D68" s="131">
        <v>0</v>
      </c>
      <c r="E68" s="131">
        <v>45300</v>
      </c>
      <c r="F68" s="131">
        <v>63325</v>
      </c>
      <c r="G68" s="131">
        <v>91261</v>
      </c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</row>
    <row r="76" spans="2:14">
      <c r="B76" s="137" t="s">
        <v>42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</row>
    <row r="77" spans="2:14">
      <c r="B77" s="109" t="s">
        <v>43</v>
      </c>
      <c r="C77" s="158">
        <v>0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60">
        <v>0</v>
      </c>
    </row>
    <row r="78" spans="2:14">
      <c r="B78" s="112" t="s">
        <v>44</v>
      </c>
      <c r="C78" s="161">
        <v>0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2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0"/>
  <sheetViews>
    <sheetView workbookViewId="0">
      <pane xSplit="2" ySplit="4" topLeftCell="C20" activePane="bottomRight" state="frozenSplit"/>
      <selection activeCell="E69" sqref="E69"/>
      <selection pane="topRight" activeCell="E69" sqref="E69"/>
      <selection pane="bottomLeft" activeCell="E69" sqref="E69"/>
      <selection pane="bottomRight" activeCell="N18" sqref="N18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7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7" ht="15" thickBot="1">
      <c r="B2" s="99" t="s">
        <v>103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7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7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7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7">
      <c r="B7" s="98" t="s">
        <v>3</v>
      </c>
      <c r="C7" s="177">
        <f>IF(ISERROR(C18/C17),"NM",C18/C17)</f>
        <v>1.2437388499896467</v>
      </c>
      <c r="D7" s="177">
        <f t="shared" ref="D7:N8" si="0">IF(ISERROR(D18/D17),"NM",D18/D17)</f>
        <v>1.2609357727409058</v>
      </c>
      <c r="E7" s="177">
        <f t="shared" si="0"/>
        <v>1.3113112245190093</v>
      </c>
      <c r="F7" s="177">
        <f t="shared" si="0"/>
        <v>1.2946996394863692</v>
      </c>
      <c r="G7" s="177">
        <f t="shared" si="0"/>
        <v>1.2734670598353786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7">
      <c r="B8" s="98" t="s">
        <v>4</v>
      </c>
      <c r="C8" s="177">
        <f>IF(ISERROR(C19/C18),"NM",C19/C18)</f>
        <v>1.4335425785113209</v>
      </c>
      <c r="D8" s="177">
        <f t="shared" si="0"/>
        <v>1.3932616760757592</v>
      </c>
      <c r="E8" s="177">
        <f t="shared" si="0"/>
        <v>1.3809995658455159</v>
      </c>
      <c r="F8" s="177">
        <f t="shared" si="0"/>
        <v>1.4117148615423925</v>
      </c>
      <c r="G8" s="177">
        <f t="shared" si="0"/>
        <v>1.3990659323183463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7">
      <c r="B9" s="98" t="s">
        <v>5</v>
      </c>
      <c r="C9" s="177">
        <f>IF(ISERROR((C55+C63)/C18),"NM",(C55+C63)/C18)</f>
        <v>2.1889919948186738E-2</v>
      </c>
      <c r="D9" s="177">
        <f t="shared" ref="D9:N9" si="1">IF(ISERROR((D55+D63)/D18),"NM",(D55+D63)/D18)</f>
        <v>1.3269912854607942E-2</v>
      </c>
      <c r="E9" s="177">
        <f t="shared" si="1"/>
        <v>3.0228941636163572E-2</v>
      </c>
      <c r="F9" s="177">
        <f t="shared" si="1"/>
        <v>2.5800293054045527E-2</v>
      </c>
      <c r="G9" s="177">
        <f t="shared" si="1"/>
        <v>2.4256303266256857E-2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7">
      <c r="B10" s="98" t="s">
        <v>6</v>
      </c>
      <c r="C10" s="177">
        <f>IF(ISERROR(((C57+C65)/C18)*60),"NM",((C57+C65)/C18)*60)</f>
        <v>0.13841995579323682</v>
      </c>
      <c r="D10" s="177">
        <f t="shared" ref="D10:N10" si="2">IF(ISERROR(((D57+D65)/D18)*60),"NM",((D57+D65)/D18)*60)</f>
        <v>8.6481714512902444E-2</v>
      </c>
      <c r="E10" s="177">
        <f t="shared" si="2"/>
        <v>0.21344703626685982</v>
      </c>
      <c r="F10" s="177">
        <f t="shared" si="2"/>
        <v>0.16976186493420939</v>
      </c>
      <c r="G10" s="177">
        <f t="shared" si="2"/>
        <v>0.15116325640665215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7">
      <c r="B11" s="98" t="s">
        <v>7</v>
      </c>
      <c r="C11" s="177">
        <f>IF(ISERROR(((C57+C65)/(C55+C63))*60),"NM",((C57+C65)/(C55+C63))*60)</f>
        <v>6.3234564640197739</v>
      </c>
      <c r="D11" s="177">
        <f t="shared" ref="D11:N11" si="3">IF(ISERROR(((D57+D65)/(D55+D63))*60),"NM",((D57+D65)/(D55+D63))*60)</f>
        <v>6.5171275396033899</v>
      </c>
      <c r="E11" s="177">
        <f t="shared" si="3"/>
        <v>7.061015858110899</v>
      </c>
      <c r="F11" s="177">
        <f t="shared" si="3"/>
        <v>6.5798425071606097</v>
      </c>
      <c r="G11" s="177">
        <f t="shared" si="3"/>
        <v>6.2319164939257918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7">
      <c r="B12" s="98" t="s">
        <v>8</v>
      </c>
      <c r="C12" s="178">
        <f>IF(ISERROR(C28/C18),"NM",C28/C18)</f>
        <v>0.30500539676656624</v>
      </c>
      <c r="D12" s="178">
        <f t="shared" ref="D12:N12" si="4">IF(ISERROR(D28/D18),"NM",D28/D18)</f>
        <v>0.30531027578937497</v>
      </c>
      <c r="E12" s="178">
        <f t="shared" si="4"/>
        <v>0.2962873553754064</v>
      </c>
      <c r="F12" s="178">
        <f t="shared" si="4"/>
        <v>0.31543754741922109</v>
      </c>
      <c r="G12" s="178">
        <f t="shared" si="4"/>
        <v>0.32865554484845827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7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7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7" ht="15" thickTop="1"/>
    <row r="16" spans="2:17">
      <c r="B16" s="94" t="s">
        <v>9</v>
      </c>
      <c r="C16" s="105"/>
      <c r="D16" s="105"/>
      <c r="E16" s="105"/>
      <c r="F16" s="371"/>
      <c r="G16" s="118"/>
      <c r="H16" s="105"/>
      <c r="I16" s="105"/>
      <c r="J16" s="105"/>
      <c r="K16" s="105"/>
      <c r="L16" s="105"/>
      <c r="M16" s="105"/>
      <c r="N16" s="105"/>
      <c r="O16" s="113"/>
      <c r="P16" s="113"/>
      <c r="Q16" s="113"/>
    </row>
    <row r="17" spans="2:16">
      <c r="B17" s="109" t="s">
        <v>157</v>
      </c>
      <c r="C17" s="110">
        <v>2989347</v>
      </c>
      <c r="D17" s="110">
        <v>2333900</v>
      </c>
      <c r="E17" s="110">
        <v>2445058</v>
      </c>
      <c r="F17" s="110">
        <v>2369952</v>
      </c>
      <c r="G17" s="110">
        <v>2740469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3717967</v>
      </c>
      <c r="D18" s="113">
        <v>2942898</v>
      </c>
      <c r="E18" s="113">
        <v>3206232</v>
      </c>
      <c r="F18" s="113">
        <v>3068376</v>
      </c>
      <c r="G18" s="113">
        <v>3489897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5329864</v>
      </c>
      <c r="D19" s="113">
        <v>4100227</v>
      </c>
      <c r="E19" s="113">
        <v>4427805</v>
      </c>
      <c r="F19" s="113">
        <v>4331672</v>
      </c>
      <c r="G19" s="113">
        <v>4882596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1.54</v>
      </c>
      <c r="D20" s="167">
        <v>2.17</v>
      </c>
      <c r="E20" s="167">
        <v>3.39</v>
      </c>
      <c r="F20" s="167">
        <v>3.28</v>
      </c>
      <c r="G20" s="167">
        <v>2.2400000000000002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2583967</v>
      </c>
      <c r="D23" s="110">
        <f t="shared" si="5"/>
        <v>2044401</v>
      </c>
      <c r="E23" s="110">
        <f t="shared" si="5"/>
        <v>2256266</v>
      </c>
      <c r="F23" s="110">
        <f t="shared" si="5"/>
        <v>2100495</v>
      </c>
      <c r="G23" s="110">
        <f t="shared" si="5"/>
        <v>2342923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3887004</v>
      </c>
      <c r="D24" s="113">
        <f t="shared" si="6"/>
        <v>2987362</v>
      </c>
      <c r="E24" s="113">
        <f t="shared" si="6"/>
        <v>3237830</v>
      </c>
      <c r="F24" s="113">
        <f t="shared" si="6"/>
        <v>3098577</v>
      </c>
      <c r="G24" s="113">
        <f t="shared" si="6"/>
        <v>3451586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2.2000000000000002</v>
      </c>
      <c r="D25" s="116">
        <v>2.4</v>
      </c>
      <c r="E25" s="167">
        <v>4.3</v>
      </c>
      <c r="F25" s="116">
        <v>4.0999999999999996</v>
      </c>
      <c r="G25" s="116">
        <v>2.4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1134000</v>
      </c>
      <c r="D28" s="110">
        <v>898497</v>
      </c>
      <c r="E28" s="110">
        <v>949966</v>
      </c>
      <c r="F28" s="110">
        <v>967881</v>
      </c>
      <c r="G28" s="110">
        <v>1146974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1442860</v>
      </c>
      <c r="D29" s="113">
        <v>1112865</v>
      </c>
      <c r="E29" s="113">
        <v>1189975</v>
      </c>
      <c r="F29" s="113">
        <v>1233095</v>
      </c>
      <c r="G29" s="113">
        <v>1431010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1.1000000000000001</v>
      </c>
      <c r="D30" s="167">
        <v>1.23</v>
      </c>
      <c r="E30" s="167">
        <v>1.55</v>
      </c>
      <c r="F30" s="116">
        <v>2.09</v>
      </c>
      <c r="G30" s="116">
        <v>1.45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0.80349999999999999</v>
      </c>
      <c r="D33" s="121">
        <v>0.73550000000000004</v>
      </c>
      <c r="E33" s="121">
        <v>0.65739999999999998</v>
      </c>
      <c r="F33" s="121">
        <v>0.69799999999999995</v>
      </c>
      <c r="G33" s="121">
        <v>0.81230000000000002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0.72099999999999997</v>
      </c>
      <c r="D34" s="123">
        <v>0.68</v>
      </c>
      <c r="E34" s="124">
        <v>0.64639999999999997</v>
      </c>
      <c r="F34" s="124">
        <v>0.65</v>
      </c>
      <c r="G34" s="124">
        <v>0.67769999999999997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0.27900000000000003</v>
      </c>
      <c r="D35" s="124">
        <f>1-D34</f>
        <v>0.31999999999999995</v>
      </c>
      <c r="E35" s="124">
        <f>1-E34</f>
        <v>0.35360000000000003</v>
      </c>
      <c r="F35" s="124">
        <f>1-F34</f>
        <v>0.35</v>
      </c>
      <c r="G35" s="124">
        <f>1-G34</f>
        <v>0.32230000000000003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2.1000000000000001E-2</v>
      </c>
      <c r="D36" s="124">
        <v>2.93E-2</v>
      </c>
      <c r="E36" s="124">
        <v>3.0599999999999999E-2</v>
      </c>
      <c r="F36" s="124">
        <v>3.6499999999999998E-2</v>
      </c>
      <c r="G36" s="124">
        <v>0.04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0.85570000000000002</v>
      </c>
      <c r="D37" s="124">
        <f>1-D38</f>
        <v>0.80220000000000002</v>
      </c>
      <c r="E37" s="124">
        <f>1-E38</f>
        <v>0.75619999999999998</v>
      </c>
      <c r="F37" s="124">
        <f>1-F38</f>
        <v>0.77479999999999993</v>
      </c>
      <c r="G37" s="124">
        <f t="shared" ref="G37:N37" si="7">1-G38</f>
        <v>0.8569</v>
      </c>
      <c r="H37" s="124">
        <f t="shared" si="7"/>
        <v>1</v>
      </c>
      <c r="I37" s="124">
        <f t="shared" si="7"/>
        <v>1</v>
      </c>
      <c r="J37" s="124">
        <f t="shared" si="7"/>
        <v>1</v>
      </c>
      <c r="K37" s="124">
        <f t="shared" si="7"/>
        <v>1</v>
      </c>
      <c r="L37" s="124">
        <f t="shared" si="7"/>
        <v>1</v>
      </c>
      <c r="M37" s="124">
        <f t="shared" si="7"/>
        <v>1</v>
      </c>
      <c r="N37" s="125">
        <f t="shared" si="7"/>
        <v>1</v>
      </c>
    </row>
    <row r="38" spans="2:14">
      <c r="B38" s="115" t="s">
        <v>192</v>
      </c>
      <c r="C38" s="126">
        <v>0.14430000000000001</v>
      </c>
      <c r="D38" s="126">
        <v>0.1978</v>
      </c>
      <c r="E38" s="126">
        <v>0.24379999999999999</v>
      </c>
      <c r="F38" s="126">
        <v>0.22520000000000001</v>
      </c>
      <c r="G38" s="126">
        <v>0.1431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220"/>
      <c r="D40" s="220"/>
      <c r="E40" s="220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0.22320000000000001</v>
      </c>
      <c r="D41" s="121">
        <v>0.21160000000000001</v>
      </c>
      <c r="E41" s="121">
        <v>0.20569999999999999</v>
      </c>
      <c r="F41" s="121">
        <v>0.1885</v>
      </c>
      <c r="G41" s="121">
        <v>0.1852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2.6100000000000002E-2</v>
      </c>
      <c r="D42" s="124">
        <v>3.5200000000000002E-2</v>
      </c>
      <c r="E42" s="124">
        <v>4.2000000000000003E-2</v>
      </c>
      <c r="F42" s="124">
        <v>0.06</v>
      </c>
      <c r="G42" s="124">
        <v>0.04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0.18010000000000001</v>
      </c>
      <c r="D43" s="124">
        <v>0.19650000000000001</v>
      </c>
      <c r="E43" s="124">
        <v>0.14000000000000001</v>
      </c>
      <c r="F43" s="124">
        <v>0.15</v>
      </c>
      <c r="G43" s="124">
        <v>0.13500000000000001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0.24929999999999999</v>
      </c>
      <c r="D44" s="124">
        <v>0.2044</v>
      </c>
      <c r="E44" s="124">
        <v>0.19500000000000001</v>
      </c>
      <c r="F44" s="124">
        <v>0.26</v>
      </c>
      <c r="G44" s="124">
        <v>0.35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178</v>
      </c>
      <c r="C45" s="124">
        <v>0</v>
      </c>
      <c r="D45" s="124">
        <v>0</v>
      </c>
      <c r="E45" s="124">
        <v>0.17180000000000001</v>
      </c>
      <c r="F45" s="124">
        <v>0.10680000000000001</v>
      </c>
      <c r="G45" s="124">
        <v>0.1033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197</v>
      </c>
      <c r="C46" s="124">
        <v>8.9800000000000005E-2</v>
      </c>
      <c r="D46" s="124">
        <v>8.0100000000000005E-2</v>
      </c>
      <c r="E46" s="124">
        <v>8.5400000000000004E-2</v>
      </c>
      <c r="F46" s="124">
        <v>8.2400000000000001E-2</v>
      </c>
      <c r="G46" s="124">
        <v>8.4000000000000005E-2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198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105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200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2" t="s">
        <v>201</v>
      </c>
      <c r="C50" s="124">
        <v>0</v>
      </c>
      <c r="D50" s="124">
        <v>0</v>
      </c>
      <c r="E50" s="124">
        <v>0</v>
      </c>
      <c r="F50" s="124">
        <v>0</v>
      </c>
      <c r="G50" s="124">
        <v>0</v>
      </c>
      <c r="H50" s="124"/>
      <c r="I50" s="124"/>
      <c r="J50" s="124"/>
      <c r="K50" s="124"/>
      <c r="L50" s="124"/>
      <c r="M50" s="124"/>
      <c r="N50" s="125"/>
    </row>
    <row r="51" spans="2:14">
      <c r="B51" s="115" t="s">
        <v>107</v>
      </c>
      <c r="C51" s="126">
        <f>1-SUM(C41:C50)</f>
        <v>0.23150000000000004</v>
      </c>
      <c r="D51" s="126">
        <f>1-SUM(D41:D50)</f>
        <v>0.2722</v>
      </c>
      <c r="E51" s="126">
        <f>1-SUM(E41:E50)</f>
        <v>0.16010000000000002</v>
      </c>
      <c r="F51" s="126">
        <f>1-SUM(F41:F50)</f>
        <v>0.15229999999999999</v>
      </c>
      <c r="G51" s="126">
        <f>1-SUM(G41:G50)</f>
        <v>0.10250000000000015</v>
      </c>
      <c r="H51" s="126"/>
      <c r="I51" s="126"/>
      <c r="J51" s="126"/>
      <c r="K51" s="126"/>
      <c r="L51" s="126"/>
      <c r="M51" s="126"/>
      <c r="N51" s="127"/>
    </row>
    <row r="52" spans="2:14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</row>
    <row r="53" spans="2:14">
      <c r="B53" s="129" t="s">
        <v>28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</row>
    <row r="54" spans="2:14">
      <c r="B54" s="109" t="s">
        <v>29</v>
      </c>
      <c r="C54" s="110">
        <v>19104</v>
      </c>
      <c r="D54" s="110">
        <v>11031</v>
      </c>
      <c r="E54" s="110">
        <v>6487</v>
      </c>
      <c r="F54" s="110">
        <v>9012</v>
      </c>
      <c r="G54" s="110">
        <v>14648</v>
      </c>
      <c r="H54" s="110"/>
      <c r="I54" s="110"/>
      <c r="J54" s="110"/>
      <c r="K54" s="110"/>
      <c r="L54" s="110"/>
      <c r="M54" s="110"/>
      <c r="N54" s="111"/>
    </row>
    <row r="55" spans="2:14">
      <c r="B55" s="112" t="s">
        <v>30</v>
      </c>
      <c r="C55" s="113">
        <v>18034</v>
      </c>
      <c r="D55" s="113">
        <v>10344</v>
      </c>
      <c r="E55" s="113">
        <v>5994</v>
      </c>
      <c r="F55" s="113">
        <v>8649</v>
      </c>
      <c r="G55" s="113">
        <v>14100</v>
      </c>
      <c r="H55" s="113"/>
      <c r="I55" s="113"/>
      <c r="J55" s="113"/>
      <c r="K55" s="113"/>
      <c r="L55" s="113"/>
      <c r="M55" s="113"/>
      <c r="N55" s="114"/>
    </row>
    <row r="56" spans="2:14">
      <c r="B56" s="112" t="s">
        <v>31</v>
      </c>
      <c r="C56" s="113">
        <v>615</v>
      </c>
      <c r="D56" s="113">
        <v>458</v>
      </c>
      <c r="E56" s="113">
        <v>458</v>
      </c>
      <c r="F56" s="113">
        <v>615</v>
      </c>
      <c r="G56" s="113">
        <v>706</v>
      </c>
      <c r="H56" s="113"/>
      <c r="I56" s="113"/>
      <c r="J56" s="113"/>
      <c r="K56" s="113"/>
      <c r="L56" s="113"/>
      <c r="M56" s="113"/>
      <c r="N56" s="114"/>
    </row>
    <row r="57" spans="2:14">
      <c r="B57" s="112" t="s">
        <v>11</v>
      </c>
      <c r="C57" s="93">
        <f>(C55/C54)*C56</f>
        <v>580.5543341708543</v>
      </c>
      <c r="D57" s="93">
        <f>(D55/D54)*D56</f>
        <v>429.47620342670655</v>
      </c>
      <c r="E57" s="93">
        <f>(E55/E54)*E56</f>
        <v>423.19284723292742</v>
      </c>
      <c r="F57" s="93">
        <f>(F55/F54)*F56</f>
        <v>590.22802929427428</v>
      </c>
      <c r="G57" s="93">
        <f>(G55/G54)*G56</f>
        <v>679.58765701802292</v>
      </c>
      <c r="H57" s="113"/>
      <c r="I57" s="113"/>
      <c r="J57" s="113"/>
      <c r="K57" s="113"/>
      <c r="L57" s="113"/>
      <c r="M57" s="113"/>
      <c r="N57" s="114"/>
    </row>
    <row r="58" spans="2:14">
      <c r="B58" s="115" t="s">
        <v>32</v>
      </c>
      <c r="C58" s="126">
        <v>0.45900000000000002</v>
      </c>
      <c r="D58" s="131">
        <v>46.3</v>
      </c>
      <c r="E58" s="126">
        <v>0.39100000000000001</v>
      </c>
      <c r="F58" s="126">
        <v>0.38</v>
      </c>
      <c r="G58" s="131">
        <v>40</v>
      </c>
      <c r="H58" s="131"/>
      <c r="I58" s="131"/>
      <c r="J58" s="131"/>
      <c r="K58" s="131"/>
      <c r="L58" s="131"/>
      <c r="M58" s="131"/>
      <c r="N58" s="132"/>
    </row>
    <row r="59" spans="2:14">
      <c r="B59" s="133"/>
      <c r="C59" s="134"/>
      <c r="D59" s="134"/>
      <c r="E59" s="362"/>
      <c r="F59" s="134"/>
      <c r="G59" s="134"/>
      <c r="H59" s="134"/>
      <c r="I59" s="134"/>
      <c r="J59" s="134"/>
      <c r="K59" s="134"/>
      <c r="L59" s="134"/>
      <c r="M59" s="134"/>
      <c r="N59" s="134"/>
    </row>
    <row r="60" spans="2:14">
      <c r="B60" s="129" t="s">
        <v>33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</row>
    <row r="61" spans="2:14">
      <c r="B61" s="109" t="s">
        <v>50</v>
      </c>
      <c r="C61" s="110">
        <v>22612</v>
      </c>
      <c r="D61" s="110">
        <v>14171</v>
      </c>
      <c r="E61" s="110">
        <v>19819</v>
      </c>
      <c r="F61" s="110">
        <v>12246</v>
      </c>
      <c r="G61" s="110">
        <v>28711</v>
      </c>
      <c r="H61" s="110"/>
      <c r="I61" s="110"/>
      <c r="J61" s="110"/>
      <c r="K61" s="110"/>
      <c r="L61" s="110"/>
      <c r="M61" s="110"/>
      <c r="N61" s="111"/>
    </row>
    <row r="62" spans="2:14">
      <c r="B62" s="112" t="s">
        <v>29</v>
      </c>
      <c r="C62" s="113">
        <v>1484496</v>
      </c>
      <c r="D62" s="113">
        <v>1159568</v>
      </c>
      <c r="E62" s="113">
        <v>1588223</v>
      </c>
      <c r="F62" s="113">
        <v>1233086</v>
      </c>
      <c r="G62" s="113">
        <v>1686620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30</v>
      </c>
      <c r="C63" s="91">
        <v>63352</v>
      </c>
      <c r="D63" s="113">
        <v>28708</v>
      </c>
      <c r="E63" s="113">
        <v>90927</v>
      </c>
      <c r="F63" s="113">
        <v>70516</v>
      </c>
      <c r="G63" s="113">
        <v>70552</v>
      </c>
      <c r="H63" s="113"/>
      <c r="I63" s="113"/>
      <c r="J63" s="113"/>
      <c r="K63" s="113"/>
      <c r="L63" s="113"/>
      <c r="M63" s="113"/>
      <c r="N63" s="114"/>
    </row>
    <row r="64" spans="2:14">
      <c r="B64" s="112" t="s">
        <v>31</v>
      </c>
      <c r="C64" s="113">
        <v>187384.88</v>
      </c>
      <c r="D64" s="113">
        <f>9239153/60</f>
        <v>153985.88333333333</v>
      </c>
      <c r="E64" s="113">
        <f>11510222/60</f>
        <v>191837.03333333333</v>
      </c>
      <c r="F64" s="113">
        <f>8489393/60</f>
        <v>141489.88333333333</v>
      </c>
      <c r="G64" s="113">
        <f>11636725/60</f>
        <v>193945.41666666666</v>
      </c>
      <c r="H64" s="113"/>
      <c r="I64" s="113"/>
      <c r="J64" s="113"/>
      <c r="K64" s="113"/>
      <c r="L64" s="113"/>
      <c r="M64" s="113"/>
      <c r="N64" s="114"/>
    </row>
    <row r="65" spans="2:14">
      <c r="B65" s="115" t="s">
        <v>12</v>
      </c>
      <c r="C65" s="92">
        <f>(C63/C62)*C64</f>
        <v>7996.7927955077012</v>
      </c>
      <c r="D65" s="92">
        <f>(D63/D62)*D64</f>
        <v>3812.3048745164865</v>
      </c>
      <c r="E65" s="92">
        <f>(E63/E62)*E64</f>
        <v>10982.819119166514</v>
      </c>
      <c r="F65" s="92">
        <f>(F63/F62)*F64</f>
        <v>8091.3258386952193</v>
      </c>
      <c r="G65" s="92">
        <f>(G63/G62)*G64</f>
        <v>8112.8155937120791</v>
      </c>
      <c r="H65" s="131"/>
      <c r="I65" s="131"/>
      <c r="J65" s="131"/>
      <c r="K65" s="131"/>
      <c r="L65" s="131"/>
      <c r="M65" s="131"/>
      <c r="N65" s="132"/>
    </row>
    <row r="66" spans="2:14"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</row>
    <row r="67" spans="2:14">
      <c r="B67" s="137" t="s">
        <v>34</v>
      </c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</row>
    <row r="68" spans="2:14">
      <c r="B68" s="109" t="s">
        <v>35</v>
      </c>
      <c r="C68" s="110">
        <v>85227</v>
      </c>
      <c r="D68" s="110">
        <v>90037</v>
      </c>
      <c r="E68" s="110">
        <v>107165</v>
      </c>
      <c r="F68" s="110">
        <v>125976</v>
      </c>
      <c r="G68" s="110">
        <v>151503</v>
      </c>
      <c r="H68" s="110"/>
      <c r="I68" s="110"/>
      <c r="J68" s="110"/>
      <c r="K68" s="110"/>
      <c r="L68" s="110"/>
      <c r="M68" s="110"/>
      <c r="N68" s="111"/>
    </row>
    <row r="69" spans="2:14">
      <c r="B69" s="115" t="s">
        <v>36</v>
      </c>
      <c r="C69" s="131">
        <v>25000</v>
      </c>
      <c r="D69" s="131">
        <v>27050</v>
      </c>
      <c r="E69" s="131">
        <v>29100</v>
      </c>
      <c r="F69" s="131">
        <v>31100</v>
      </c>
      <c r="G69" s="131">
        <v>33301</v>
      </c>
      <c r="H69" s="131"/>
      <c r="I69" s="131"/>
      <c r="J69" s="131"/>
      <c r="K69" s="131"/>
      <c r="L69" s="131"/>
      <c r="M69" s="131"/>
      <c r="N69" s="132"/>
    </row>
    <row r="70" spans="2:14"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</row>
    <row r="71" spans="2:14">
      <c r="B71" s="137" t="s">
        <v>37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</row>
    <row r="72" spans="2:14">
      <c r="B72" s="109" t="s">
        <v>38</v>
      </c>
      <c r="C72" s="152">
        <v>0</v>
      </c>
      <c r="D72" s="152">
        <v>0</v>
      </c>
      <c r="E72" s="152">
        <v>0</v>
      </c>
      <c r="F72" s="152">
        <v>0</v>
      </c>
      <c r="G72" s="152">
        <v>0</v>
      </c>
      <c r="H72" s="152">
        <v>0</v>
      </c>
      <c r="I72" s="152">
        <v>0</v>
      </c>
      <c r="J72" s="152">
        <v>0</v>
      </c>
      <c r="K72" s="152">
        <v>0</v>
      </c>
      <c r="L72" s="152">
        <v>0</v>
      </c>
      <c r="M72" s="152">
        <v>0</v>
      </c>
      <c r="N72" s="153">
        <v>0</v>
      </c>
    </row>
    <row r="73" spans="2:14">
      <c r="B73" s="112" t="s">
        <v>39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2" t="s">
        <v>40</v>
      </c>
      <c r="C74" s="154">
        <v>0</v>
      </c>
      <c r="D74" s="154">
        <v>0</v>
      </c>
      <c r="E74" s="154">
        <v>0</v>
      </c>
      <c r="F74" s="154">
        <v>0</v>
      </c>
      <c r="G74" s="154">
        <v>0</v>
      </c>
      <c r="H74" s="154">
        <v>0</v>
      </c>
      <c r="I74" s="154">
        <v>0</v>
      </c>
      <c r="J74" s="154">
        <v>0</v>
      </c>
      <c r="K74" s="154">
        <v>0</v>
      </c>
      <c r="L74" s="154">
        <v>0</v>
      </c>
      <c r="M74" s="154">
        <v>0</v>
      </c>
      <c r="N74" s="155">
        <v>0</v>
      </c>
    </row>
    <row r="75" spans="2:14">
      <c r="B75" s="115" t="s">
        <v>41</v>
      </c>
      <c r="C75" s="156">
        <v>0</v>
      </c>
      <c r="D75" s="156">
        <v>0</v>
      </c>
      <c r="E75" s="156">
        <v>0</v>
      </c>
      <c r="F75" s="156">
        <v>0</v>
      </c>
      <c r="G75" s="156">
        <v>0</v>
      </c>
      <c r="H75" s="156">
        <v>0</v>
      </c>
      <c r="I75" s="156">
        <v>0</v>
      </c>
      <c r="J75" s="156">
        <v>0</v>
      </c>
      <c r="K75" s="156">
        <v>0</v>
      </c>
      <c r="L75" s="156">
        <v>0</v>
      </c>
      <c r="M75" s="156">
        <v>0</v>
      </c>
      <c r="N75" s="157">
        <v>0</v>
      </c>
    </row>
    <row r="76" spans="2:14"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2:14">
      <c r="B77" s="137" t="s">
        <v>42</v>
      </c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</row>
    <row r="78" spans="2:14">
      <c r="B78" s="109" t="s">
        <v>43</v>
      </c>
      <c r="C78" s="152">
        <v>0</v>
      </c>
      <c r="D78" s="152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0</v>
      </c>
      <c r="J78" s="152">
        <v>0</v>
      </c>
      <c r="K78" s="152">
        <v>0</v>
      </c>
      <c r="L78" s="152">
        <v>0</v>
      </c>
      <c r="M78" s="152">
        <v>0</v>
      </c>
      <c r="N78" s="153">
        <v>0</v>
      </c>
    </row>
    <row r="79" spans="2:14">
      <c r="B79" s="112" t="s">
        <v>44</v>
      </c>
      <c r="C79" s="154">
        <v>0</v>
      </c>
      <c r="D79" s="154">
        <v>0</v>
      </c>
      <c r="E79" s="154">
        <v>0</v>
      </c>
      <c r="F79" s="154">
        <v>0</v>
      </c>
      <c r="G79" s="154">
        <v>0</v>
      </c>
      <c r="H79" s="154">
        <v>0</v>
      </c>
      <c r="I79" s="154">
        <v>0</v>
      </c>
      <c r="J79" s="154">
        <v>0</v>
      </c>
      <c r="K79" s="154">
        <v>0</v>
      </c>
      <c r="L79" s="154">
        <v>0</v>
      </c>
      <c r="M79" s="154">
        <v>0</v>
      </c>
      <c r="N79" s="155">
        <v>0</v>
      </c>
    </row>
    <row r="80" spans="2:14">
      <c r="B80" s="115" t="s">
        <v>162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7">
        <v>0</v>
      </c>
    </row>
  </sheetData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5" activePane="bottomRight" state="frozenSplit"/>
      <selection activeCell="G74" sqref="G74"/>
      <selection pane="topRight" activeCell="G74" sqref="G74"/>
      <selection pane="bottomLeft" activeCell="G74" sqref="G74"/>
      <selection pane="bottomRight" activeCell="G42" sqref="G42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184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 t="str">
        <f>IF(ISERROR(C18/C17),"NM",C18/C17)</f>
        <v>NM</v>
      </c>
      <c r="D7" s="177" t="str">
        <f t="shared" ref="D7:N8" si="0">IF(ISERROR(D18/D17),"NM",D18/D17)</f>
        <v>NM</v>
      </c>
      <c r="E7" s="177" t="str">
        <f t="shared" si="0"/>
        <v>NM</v>
      </c>
      <c r="F7" s="177">
        <f t="shared" si="0"/>
        <v>1.3618129662538225</v>
      </c>
      <c r="G7" s="177">
        <f t="shared" si="0"/>
        <v>1.4183995180634468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 t="str">
        <f>IF(ISERROR(C19/C18),"NM",C19/C18)</f>
        <v>NM</v>
      </c>
      <c r="D8" s="177" t="str">
        <f t="shared" si="0"/>
        <v>NM</v>
      </c>
      <c r="E8" s="177" t="str">
        <f t="shared" si="0"/>
        <v>NM</v>
      </c>
      <c r="F8" s="177">
        <f t="shared" si="0"/>
        <v>1.4639616515363785</v>
      </c>
      <c r="G8" s="177">
        <f t="shared" si="0"/>
        <v>1.6073357745671157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 t="str">
        <f>IF(ISERROR((C54+C62)/C18),"NM",(C54+C62)/C18)</f>
        <v>NM</v>
      </c>
      <c r="D9" s="177" t="str">
        <f t="shared" ref="D9:N9" si="1">IF(ISERROR((D54+D62)/D18),"NM",(D54+D62)/D18)</f>
        <v>NM</v>
      </c>
      <c r="E9" s="177" t="str">
        <f t="shared" si="1"/>
        <v>NM</v>
      </c>
      <c r="F9" s="177">
        <f t="shared" si="1"/>
        <v>9.959052725825486E-2</v>
      </c>
      <c r="G9" s="177">
        <f t="shared" si="1"/>
        <v>0.22816337222275521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 t="str">
        <f>IF(ISERROR(((C56+C64)/C18)*60),"NM",((C56+C64)/C18)*60)</f>
        <v>NM</v>
      </c>
      <c r="D10" s="177" t="str">
        <f t="shared" ref="D10:N10" si="2">IF(ISERROR(((D56+D64)/D18)*60),"NM",((D56+D64)/D18)*60)</f>
        <v>NM</v>
      </c>
      <c r="E10" s="177" t="str">
        <f t="shared" si="2"/>
        <v>NM</v>
      </c>
      <c r="F10" s="177">
        <f t="shared" si="2"/>
        <v>0.40581427682066873</v>
      </c>
      <c r="G10" s="177">
        <f t="shared" si="2"/>
        <v>1.2053190872051673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 t="str">
        <f>IF(ISERROR(((C56+C64)/(C54+C62))*60),"NM",((C56+C64)/(C54+C62))*60)</f>
        <v>NM</v>
      </c>
      <c r="D11" s="177" t="str">
        <f t="shared" ref="D11:N11" si="3">IF(ISERROR(((D56+D64)/(D54+D62))*60),"NM",((D56+D64)/(D54+D62))*60)</f>
        <v>NM</v>
      </c>
      <c r="E11" s="177" t="str">
        <f t="shared" si="3"/>
        <v>NM</v>
      </c>
      <c r="F11" s="177">
        <f t="shared" si="3"/>
        <v>4.0748280784609614</v>
      </c>
      <c r="G11" s="177">
        <f t="shared" si="3"/>
        <v>5.2827019317913031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 t="str">
        <f>IF(ISERROR(C28/C18),"NM",C28/C18)</f>
        <v>NM</v>
      </c>
      <c r="D12" s="178" t="str">
        <f t="shared" ref="D12:N12" si="4">IF(ISERROR(D28/D18),"NM",D28/D18)</f>
        <v>NM</v>
      </c>
      <c r="E12" s="178" t="str">
        <f t="shared" si="4"/>
        <v>NM</v>
      </c>
      <c r="F12" s="178">
        <f t="shared" si="4"/>
        <v>0.41828153928189366</v>
      </c>
      <c r="G12" s="178">
        <f t="shared" si="4"/>
        <v>0.37702186007353883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6" spans="2:14">
      <c r="B16" s="94" t="s">
        <v>9</v>
      </c>
    </row>
    <row r="17" spans="2:16">
      <c r="B17" s="109" t="s">
        <v>157</v>
      </c>
      <c r="C17" s="110">
        <v>0</v>
      </c>
      <c r="D17" s="110">
        <v>0</v>
      </c>
      <c r="E17" s="110">
        <v>0</v>
      </c>
      <c r="F17" s="110">
        <v>665142</v>
      </c>
      <c r="G17" s="110">
        <v>654028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0</v>
      </c>
      <c r="D18" s="113">
        <v>0</v>
      </c>
      <c r="E18" s="113">
        <v>0</v>
      </c>
      <c r="F18" s="113">
        <v>905799</v>
      </c>
      <c r="G18" s="113">
        <v>927673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0</v>
      </c>
      <c r="D19" s="113">
        <v>0</v>
      </c>
      <c r="E19" s="113">
        <v>0</v>
      </c>
      <c r="F19" s="113">
        <v>1326055</v>
      </c>
      <c r="G19" s="113">
        <v>1491082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0</v>
      </c>
      <c r="D20" s="167">
        <v>0</v>
      </c>
      <c r="E20" s="167">
        <v>0</v>
      </c>
      <c r="F20" s="167">
        <v>2.54</v>
      </c>
      <c r="G20" s="131">
        <v>3.33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6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v>0</v>
      </c>
      <c r="D23" s="110">
        <v>0</v>
      </c>
      <c r="E23" s="110">
        <v>0</v>
      </c>
      <c r="F23" s="110">
        <f t="shared" ref="F23:N24" si="5">F18-F28</f>
        <v>526920</v>
      </c>
      <c r="G23" s="110">
        <f t="shared" si="5"/>
        <v>577920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v>0</v>
      </c>
      <c r="D24" s="113">
        <v>0</v>
      </c>
      <c r="E24" s="113">
        <v>0</v>
      </c>
      <c r="F24" s="113">
        <f t="shared" si="5"/>
        <v>860090</v>
      </c>
      <c r="G24" s="113">
        <f t="shared" si="5"/>
        <v>1043378</v>
      </c>
      <c r="H24" s="113">
        <f t="shared" si="5"/>
        <v>0</v>
      </c>
      <c r="I24" s="113">
        <f t="shared" si="5"/>
        <v>0</v>
      </c>
      <c r="J24" s="113">
        <f t="shared" si="5"/>
        <v>0</v>
      </c>
      <c r="K24" s="113">
        <f t="shared" si="5"/>
        <v>0</v>
      </c>
      <c r="L24" s="113">
        <f t="shared" si="5"/>
        <v>0</v>
      </c>
      <c r="M24" s="113">
        <f t="shared" si="5"/>
        <v>0</v>
      </c>
      <c r="N24" s="114">
        <f t="shared" si="5"/>
        <v>0</v>
      </c>
    </row>
    <row r="25" spans="2:16">
      <c r="B25" s="115" t="s">
        <v>163</v>
      </c>
      <c r="C25" s="168">
        <v>0</v>
      </c>
      <c r="D25" s="167">
        <v>0</v>
      </c>
      <c r="E25" s="167">
        <v>0</v>
      </c>
      <c r="F25" s="116">
        <v>3.1</v>
      </c>
      <c r="G25" s="116">
        <v>4.3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0</v>
      </c>
      <c r="D28" s="110">
        <v>0</v>
      </c>
      <c r="E28" s="110">
        <v>0</v>
      </c>
      <c r="F28" s="110">
        <v>378879</v>
      </c>
      <c r="G28" s="110">
        <v>349753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0</v>
      </c>
      <c r="D29" s="113">
        <v>0</v>
      </c>
      <c r="E29" s="113">
        <v>0</v>
      </c>
      <c r="F29" s="113">
        <v>465965</v>
      </c>
      <c r="G29" s="113">
        <v>447704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0</v>
      </c>
      <c r="D30" s="167">
        <v>0</v>
      </c>
      <c r="E30" s="167">
        <v>0</v>
      </c>
      <c r="F30" s="116">
        <v>1.4</v>
      </c>
      <c r="G30" s="116">
        <v>1.51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</v>
      </c>
      <c r="D33" s="121">
        <v>0</v>
      </c>
      <c r="E33" s="121">
        <v>0</v>
      </c>
      <c r="F33" s="121">
        <v>9.5399999999999999E-2</v>
      </c>
      <c r="G33" s="121">
        <v>0.12429999999999999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</v>
      </c>
      <c r="D34" s="123">
        <v>0</v>
      </c>
      <c r="E34" s="123">
        <v>0</v>
      </c>
      <c r="F34" s="124">
        <v>0.64880000000000004</v>
      </c>
      <c r="G34" s="124">
        <v>0.58609999999999995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v>0</v>
      </c>
      <c r="D35" s="124">
        <v>0</v>
      </c>
      <c r="E35" s="124">
        <v>0</v>
      </c>
      <c r="F35" s="124">
        <f>1-F34</f>
        <v>0.35119999999999996</v>
      </c>
      <c r="G35" s="124">
        <f>1-G34</f>
        <v>0.41390000000000005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0</v>
      </c>
      <c r="D36" s="124">
        <v>0</v>
      </c>
      <c r="E36" s="124">
        <v>0</v>
      </c>
      <c r="F36" s="124">
        <v>1.7100000000000001E-2</v>
      </c>
      <c r="G36" s="124">
        <v>3.5700000000000003E-2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v>0</v>
      </c>
      <c r="D37" s="124">
        <v>0</v>
      </c>
      <c r="E37" s="124">
        <v>0</v>
      </c>
      <c r="F37" s="124">
        <f>1-F38</f>
        <v>0.7389</v>
      </c>
      <c r="G37" s="124">
        <f>1-G38</f>
        <v>0.73530000000000006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</v>
      </c>
      <c r="D38" s="126">
        <v>0</v>
      </c>
      <c r="E38" s="126">
        <v>0</v>
      </c>
      <c r="F38" s="126">
        <v>0.2611</v>
      </c>
      <c r="G38" s="126">
        <v>0.26469999999999999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</v>
      </c>
      <c r="D41" s="121">
        <v>0</v>
      </c>
      <c r="E41" s="121">
        <v>0</v>
      </c>
      <c r="F41" s="121">
        <v>0.27860000000000001</v>
      </c>
      <c r="G41" s="121">
        <v>0.1454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0</v>
      </c>
      <c r="D42" s="124">
        <v>0</v>
      </c>
      <c r="E42" s="124">
        <v>0</v>
      </c>
      <c r="F42" s="124">
        <v>0</v>
      </c>
      <c r="G42" s="124">
        <v>0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</v>
      </c>
      <c r="D43" s="124">
        <v>0</v>
      </c>
      <c r="E43" s="124">
        <v>0</v>
      </c>
      <c r="F43" s="124">
        <v>0.03</v>
      </c>
      <c r="G43" s="124">
        <v>0.04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</v>
      </c>
      <c r="D44" s="124">
        <v>0</v>
      </c>
      <c r="E44" s="124">
        <v>0</v>
      </c>
      <c r="F44" s="124">
        <v>0.5</v>
      </c>
      <c r="G44" s="124">
        <v>0.47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0</v>
      </c>
      <c r="D45" s="124">
        <v>0</v>
      </c>
      <c r="E45" s="124">
        <v>0</v>
      </c>
      <c r="F45" s="124">
        <v>7.2499999999999995E-2</v>
      </c>
      <c r="G45" s="124">
        <v>0.25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v>0</v>
      </c>
      <c r="D50" s="126">
        <v>0</v>
      </c>
      <c r="E50" s="126">
        <v>0</v>
      </c>
      <c r="F50" s="126">
        <f>1-SUM(F41:F49)</f>
        <v>0.11890000000000001</v>
      </c>
      <c r="G50" s="126">
        <f>1-SUM(G41:G49)</f>
        <v>9.4600000000000017E-2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113"/>
      <c r="F58" s="113"/>
      <c r="G58" s="124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58">
        <v>0</v>
      </c>
      <c r="D60" s="158">
        <v>0</v>
      </c>
      <c r="E60" s="158">
        <v>0</v>
      </c>
      <c r="F60" s="110">
        <v>11481</v>
      </c>
      <c r="G60" s="110">
        <v>65892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61">
        <v>0</v>
      </c>
      <c r="D61" s="161">
        <v>0</v>
      </c>
      <c r="E61" s="161">
        <v>0</v>
      </c>
      <c r="F61" s="113">
        <v>429411</v>
      </c>
      <c r="G61" s="113">
        <v>2135065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61">
        <v>0</v>
      </c>
      <c r="D62" s="161">
        <v>0</v>
      </c>
      <c r="E62" s="161">
        <v>0</v>
      </c>
      <c r="F62" s="113">
        <v>90209</v>
      </c>
      <c r="G62" s="113">
        <v>211661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61">
        <v>0</v>
      </c>
      <c r="D63" s="161">
        <v>0</v>
      </c>
      <c r="E63" s="161">
        <v>0</v>
      </c>
      <c r="F63" s="113">
        <f>1749776/60</f>
        <v>29162.933333333334</v>
      </c>
      <c r="G63" s="113">
        <f>11278912/60</f>
        <v>187981.86666666667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11</v>
      </c>
      <c r="C64" s="159">
        <v>0</v>
      </c>
      <c r="D64" s="159">
        <v>0</v>
      </c>
      <c r="E64" s="159">
        <v>0</v>
      </c>
      <c r="F64" s="92">
        <f>(F63/F61)*F62</f>
        <v>6126.4361021647483</v>
      </c>
      <c r="G64" s="92">
        <f>(G63/G61)*G62</f>
        <v>18635.699559747984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0</v>
      </c>
      <c r="D67" s="110">
        <v>0</v>
      </c>
      <c r="E67" s="110">
        <v>0</v>
      </c>
      <c r="F67" s="110">
        <v>10935</v>
      </c>
      <c r="G67" s="110">
        <v>18555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0</v>
      </c>
      <c r="D68" s="131">
        <v>0</v>
      </c>
      <c r="E68" s="131">
        <v>0</v>
      </c>
      <c r="F68" s="131">
        <v>10022</v>
      </c>
      <c r="G68" s="131">
        <v>13381</v>
      </c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</row>
    <row r="76" spans="2:14">
      <c r="B76" s="137" t="s">
        <v>42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</row>
    <row r="77" spans="2:14">
      <c r="B77" s="109" t="s">
        <v>43</v>
      </c>
      <c r="C77" s="158">
        <v>0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60">
        <v>0</v>
      </c>
    </row>
    <row r="78" spans="2:14">
      <c r="B78" s="112" t="s">
        <v>44</v>
      </c>
      <c r="C78" s="161">
        <v>0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2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Charts</vt:lpstr>
      <vt:lpstr>Global Summary</vt:lpstr>
      <vt:lpstr>USA Summary_Sales</vt:lpstr>
      <vt:lpstr>GLOBAL&gt;&gt;</vt:lpstr>
      <vt:lpstr>VICE_Global</vt:lpstr>
      <vt:lpstr>Noisey_Global</vt:lpstr>
      <vt:lpstr>News_Global</vt:lpstr>
      <vt:lpstr>Motherboard_Global</vt:lpstr>
      <vt:lpstr>Munchies_Global</vt:lpstr>
      <vt:lpstr>Thump_Global</vt:lpstr>
      <vt:lpstr>Fightland_Global</vt:lpstr>
      <vt:lpstr>TCP_Global</vt:lpstr>
      <vt:lpstr>iD_Global</vt:lpstr>
      <vt:lpstr>USA&gt;&gt;</vt:lpstr>
      <vt:lpstr>VICE_USA</vt:lpstr>
      <vt:lpstr>Noisey_USA</vt:lpstr>
      <vt:lpstr>News_USA</vt:lpstr>
      <vt:lpstr>Motherboard_USA</vt:lpstr>
      <vt:lpstr>Munchies_USA</vt:lpstr>
      <vt:lpstr>Thump_USA</vt:lpstr>
      <vt:lpstr>Fightland_USA</vt:lpstr>
      <vt:lpstr>TCP_USA</vt:lpstr>
      <vt:lpstr>iD_USA</vt:lpstr>
    </vt:vector>
  </TitlesOfParts>
  <Company>Vice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Schwab</dc:creator>
  <cp:lastModifiedBy>Bobby Cummings</cp:lastModifiedBy>
  <dcterms:created xsi:type="dcterms:W3CDTF">2014-01-21T19:50:35Z</dcterms:created>
  <dcterms:modified xsi:type="dcterms:W3CDTF">2014-07-08T13:48:01Z</dcterms:modified>
</cp:coreProperties>
</file>