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4.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5.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Project\Excel Project\"/>
    </mc:Choice>
  </mc:AlternateContent>
  <bookViews>
    <workbookView xWindow="-120" yWindow="-120" windowWidth="20730" windowHeight="11160"/>
  </bookViews>
  <sheets>
    <sheet name="Data" sheetId="2" r:id="rId1"/>
    <sheet name="Data Description" sheetId="3" r:id="rId2"/>
    <sheet name="1" sheetId="5" r:id="rId3"/>
    <sheet name="2" sheetId="6" r:id="rId4"/>
    <sheet name="3" sheetId="8" r:id="rId5"/>
    <sheet name="4" sheetId="9" r:id="rId6"/>
    <sheet name="Pivot" sheetId="13" r:id="rId7"/>
    <sheet name="Dashboard" sheetId="11" r:id="rId8"/>
    <sheet name="Analysis" sheetId="12" r:id="rId9"/>
  </sheets>
  <definedNames>
    <definedName name="Slicer_Age_Band">#N/A</definedName>
    <definedName name="Slicer_Satisfaction_Band">#N/A</definedName>
  </definedNames>
  <calcPr calcId="162913"/>
  <pivotCaches>
    <pivotCache cacheId="0" r:id="rId10"/>
    <pivotCache cacheId="1" r:id="rId11"/>
  </pivotCaches>
  <extLst>
    <ext xmlns:x14="http://schemas.microsoft.com/office/spreadsheetml/2009/9/main" uri="{BBE1A952-AA13-448e-AADC-164F8A28A991}">
      <x14:slicerCaches>
        <x14:slicerCache r:id="rId12"/>
        <x14:slicerCache r:id="rId13"/>
      </x14:slicerCaches>
    </ext>
    <ext xmlns:x14="http://schemas.microsoft.com/office/spreadsheetml/2009/9/main" uri="{79F54976-1DA5-4618-B147-4CDE4B953A38}">
      <x14:workbookPr/>
    </ext>
  </extLst>
</workbook>
</file>

<file path=xl/calcChain.xml><?xml version="1.0" encoding="utf-8"?>
<calcChain xmlns="http://schemas.openxmlformats.org/spreadsheetml/2006/main">
  <c r="R23" i="13" l="1"/>
  <c r="P21" i="13"/>
  <c r="Q8" i="13"/>
  <c r="N6" i="13"/>
  <c r="R3" i="2" l="1"/>
  <c r="R4" i="2"/>
  <c r="R5" i="2"/>
  <c r="R6" i="2"/>
  <c r="R7" i="2"/>
  <c r="R8" i="2"/>
  <c r="R9" i="2"/>
  <c r="R10" i="2"/>
  <c r="R11" i="2"/>
  <c r="R12" i="2"/>
  <c r="R13" i="2"/>
  <c r="R14" i="2"/>
  <c r="R15" i="2"/>
  <c r="R16" i="2"/>
  <c r="R17" i="2"/>
  <c r="R18" i="2"/>
  <c r="R19" i="2"/>
  <c r="R20" i="2"/>
  <c r="R21" i="2"/>
  <c r="R22" i="2"/>
  <c r="R23" i="2"/>
  <c r="R24" i="2"/>
  <c r="R25" i="2"/>
  <c r="R26" i="2"/>
  <c r="R27" i="2"/>
  <c r="R28" i="2"/>
  <c r="R29" i="2"/>
  <c r="R30" i="2"/>
  <c r="R31" i="2"/>
  <c r="R32" i="2"/>
  <c r="R33" i="2"/>
  <c r="R34" i="2"/>
  <c r="R35" i="2"/>
  <c r="R36" i="2"/>
  <c r="R37" i="2"/>
  <c r="R38" i="2"/>
  <c r="R39" i="2"/>
  <c r="R40" i="2"/>
  <c r="R41" i="2"/>
  <c r="R42" i="2"/>
  <c r="R43" i="2"/>
  <c r="R44" i="2"/>
  <c r="R45" i="2"/>
  <c r="R46" i="2"/>
  <c r="R47" i="2"/>
  <c r="R48" i="2"/>
  <c r="R49" i="2"/>
  <c r="R50" i="2"/>
  <c r="R51" i="2"/>
  <c r="R52" i="2"/>
  <c r="R53" i="2"/>
  <c r="R54" i="2"/>
  <c r="R55" i="2"/>
  <c r="R56" i="2"/>
  <c r="R57" i="2"/>
  <c r="R58" i="2"/>
  <c r="R59" i="2"/>
  <c r="R60" i="2"/>
  <c r="R61" i="2"/>
  <c r="R62" i="2"/>
  <c r="R63" i="2"/>
  <c r="R64" i="2"/>
  <c r="R65" i="2"/>
  <c r="R66" i="2"/>
  <c r="R67" i="2"/>
  <c r="R68" i="2"/>
  <c r="R69" i="2"/>
  <c r="R70" i="2"/>
  <c r="R71" i="2"/>
  <c r="R72" i="2"/>
  <c r="R73" i="2"/>
  <c r="R74" i="2"/>
  <c r="R75" i="2"/>
  <c r="R76" i="2"/>
  <c r="R77" i="2"/>
  <c r="R78" i="2"/>
  <c r="R79" i="2"/>
  <c r="R80" i="2"/>
  <c r="R81" i="2"/>
  <c r="R82" i="2"/>
  <c r="R83" i="2"/>
  <c r="R84" i="2"/>
  <c r="R85" i="2"/>
  <c r="R86" i="2"/>
  <c r="R87" i="2"/>
  <c r="R88" i="2"/>
  <c r="R89" i="2"/>
  <c r="R90" i="2"/>
  <c r="R91" i="2"/>
  <c r="R92" i="2"/>
  <c r="R93" i="2"/>
  <c r="R94" i="2"/>
  <c r="R95" i="2"/>
  <c r="R96" i="2"/>
  <c r="R97" i="2"/>
  <c r="R98" i="2"/>
  <c r="R99" i="2"/>
  <c r="R100" i="2"/>
  <c r="R101" i="2"/>
  <c r="R102" i="2"/>
  <c r="R103" i="2"/>
  <c r="R104" i="2"/>
  <c r="R105" i="2"/>
  <c r="R106" i="2"/>
  <c r="R107" i="2"/>
  <c r="R108" i="2"/>
  <c r="R109" i="2"/>
  <c r="R110" i="2"/>
  <c r="R111" i="2"/>
  <c r="R112" i="2"/>
  <c r="R113" i="2"/>
  <c r="R114" i="2"/>
  <c r="R115" i="2"/>
  <c r="R116" i="2"/>
  <c r="R117" i="2"/>
  <c r="R118" i="2"/>
  <c r="R119" i="2"/>
  <c r="R120" i="2"/>
  <c r="R121" i="2"/>
  <c r="R122" i="2"/>
  <c r="R123" i="2"/>
  <c r="R124" i="2"/>
  <c r="R125" i="2"/>
  <c r="R126" i="2"/>
  <c r="R127" i="2"/>
  <c r="R128" i="2"/>
  <c r="R129" i="2"/>
  <c r="R130" i="2"/>
  <c r="R131" i="2"/>
  <c r="R132" i="2"/>
  <c r="R133" i="2"/>
  <c r="R134" i="2"/>
  <c r="R135" i="2"/>
  <c r="R136" i="2"/>
  <c r="R137" i="2"/>
  <c r="R138" i="2"/>
  <c r="R139" i="2"/>
  <c r="R140" i="2"/>
  <c r="R141" i="2"/>
  <c r="R142" i="2"/>
  <c r="R143" i="2"/>
  <c r="R144" i="2"/>
  <c r="R145" i="2"/>
  <c r="R146" i="2"/>
  <c r="R147" i="2"/>
  <c r="R148" i="2"/>
  <c r="R149" i="2"/>
  <c r="R150" i="2"/>
  <c r="R151" i="2"/>
  <c r="R152" i="2"/>
  <c r="R153" i="2"/>
  <c r="R154" i="2"/>
  <c r="R155" i="2"/>
  <c r="R156" i="2"/>
  <c r="R157" i="2"/>
  <c r="R158" i="2"/>
  <c r="R159" i="2"/>
  <c r="R160" i="2"/>
  <c r="R161" i="2"/>
  <c r="R162" i="2"/>
  <c r="R163" i="2"/>
  <c r="R164" i="2"/>
  <c r="R165" i="2"/>
  <c r="R166" i="2"/>
  <c r="R167" i="2"/>
  <c r="R168" i="2"/>
  <c r="R169" i="2"/>
  <c r="R170" i="2"/>
  <c r="R171" i="2"/>
  <c r="R172" i="2"/>
  <c r="R173" i="2"/>
  <c r="R174" i="2"/>
  <c r="R175" i="2"/>
  <c r="R176" i="2"/>
  <c r="R177" i="2"/>
  <c r="R178" i="2"/>
  <c r="R179" i="2"/>
  <c r="R180" i="2"/>
  <c r="R181" i="2"/>
  <c r="R182" i="2"/>
  <c r="R183" i="2"/>
  <c r="R184" i="2"/>
  <c r="R185" i="2"/>
  <c r="R186" i="2"/>
  <c r="R187" i="2"/>
  <c r="R188" i="2"/>
  <c r="R189" i="2"/>
  <c r="R190" i="2"/>
  <c r="R191" i="2"/>
  <c r="R192" i="2"/>
  <c r="R193" i="2"/>
  <c r="R194" i="2"/>
  <c r="R195" i="2"/>
  <c r="R196" i="2"/>
  <c r="R197" i="2"/>
  <c r="R198" i="2"/>
  <c r="R199" i="2"/>
  <c r="R200" i="2"/>
  <c r="R201" i="2"/>
  <c r="R2" i="2"/>
  <c r="I63" i="8" l="1"/>
  <c r="K55" i="6" l="1"/>
  <c r="K56" i="6"/>
  <c r="K57" i="6"/>
  <c r="K58" i="6"/>
  <c r="K54" i="6"/>
  <c r="F97" i="9" l="1"/>
  <c r="F95" i="9"/>
  <c r="F98" i="9" s="1"/>
  <c r="G95" i="9"/>
  <c r="G98" i="9" s="1"/>
  <c r="H95" i="9"/>
  <c r="H98" i="9" s="1"/>
  <c r="E95" i="9"/>
  <c r="E97" i="9" s="1"/>
  <c r="E84" i="9"/>
  <c r="F84" i="9" s="1"/>
  <c r="H93" i="9" s="1"/>
  <c r="H96" i="9" s="1"/>
  <c r="E83" i="9"/>
  <c r="F83" i="9" s="1"/>
  <c r="G93" i="9" s="1"/>
  <c r="G96" i="9" s="1"/>
  <c r="E82" i="9"/>
  <c r="F82" i="9" s="1"/>
  <c r="F93" i="9" s="1"/>
  <c r="F96" i="9" s="1"/>
  <c r="E81" i="9"/>
  <c r="F81" i="9" s="1"/>
  <c r="G55" i="8"/>
  <c r="G58" i="9"/>
  <c r="G64" i="9" s="1"/>
  <c r="G65" i="9" s="1"/>
  <c r="G57" i="9"/>
  <c r="F64" i="9" s="1"/>
  <c r="F65" i="9" s="1"/>
  <c r="G56" i="9"/>
  <c r="E64" i="9" s="1"/>
  <c r="E65" i="9" s="1"/>
  <c r="F58" i="9" a="1"/>
  <c r="F58" i="9" s="1"/>
  <c r="G63" i="9" s="1"/>
  <c r="F57" i="9" a="1"/>
  <c r="F57" i="9" s="1"/>
  <c r="F63" i="9" s="1"/>
  <c r="F56" i="9" a="1"/>
  <c r="F56" i="9" s="1"/>
  <c r="E63" i="9" s="1"/>
  <c r="E58" i="9"/>
  <c r="G62" i="9" s="1"/>
  <c r="E57" i="9"/>
  <c r="F62" i="9" s="1"/>
  <c r="E56" i="9"/>
  <c r="E62" i="9" s="1"/>
  <c r="I64" i="8"/>
  <c r="I65" i="8"/>
  <c r="J65" i="8" s="1"/>
  <c r="I66" i="8"/>
  <c r="G66" i="8"/>
  <c r="G65" i="8"/>
  <c r="G64" i="8"/>
  <c r="G63" i="8"/>
  <c r="F66" i="8" a="1"/>
  <c r="F66" i="8" s="1"/>
  <c r="F65" i="8" a="1"/>
  <c r="F65" i="8" s="1"/>
  <c r="F64" i="8"/>
  <c r="F63" i="8" a="1"/>
  <c r="F63" i="8" s="1"/>
  <c r="J63" i="8" s="1"/>
  <c r="E66" i="8"/>
  <c r="E65" i="8"/>
  <c r="E64" i="8"/>
  <c r="E63" i="8"/>
  <c r="G58" i="8"/>
  <c r="G57" i="8"/>
  <c r="G56" i="8"/>
  <c r="C252" i="6"/>
  <c r="C251" i="6"/>
  <c r="C250" i="6"/>
  <c r="C249" i="6"/>
  <c r="C248" i="6"/>
  <c r="C247" i="6"/>
  <c r="C246" i="6"/>
  <c r="C245" i="6"/>
  <c r="C244" i="6"/>
  <c r="C243" i="6"/>
  <c r="C242" i="6"/>
  <c r="C241" i="6"/>
  <c r="C240" i="6"/>
  <c r="C239" i="6"/>
  <c r="C238" i="6"/>
  <c r="C237" i="6"/>
  <c r="C236" i="6"/>
  <c r="C235" i="6"/>
  <c r="C234" i="6"/>
  <c r="C233" i="6"/>
  <c r="C232" i="6"/>
  <c r="C231" i="6"/>
  <c r="C230" i="6"/>
  <c r="C229" i="6"/>
  <c r="C228" i="6"/>
  <c r="C227" i="6"/>
  <c r="C226" i="6"/>
  <c r="C225" i="6"/>
  <c r="C224" i="6"/>
  <c r="C223" i="6"/>
  <c r="C222" i="6"/>
  <c r="C221" i="6"/>
  <c r="C220" i="6"/>
  <c r="C219" i="6"/>
  <c r="C218" i="6"/>
  <c r="C217" i="6"/>
  <c r="C216" i="6"/>
  <c r="C215" i="6"/>
  <c r="C214" i="6"/>
  <c r="C213" i="6"/>
  <c r="C212" i="6"/>
  <c r="C211" i="6"/>
  <c r="C210" i="6"/>
  <c r="C209" i="6"/>
  <c r="C208" i="6"/>
  <c r="C207" i="6"/>
  <c r="C206" i="6"/>
  <c r="C205" i="6"/>
  <c r="C204" i="6"/>
  <c r="C203" i="6"/>
  <c r="C202" i="6"/>
  <c r="C201" i="6"/>
  <c r="C200" i="6"/>
  <c r="C199" i="6"/>
  <c r="C198" i="6"/>
  <c r="C197" i="6"/>
  <c r="C196" i="6"/>
  <c r="C195" i="6"/>
  <c r="C194" i="6"/>
  <c r="C193" i="6"/>
  <c r="C192" i="6"/>
  <c r="C191" i="6"/>
  <c r="C190" i="6"/>
  <c r="C189" i="6"/>
  <c r="C188" i="6"/>
  <c r="C187" i="6"/>
  <c r="C186" i="6"/>
  <c r="C185" i="6"/>
  <c r="C184" i="6"/>
  <c r="C183" i="6"/>
  <c r="C182" i="6"/>
  <c r="C181" i="6"/>
  <c r="C180" i="6"/>
  <c r="C179" i="6"/>
  <c r="C178" i="6"/>
  <c r="C177" i="6"/>
  <c r="C176" i="6"/>
  <c r="C175" i="6"/>
  <c r="C174" i="6"/>
  <c r="C173" i="6"/>
  <c r="C172" i="6"/>
  <c r="C171" i="6"/>
  <c r="C170" i="6"/>
  <c r="C169" i="6"/>
  <c r="C168" i="6"/>
  <c r="C167" i="6"/>
  <c r="C166" i="6"/>
  <c r="C165" i="6"/>
  <c r="C164" i="6"/>
  <c r="C163" i="6"/>
  <c r="C162" i="6"/>
  <c r="C161" i="6"/>
  <c r="C160" i="6"/>
  <c r="C159" i="6"/>
  <c r="C158" i="6"/>
  <c r="C157" i="6"/>
  <c r="C156" i="6"/>
  <c r="C155" i="6"/>
  <c r="C154" i="6"/>
  <c r="C153" i="6"/>
  <c r="C152" i="6"/>
  <c r="C151" i="6"/>
  <c r="C150" i="6"/>
  <c r="C149" i="6"/>
  <c r="C148" i="6"/>
  <c r="C147" i="6"/>
  <c r="C146" i="6"/>
  <c r="C145" i="6"/>
  <c r="C144" i="6"/>
  <c r="C143" i="6"/>
  <c r="C142" i="6"/>
  <c r="C141" i="6"/>
  <c r="C140" i="6"/>
  <c r="C139" i="6"/>
  <c r="C138" i="6"/>
  <c r="C137" i="6"/>
  <c r="C136" i="6"/>
  <c r="C135" i="6"/>
  <c r="C134" i="6"/>
  <c r="C133" i="6"/>
  <c r="C132" i="6"/>
  <c r="C131" i="6"/>
  <c r="C130" i="6"/>
  <c r="C129" i="6"/>
  <c r="C128" i="6"/>
  <c r="C127" i="6"/>
  <c r="C126" i="6"/>
  <c r="C125" i="6"/>
  <c r="C124" i="6"/>
  <c r="C123" i="6"/>
  <c r="C122" i="6"/>
  <c r="C121" i="6"/>
  <c r="C120" i="6"/>
  <c r="C119" i="6"/>
  <c r="C118" i="6"/>
  <c r="C117" i="6"/>
  <c r="C116" i="6"/>
  <c r="C115" i="6"/>
  <c r="C114" i="6"/>
  <c r="C113" i="6"/>
  <c r="C112" i="6"/>
  <c r="C111" i="6"/>
  <c r="C110" i="6"/>
  <c r="C109" i="6"/>
  <c r="C108" i="6"/>
  <c r="C107" i="6"/>
  <c r="C106" i="6"/>
  <c r="C105" i="6"/>
  <c r="C104" i="6"/>
  <c r="C103" i="6"/>
  <c r="C102" i="6"/>
  <c r="C101" i="6"/>
  <c r="C100" i="6"/>
  <c r="C99" i="6"/>
  <c r="C98" i="6"/>
  <c r="C97" i="6"/>
  <c r="C96" i="6"/>
  <c r="C95" i="6"/>
  <c r="C94" i="6"/>
  <c r="C93" i="6"/>
  <c r="C92" i="6"/>
  <c r="C91" i="6"/>
  <c r="C90" i="6"/>
  <c r="C89" i="6"/>
  <c r="C88" i="6"/>
  <c r="C87" i="6"/>
  <c r="C86" i="6"/>
  <c r="C85" i="6"/>
  <c r="C84" i="6"/>
  <c r="C83" i="6"/>
  <c r="C82" i="6"/>
  <c r="C81" i="6"/>
  <c r="C80" i="6"/>
  <c r="C79" i="6"/>
  <c r="C78" i="6"/>
  <c r="C77" i="6"/>
  <c r="C76" i="6"/>
  <c r="C75" i="6"/>
  <c r="C74" i="6"/>
  <c r="C73" i="6"/>
  <c r="C72" i="6"/>
  <c r="C71" i="6"/>
  <c r="C70" i="6"/>
  <c r="C69" i="6"/>
  <c r="C68" i="6"/>
  <c r="C67" i="6"/>
  <c r="C66" i="6"/>
  <c r="C65" i="6"/>
  <c r="C64" i="6"/>
  <c r="C63" i="6"/>
  <c r="C62" i="6"/>
  <c r="C61" i="6"/>
  <c r="C60" i="6"/>
  <c r="C59" i="6"/>
  <c r="C58" i="6"/>
  <c r="C57" i="6"/>
  <c r="C56" i="6"/>
  <c r="C55" i="6"/>
  <c r="C54" i="6"/>
  <c r="C53" i="6"/>
  <c r="Q3" i="2"/>
  <c r="Q4" i="2"/>
  <c r="Q5" i="2"/>
  <c r="Q6" i="2"/>
  <c r="Q7" i="2"/>
  <c r="Q8" i="2"/>
  <c r="Q9" i="2"/>
  <c r="Q10" i="2"/>
  <c r="Q11" i="2"/>
  <c r="Q12" i="2"/>
  <c r="Q13" i="2"/>
  <c r="Q14" i="2"/>
  <c r="Q15" i="2"/>
  <c r="Q16" i="2"/>
  <c r="Q17" i="2"/>
  <c r="Q18" i="2"/>
  <c r="Q19" i="2"/>
  <c r="Q20" i="2"/>
  <c r="Q21" i="2"/>
  <c r="Q22" i="2"/>
  <c r="Q23" i="2"/>
  <c r="Q24" i="2"/>
  <c r="Q25" i="2"/>
  <c r="Q26" i="2"/>
  <c r="Q27" i="2"/>
  <c r="Q28" i="2"/>
  <c r="Q29" i="2"/>
  <c r="Q30" i="2"/>
  <c r="Q31" i="2"/>
  <c r="Q32" i="2"/>
  <c r="Q33" i="2"/>
  <c r="Q34" i="2"/>
  <c r="Q35" i="2"/>
  <c r="Q36" i="2"/>
  <c r="Q37" i="2"/>
  <c r="Q38" i="2"/>
  <c r="Q39" i="2"/>
  <c r="Q40" i="2"/>
  <c r="Q41" i="2"/>
  <c r="Q42" i="2"/>
  <c r="Q43" i="2"/>
  <c r="Q44" i="2"/>
  <c r="Q45" i="2"/>
  <c r="Q46" i="2"/>
  <c r="Q47" i="2"/>
  <c r="Q48" i="2"/>
  <c r="Q49" i="2"/>
  <c r="Q50" i="2"/>
  <c r="Q51" i="2"/>
  <c r="Q52" i="2"/>
  <c r="Q53" i="2"/>
  <c r="Q54" i="2"/>
  <c r="Q55" i="2"/>
  <c r="Q56" i="2"/>
  <c r="Q57" i="2"/>
  <c r="Q58" i="2"/>
  <c r="Q59" i="2"/>
  <c r="Q60" i="2"/>
  <c r="Q61" i="2"/>
  <c r="Q62" i="2"/>
  <c r="Q63" i="2"/>
  <c r="Q64" i="2"/>
  <c r="Q65" i="2"/>
  <c r="Q66" i="2"/>
  <c r="Q67" i="2"/>
  <c r="Q68" i="2"/>
  <c r="Q69" i="2"/>
  <c r="Q70" i="2"/>
  <c r="Q71" i="2"/>
  <c r="Q72" i="2"/>
  <c r="Q73" i="2"/>
  <c r="Q74" i="2"/>
  <c r="Q75" i="2"/>
  <c r="Q76" i="2"/>
  <c r="Q77" i="2"/>
  <c r="Q78" i="2"/>
  <c r="Q79" i="2"/>
  <c r="Q80" i="2"/>
  <c r="Q81" i="2"/>
  <c r="Q82" i="2"/>
  <c r="Q83" i="2"/>
  <c r="Q84" i="2"/>
  <c r="Q85" i="2"/>
  <c r="Q86" i="2"/>
  <c r="Q87" i="2"/>
  <c r="Q88" i="2"/>
  <c r="Q89" i="2"/>
  <c r="Q90" i="2"/>
  <c r="Q91" i="2"/>
  <c r="Q92" i="2"/>
  <c r="Q93" i="2"/>
  <c r="Q94" i="2"/>
  <c r="Q95" i="2"/>
  <c r="Q96" i="2"/>
  <c r="Q97" i="2"/>
  <c r="Q98" i="2"/>
  <c r="Q99" i="2"/>
  <c r="Q100" i="2"/>
  <c r="Q101" i="2"/>
  <c r="Q102" i="2"/>
  <c r="Q103" i="2"/>
  <c r="Q104" i="2"/>
  <c r="Q105" i="2"/>
  <c r="Q106" i="2"/>
  <c r="Q107" i="2"/>
  <c r="Q108" i="2"/>
  <c r="Q109" i="2"/>
  <c r="Q110" i="2"/>
  <c r="Q111" i="2"/>
  <c r="Q112" i="2"/>
  <c r="Q113" i="2"/>
  <c r="Q114" i="2"/>
  <c r="Q115" i="2"/>
  <c r="Q116" i="2"/>
  <c r="Q117" i="2"/>
  <c r="Q118" i="2"/>
  <c r="Q119" i="2"/>
  <c r="Q120" i="2"/>
  <c r="Q121" i="2"/>
  <c r="Q122" i="2"/>
  <c r="Q123" i="2"/>
  <c r="Q124" i="2"/>
  <c r="Q125" i="2"/>
  <c r="Q126" i="2"/>
  <c r="Q127" i="2"/>
  <c r="Q128" i="2"/>
  <c r="Q129" i="2"/>
  <c r="Q130" i="2"/>
  <c r="Q131" i="2"/>
  <c r="Q132" i="2"/>
  <c r="Q133" i="2"/>
  <c r="Q134" i="2"/>
  <c r="Q135" i="2"/>
  <c r="Q136" i="2"/>
  <c r="Q137" i="2"/>
  <c r="Q138" i="2"/>
  <c r="Q139" i="2"/>
  <c r="Q140" i="2"/>
  <c r="Q141" i="2"/>
  <c r="Q142" i="2"/>
  <c r="Q143" i="2"/>
  <c r="Q144" i="2"/>
  <c r="Q145" i="2"/>
  <c r="Q146" i="2"/>
  <c r="Q147" i="2"/>
  <c r="Q148" i="2"/>
  <c r="Q149" i="2"/>
  <c r="Q150" i="2"/>
  <c r="Q151" i="2"/>
  <c r="Q152" i="2"/>
  <c r="Q153" i="2"/>
  <c r="Q154" i="2"/>
  <c r="Q155" i="2"/>
  <c r="Q156" i="2"/>
  <c r="Q157" i="2"/>
  <c r="Q158" i="2"/>
  <c r="Q159" i="2"/>
  <c r="Q160" i="2"/>
  <c r="Q161" i="2"/>
  <c r="Q162" i="2"/>
  <c r="Q163" i="2"/>
  <c r="Q164" i="2"/>
  <c r="Q165" i="2"/>
  <c r="Q166" i="2"/>
  <c r="Q167" i="2"/>
  <c r="Q168" i="2"/>
  <c r="Q169" i="2"/>
  <c r="Q170" i="2"/>
  <c r="Q171" i="2"/>
  <c r="Q172" i="2"/>
  <c r="Q173" i="2"/>
  <c r="Q174" i="2"/>
  <c r="Q175" i="2"/>
  <c r="Q176" i="2"/>
  <c r="Q177" i="2"/>
  <c r="Q178" i="2"/>
  <c r="Q179" i="2"/>
  <c r="Q180" i="2"/>
  <c r="Q181" i="2"/>
  <c r="Q182" i="2"/>
  <c r="Q183" i="2"/>
  <c r="Q184" i="2"/>
  <c r="Q185" i="2"/>
  <c r="Q186" i="2"/>
  <c r="Q187" i="2"/>
  <c r="Q188" i="2"/>
  <c r="Q189" i="2"/>
  <c r="Q190" i="2"/>
  <c r="Q191" i="2"/>
  <c r="Q192" i="2"/>
  <c r="Q193" i="2"/>
  <c r="Q194" i="2"/>
  <c r="Q195" i="2"/>
  <c r="Q196" i="2"/>
  <c r="Q197" i="2"/>
  <c r="Q198" i="2"/>
  <c r="Q199" i="2"/>
  <c r="Q200" i="2"/>
  <c r="Q201" i="2"/>
  <c r="C51" i="5"/>
  <c r="C52" i="5"/>
  <c r="C53" i="5"/>
  <c r="C54" i="5"/>
  <c r="C55" i="5"/>
  <c r="C56" i="5"/>
  <c r="C57" i="5"/>
  <c r="C58" i="5"/>
  <c r="C59" i="5"/>
  <c r="C60" i="5"/>
  <c r="C61" i="5"/>
  <c r="C62" i="5"/>
  <c r="C63" i="5"/>
  <c r="C64" i="5"/>
  <c r="C65" i="5"/>
  <c r="C66" i="5"/>
  <c r="C67" i="5"/>
  <c r="C68" i="5"/>
  <c r="C69" i="5"/>
  <c r="C70" i="5"/>
  <c r="C71" i="5"/>
  <c r="C72" i="5"/>
  <c r="C73" i="5"/>
  <c r="C74" i="5"/>
  <c r="C75" i="5"/>
  <c r="C76" i="5"/>
  <c r="C77" i="5"/>
  <c r="C78" i="5"/>
  <c r="C79" i="5"/>
  <c r="C80" i="5"/>
  <c r="C81" i="5"/>
  <c r="C82" i="5"/>
  <c r="C83" i="5"/>
  <c r="C84" i="5"/>
  <c r="C85" i="5"/>
  <c r="C86" i="5"/>
  <c r="C87" i="5"/>
  <c r="C88" i="5"/>
  <c r="C89" i="5"/>
  <c r="C90" i="5"/>
  <c r="C91" i="5"/>
  <c r="C92" i="5"/>
  <c r="C93" i="5"/>
  <c r="C94" i="5"/>
  <c r="C95" i="5"/>
  <c r="C96" i="5"/>
  <c r="C97" i="5"/>
  <c r="C98" i="5"/>
  <c r="C99" i="5"/>
  <c r="C100" i="5"/>
  <c r="C101" i="5"/>
  <c r="C102" i="5"/>
  <c r="C103" i="5"/>
  <c r="C104" i="5"/>
  <c r="C105" i="5"/>
  <c r="C106" i="5"/>
  <c r="C107" i="5"/>
  <c r="C108" i="5"/>
  <c r="C109" i="5"/>
  <c r="C110" i="5"/>
  <c r="C111" i="5"/>
  <c r="C112" i="5"/>
  <c r="C113" i="5"/>
  <c r="C114" i="5"/>
  <c r="C115" i="5"/>
  <c r="C116" i="5"/>
  <c r="C117" i="5"/>
  <c r="C118" i="5"/>
  <c r="C119" i="5"/>
  <c r="C120" i="5"/>
  <c r="C121" i="5"/>
  <c r="C122" i="5"/>
  <c r="C123" i="5"/>
  <c r="C124" i="5"/>
  <c r="C125" i="5"/>
  <c r="C126" i="5"/>
  <c r="C127" i="5"/>
  <c r="C128" i="5"/>
  <c r="C129" i="5"/>
  <c r="C130" i="5"/>
  <c r="C131" i="5"/>
  <c r="C132" i="5"/>
  <c r="C133" i="5"/>
  <c r="C134" i="5"/>
  <c r="C135" i="5"/>
  <c r="C136" i="5"/>
  <c r="C137" i="5"/>
  <c r="C138" i="5"/>
  <c r="C139" i="5"/>
  <c r="C140" i="5"/>
  <c r="C141" i="5"/>
  <c r="C142" i="5"/>
  <c r="C143" i="5"/>
  <c r="C144" i="5"/>
  <c r="C145" i="5"/>
  <c r="C146" i="5"/>
  <c r="C147" i="5"/>
  <c r="C148" i="5"/>
  <c r="C149" i="5"/>
  <c r="C150" i="5"/>
  <c r="C151" i="5"/>
  <c r="C152" i="5"/>
  <c r="C153" i="5"/>
  <c r="C154" i="5"/>
  <c r="C155" i="5"/>
  <c r="C156" i="5"/>
  <c r="C157" i="5"/>
  <c r="C158" i="5"/>
  <c r="C159" i="5"/>
  <c r="C160" i="5"/>
  <c r="C161" i="5"/>
  <c r="C162" i="5"/>
  <c r="C163" i="5"/>
  <c r="C164" i="5"/>
  <c r="C165" i="5"/>
  <c r="C166" i="5"/>
  <c r="C167" i="5"/>
  <c r="C168" i="5"/>
  <c r="C169" i="5"/>
  <c r="C170" i="5"/>
  <c r="C171" i="5"/>
  <c r="C172" i="5"/>
  <c r="C173" i="5"/>
  <c r="C174" i="5"/>
  <c r="C175" i="5"/>
  <c r="C176" i="5"/>
  <c r="C177" i="5"/>
  <c r="C178" i="5"/>
  <c r="C179" i="5"/>
  <c r="C180" i="5"/>
  <c r="C181" i="5"/>
  <c r="C182" i="5"/>
  <c r="C183" i="5"/>
  <c r="C184" i="5"/>
  <c r="C185" i="5"/>
  <c r="C186" i="5"/>
  <c r="C187" i="5"/>
  <c r="C188" i="5"/>
  <c r="C189" i="5"/>
  <c r="C190" i="5"/>
  <c r="C191" i="5"/>
  <c r="C192" i="5"/>
  <c r="C193" i="5"/>
  <c r="C194" i="5"/>
  <c r="C195" i="5"/>
  <c r="C196" i="5"/>
  <c r="C197" i="5"/>
  <c r="C198" i="5"/>
  <c r="C199" i="5"/>
  <c r="C200" i="5"/>
  <c r="C201" i="5"/>
  <c r="C202" i="5"/>
  <c r="C203" i="5"/>
  <c r="C204" i="5"/>
  <c r="C205" i="5"/>
  <c r="C206" i="5"/>
  <c r="C207" i="5"/>
  <c r="C208" i="5"/>
  <c r="C209" i="5"/>
  <c r="C210" i="5"/>
  <c r="C211" i="5"/>
  <c r="C212" i="5"/>
  <c r="C213" i="5"/>
  <c r="C214" i="5"/>
  <c r="C215" i="5"/>
  <c r="C216" i="5"/>
  <c r="C217" i="5"/>
  <c r="C218" i="5"/>
  <c r="C219" i="5"/>
  <c r="C220" i="5"/>
  <c r="C221" i="5"/>
  <c r="C222" i="5"/>
  <c r="C223" i="5"/>
  <c r="C224" i="5"/>
  <c r="C225" i="5"/>
  <c r="C226" i="5"/>
  <c r="C227" i="5"/>
  <c r="C228" i="5"/>
  <c r="C229" i="5"/>
  <c r="C230" i="5"/>
  <c r="C231" i="5"/>
  <c r="C232" i="5"/>
  <c r="C233" i="5"/>
  <c r="C234" i="5"/>
  <c r="C235" i="5"/>
  <c r="C236" i="5"/>
  <c r="C237" i="5"/>
  <c r="C238" i="5"/>
  <c r="C239" i="5"/>
  <c r="C240" i="5"/>
  <c r="C241" i="5"/>
  <c r="C242" i="5"/>
  <c r="C243" i="5"/>
  <c r="C244" i="5"/>
  <c r="C245" i="5"/>
  <c r="C246" i="5"/>
  <c r="C247" i="5"/>
  <c r="C248" i="5"/>
  <c r="C249" i="5"/>
  <c r="C50" i="5"/>
  <c r="P3" i="2"/>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P104" i="2"/>
  <c r="P105" i="2"/>
  <c r="P106" i="2"/>
  <c r="P107" i="2"/>
  <c r="P108" i="2"/>
  <c r="P109" i="2"/>
  <c r="P110" i="2"/>
  <c r="P111" i="2"/>
  <c r="P112" i="2"/>
  <c r="P113" i="2"/>
  <c r="P114" i="2"/>
  <c r="P115" i="2"/>
  <c r="P116" i="2"/>
  <c r="P117" i="2"/>
  <c r="P118" i="2"/>
  <c r="P119" i="2"/>
  <c r="P120" i="2"/>
  <c r="P121"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 i="2"/>
  <c r="Q2" i="2"/>
  <c r="O217" i="2"/>
  <c r="O223" i="2" s="1"/>
  <c r="M217" i="2"/>
  <c r="M223" i="2" s="1"/>
  <c r="L217" i="2"/>
  <c r="L223" i="2" s="1"/>
  <c r="K217" i="2"/>
  <c r="K223" i="2" s="1"/>
  <c r="J217" i="2"/>
  <c r="J223" i="2" s="1"/>
  <c r="I217" i="2"/>
  <c r="I223" i="2" s="1"/>
  <c r="H217" i="2"/>
  <c r="H223" i="2" s="1"/>
  <c r="F217" i="2"/>
  <c r="F223" i="2" s="1"/>
  <c r="E217" i="2"/>
  <c r="E223" i="2" s="1"/>
  <c r="B217" i="2"/>
  <c r="B223" i="2" s="1"/>
  <c r="O212" i="2"/>
  <c r="M212" i="2"/>
  <c r="L212" i="2"/>
  <c r="K212" i="2"/>
  <c r="J212" i="2"/>
  <c r="I212" i="2"/>
  <c r="H212" i="2"/>
  <c r="F212" i="2"/>
  <c r="E212" i="2"/>
  <c r="B212" i="2"/>
  <c r="O211" i="2"/>
  <c r="M211" i="2"/>
  <c r="L211" i="2"/>
  <c r="K211" i="2"/>
  <c r="J211" i="2"/>
  <c r="I211" i="2"/>
  <c r="H211" i="2"/>
  <c r="F211" i="2"/>
  <c r="E211" i="2"/>
  <c r="B211" i="2"/>
  <c r="O210" i="2"/>
  <c r="M210" i="2"/>
  <c r="L210" i="2"/>
  <c r="K210" i="2"/>
  <c r="J210" i="2"/>
  <c r="I210" i="2"/>
  <c r="H210" i="2"/>
  <c r="F210" i="2"/>
  <c r="E210" i="2"/>
  <c r="B210" i="2"/>
  <c r="O209" i="2"/>
  <c r="M209" i="2"/>
  <c r="L209" i="2"/>
  <c r="K209" i="2"/>
  <c r="J209" i="2"/>
  <c r="I209" i="2"/>
  <c r="H209" i="2"/>
  <c r="F209" i="2"/>
  <c r="E209" i="2"/>
  <c r="B209" i="2"/>
  <c r="O208" i="2"/>
  <c r="M208" i="2"/>
  <c r="L208" i="2"/>
  <c r="K208" i="2"/>
  <c r="J208" i="2"/>
  <c r="I208" i="2"/>
  <c r="H208" i="2"/>
  <c r="F208" i="2"/>
  <c r="E208" i="2"/>
  <c r="B208" i="2"/>
  <c r="O206" i="2"/>
  <c r="M206" i="2"/>
  <c r="L206" i="2"/>
  <c r="K206" i="2"/>
  <c r="J206" i="2"/>
  <c r="I206" i="2"/>
  <c r="H206" i="2"/>
  <c r="F206" i="2"/>
  <c r="E206" i="2"/>
  <c r="B206" i="2"/>
  <c r="O204" i="2"/>
  <c r="M204" i="2"/>
  <c r="L204" i="2"/>
  <c r="K204" i="2"/>
  <c r="K205" i="2" s="1"/>
  <c r="J204" i="2"/>
  <c r="I204" i="2"/>
  <c r="H204" i="2"/>
  <c r="F204" i="2"/>
  <c r="F205" i="2" s="1"/>
  <c r="E204" i="2"/>
  <c r="B204" i="2"/>
  <c r="O203" i="2"/>
  <c r="M203" i="2"/>
  <c r="L203" i="2"/>
  <c r="K203" i="2"/>
  <c r="J203" i="2"/>
  <c r="J219" i="2" s="1"/>
  <c r="J218" i="2" s="1"/>
  <c r="I203" i="2"/>
  <c r="H203" i="2"/>
  <c r="F203" i="2"/>
  <c r="E203" i="2"/>
  <c r="E219" i="2" s="1"/>
  <c r="E218" i="2" s="1"/>
  <c r="B203" i="2"/>
  <c r="J66" i="8" l="1"/>
  <c r="E67" i="9"/>
  <c r="G57" i="6"/>
  <c r="H57" i="6" s="1"/>
  <c r="J57" i="6" s="1"/>
  <c r="F67" i="9"/>
  <c r="B205" i="2"/>
  <c r="I205" i="2"/>
  <c r="M205" i="2"/>
  <c r="H219" i="2"/>
  <c r="H218" i="2" s="1"/>
  <c r="L219" i="2"/>
  <c r="L218" i="2" s="1"/>
  <c r="O205" i="2"/>
  <c r="L51" i="5"/>
  <c r="J64" i="8"/>
  <c r="G67" i="9"/>
  <c r="G68" i="9" s="1"/>
  <c r="L53" i="5"/>
  <c r="L55" i="5"/>
  <c r="O55" i="5" s="1"/>
  <c r="Q55" i="5" s="1"/>
  <c r="L54" i="5"/>
  <c r="O54" i="5" s="1"/>
  <c r="Q54" i="5" s="1"/>
  <c r="H215" i="2"/>
  <c r="H225" i="2" s="1"/>
  <c r="H224" i="2" s="1"/>
  <c r="L215" i="2"/>
  <c r="L225" i="2" s="1"/>
  <c r="L224" i="2" s="1"/>
  <c r="B214" i="2"/>
  <c r="F214" i="2"/>
  <c r="I214" i="2"/>
  <c r="K214" i="2"/>
  <c r="M214" i="2"/>
  <c r="O214" i="2"/>
  <c r="G55" i="6"/>
  <c r="H55" i="6" s="1"/>
  <c r="J55" i="6" s="1"/>
  <c r="G56" i="6"/>
  <c r="H56" i="6" s="1"/>
  <c r="J56" i="6" s="1"/>
  <c r="G58" i="6"/>
  <c r="H58" i="6" s="1"/>
  <c r="J58" i="6" s="1"/>
  <c r="B220" i="2"/>
  <c r="B221" i="2" s="1"/>
  <c r="F219" i="2"/>
  <c r="F218" i="2" s="1"/>
  <c r="I220" i="2"/>
  <c r="I221" i="2" s="1"/>
  <c r="K219" i="2"/>
  <c r="K218" i="2" s="1"/>
  <c r="M220" i="2"/>
  <c r="M221" i="2" s="1"/>
  <c r="O219" i="2"/>
  <c r="O218" i="2" s="1"/>
  <c r="E205" i="2"/>
  <c r="H205" i="2"/>
  <c r="J205" i="2"/>
  <c r="L205" i="2"/>
  <c r="B215" i="2"/>
  <c r="B225" i="2" s="1"/>
  <c r="B224" i="2" s="1"/>
  <c r="F215" i="2"/>
  <c r="I215" i="2"/>
  <c r="I226" i="2" s="1"/>
  <c r="I227" i="2" s="1"/>
  <c r="K215" i="2"/>
  <c r="K225" i="2" s="1"/>
  <c r="K224" i="2" s="1"/>
  <c r="M215" i="2"/>
  <c r="M225" i="2" s="1"/>
  <c r="M224" i="2" s="1"/>
  <c r="O215" i="2"/>
  <c r="E214" i="2"/>
  <c r="H214" i="2"/>
  <c r="J214" i="2"/>
  <c r="L214" i="2"/>
  <c r="G54" i="6"/>
  <c r="H54" i="6" s="1"/>
  <c r="E68" i="9"/>
  <c r="F68" i="9"/>
  <c r="E93" i="9"/>
  <c r="E96" i="9" s="1"/>
  <c r="F85" i="9"/>
  <c r="G97" i="9"/>
  <c r="E98" i="9"/>
  <c r="H97" i="9"/>
  <c r="E85" i="9"/>
  <c r="O51" i="5"/>
  <c r="Q51" i="5" s="1"/>
  <c r="L52" i="5"/>
  <c r="O52" i="5" s="1"/>
  <c r="Q52" i="5" s="1"/>
  <c r="O53" i="5"/>
  <c r="Q53" i="5" s="1"/>
  <c r="F225" i="2"/>
  <c r="F224" i="2" s="1"/>
  <c r="O225" i="2"/>
  <c r="O224" i="2" s="1"/>
  <c r="E215" i="2"/>
  <c r="E226" i="2" s="1"/>
  <c r="E227" i="2" s="1"/>
  <c r="J215" i="2"/>
  <c r="J226" i="2" s="1"/>
  <c r="J227" i="2" s="1"/>
  <c r="B219" i="2"/>
  <c r="B218" i="2" s="1"/>
  <c r="I219" i="2"/>
  <c r="I218" i="2" s="1"/>
  <c r="M219" i="2"/>
  <c r="M218" i="2" s="1"/>
  <c r="E220" i="2"/>
  <c r="E221" i="2" s="1"/>
  <c r="J220" i="2"/>
  <c r="J221" i="2" s="1"/>
  <c r="F226" i="2"/>
  <c r="F227" i="2" s="1"/>
  <c r="K226" i="2"/>
  <c r="K227" i="2" s="1"/>
  <c r="O226" i="2"/>
  <c r="O227" i="2" s="1"/>
  <c r="F220" i="2"/>
  <c r="F221" i="2" s="1"/>
  <c r="K220" i="2"/>
  <c r="K221" i="2" s="1"/>
  <c r="O220" i="2"/>
  <c r="O221" i="2" s="1"/>
  <c r="H226" i="2"/>
  <c r="H227" i="2" s="1"/>
  <c r="L226" i="2"/>
  <c r="L227" i="2" s="1"/>
  <c r="H220" i="2"/>
  <c r="H221" i="2" s="1"/>
  <c r="L220" i="2"/>
  <c r="L221" i="2" s="1"/>
  <c r="B226" i="2"/>
  <c r="B227" i="2" s="1"/>
  <c r="M226" i="2"/>
  <c r="M227" i="2" s="1"/>
  <c r="J54" i="6" l="1"/>
  <c r="L54" i="6" s="1"/>
  <c r="L57" i="6"/>
  <c r="G59" i="6"/>
  <c r="M51" i="5"/>
  <c r="H59" i="6"/>
  <c r="I225" i="2"/>
  <c r="I224" i="2" s="1"/>
  <c r="L56" i="6"/>
  <c r="M56" i="6"/>
  <c r="E225" i="2"/>
  <c r="E224" i="2" s="1"/>
  <c r="L58" i="6"/>
  <c r="L55" i="6"/>
  <c r="M57" i="6"/>
  <c r="J225" i="2"/>
  <c r="J224" i="2" s="1"/>
  <c r="E55" i="8" l="1"/>
  <c r="M58" i="6"/>
  <c r="M55" i="6"/>
  <c r="M54" i="6"/>
  <c r="F55" i="8" l="1" a="1"/>
  <c r="F55" i="8" s="1"/>
  <c r="M55" i="5"/>
  <c r="N55" i="5" a="1"/>
  <c r="N55" i="5" s="1"/>
  <c r="N212" i="2"/>
  <c r="E56" i="8"/>
  <c r="F56" i="8" a="1"/>
  <c r="F56" i="8" s="1"/>
  <c r="H56" i="8" s="1"/>
  <c r="K36" i="5"/>
  <c r="K34" i="5"/>
  <c r="N206" i="2"/>
  <c r="N211" i="2"/>
  <c r="N204" i="2"/>
  <c r="N210" i="2"/>
  <c r="N203" i="2"/>
  <c r="N220" i="2" s="1"/>
  <c r="N209" i="2"/>
  <c r="N217" i="2"/>
  <c r="N208" i="2"/>
  <c r="K33" i="5"/>
  <c r="K37" i="5"/>
  <c r="K35" i="5"/>
  <c r="N223" i="2"/>
  <c r="N54" i="5" a="1"/>
  <c r="N54" i="5" s="1"/>
  <c r="F57" i="8" a="1"/>
  <c r="F57" i="8" s="1"/>
  <c r="F58" i="8" a="1"/>
  <c r="F58" i="8" s="1"/>
  <c r="I58" i="8" s="1"/>
  <c r="N53" i="5" a="1"/>
  <c r="N53" i="5" s="1"/>
  <c r="N51" i="5" a="1"/>
  <c r="N51" i="5" s="1"/>
  <c r="N52" i="5" a="1"/>
  <c r="N52" i="5" s="1"/>
  <c r="M54" i="5"/>
  <c r="E58" i="8"/>
  <c r="M52" i="5"/>
  <c r="M53" i="5"/>
  <c r="N221" i="2"/>
  <c r="E57" i="8"/>
  <c r="S54" i="5" l="1"/>
  <c r="R52" i="5"/>
  <c r="K39" i="5"/>
  <c r="I57" i="8"/>
  <c r="H58" i="8"/>
  <c r="S53" i="5"/>
  <c r="I56" i="8"/>
  <c r="S52" i="5"/>
  <c r="R51" i="5"/>
  <c r="S51" i="5"/>
  <c r="S55" i="5"/>
  <c r="R55" i="5"/>
  <c r="J58" i="8"/>
  <c r="R53" i="5"/>
  <c r="J56" i="8"/>
  <c r="H55" i="8"/>
  <c r="I55" i="8"/>
  <c r="H57" i="8"/>
  <c r="R54" i="5"/>
  <c r="N219" i="2"/>
  <c r="N218" i="2" s="1"/>
  <c r="N205" i="2"/>
  <c r="N215" i="2"/>
  <c r="N225" i="2" s="1"/>
  <c r="N224" i="2" s="1"/>
  <c r="N226" i="2"/>
  <c r="N227" i="2" s="1"/>
  <c r="N214" i="2"/>
  <c r="J57" i="8" l="1"/>
  <c r="J55" i="8"/>
</calcChain>
</file>

<file path=xl/sharedStrings.xml><?xml version="1.0" encoding="utf-8"?>
<sst xmlns="http://schemas.openxmlformats.org/spreadsheetml/2006/main" count="1199" uniqueCount="301">
  <si>
    <t>Variable Name and Description:</t>
  </si>
  <si>
    <t>ID:</t>
  </si>
  <si>
    <t>ID of the passenger making the booking (“Booking Passenger”)</t>
  </si>
  <si>
    <t>Age:</t>
  </si>
  <si>
    <t>Age of Booking Passenger (years)</t>
  </si>
  <si>
    <t>Age Band:</t>
  </si>
  <si>
    <t>Young (&lt;30 years), Core (30 – 45 years), Prime (46 – 59 years), Mature (60 – 69 years), Senior (70 years or older)</t>
  </si>
  <si>
    <t>Gender:</t>
  </si>
  <si>
    <t>Gender of passenger makingthe booking: Male, Female, or Other/Prefer Not to Disclose</t>
  </si>
  <si>
    <t>Booking Type:</t>
  </si>
  <si>
    <t>Solo, Double (couple or two friends travelling together), Group, Family</t>
  </si>
  <si>
    <t>Passengers:</t>
  </si>
  <si>
    <t>Number of passengers per booking</t>
  </si>
  <si>
    <t>Children:</t>
  </si>
  <si>
    <t>Cabin:</t>
  </si>
  <si>
    <t>Suite, Luxury, Porthole, Internal</t>
  </si>
  <si>
    <t>Cabin Cost:</t>
  </si>
  <si>
    <t>Cost per passenger on Cabin (included in Total Spending)</t>
  </si>
  <si>
    <t>Side Trips:</t>
  </si>
  <si>
    <t>Spending per passenger on Side Trips</t>
  </si>
  <si>
    <t>Insurance:</t>
  </si>
  <si>
    <t>Spending per passenger on Travel Insurance</t>
  </si>
  <si>
    <t>Food and Drink</t>
  </si>
  <si>
    <t>Spending per passenger on Food and Drink</t>
  </si>
  <si>
    <t>Entertainment:</t>
  </si>
  <si>
    <t>Spending per passenger on Entertainment</t>
  </si>
  <si>
    <t>Merchandise:</t>
  </si>
  <si>
    <t>Spending per passenger on Merchandise</t>
  </si>
  <si>
    <t>Total Spending:</t>
  </si>
  <si>
    <t>Total Spending per passenger</t>
  </si>
  <si>
    <t>Spending Band:</t>
  </si>
  <si>
    <t xml:space="preserve">Budget (&lt;$2,500pp), Medium ($2,500 - $3,499pp), High ($3,500 - $4,499pp), Premium (&gt;$4,500pp) </t>
  </si>
  <si>
    <t>Satisfaction:</t>
  </si>
  <si>
    <t>Satisfaction rating provided by Booking Passenger (0 - 100 : Lowest to Highest)</t>
  </si>
  <si>
    <t>Satisfaction Band:</t>
  </si>
  <si>
    <t>Unhappy (&lt;50), Unimpressed (50 – 59), Acceptable (60 – 69), Happy (70 – 79), Delighted (80 or more)</t>
  </si>
  <si>
    <t>ID</t>
  </si>
  <si>
    <t>Age</t>
  </si>
  <si>
    <t>Gender</t>
  </si>
  <si>
    <t>Booking Type</t>
  </si>
  <si>
    <t>Children</t>
  </si>
  <si>
    <t>Passengers</t>
  </si>
  <si>
    <t>Cabin</t>
  </si>
  <si>
    <t>Cabin Cost</t>
  </si>
  <si>
    <t>Side Trips</t>
  </si>
  <si>
    <t>Insurance</t>
  </si>
  <si>
    <t>Entertainment</t>
  </si>
  <si>
    <t>Merchandise</t>
  </si>
  <si>
    <t>Total Spending</t>
  </si>
  <si>
    <t>Satisfaction</t>
  </si>
  <si>
    <t>Male</t>
  </si>
  <si>
    <t>Double</t>
  </si>
  <si>
    <t>Luxury</t>
  </si>
  <si>
    <t>Female</t>
  </si>
  <si>
    <t>Solo</t>
  </si>
  <si>
    <t>Suite</t>
  </si>
  <si>
    <t>Prefer</t>
  </si>
  <si>
    <t>Family</t>
  </si>
  <si>
    <t>Porthole</t>
  </si>
  <si>
    <t>Group</t>
  </si>
  <si>
    <t>Internal</t>
  </si>
  <si>
    <t>Average</t>
  </si>
  <si>
    <t>Std Dev'n</t>
  </si>
  <si>
    <t>C.of Variation</t>
  </si>
  <si>
    <t>Mode</t>
  </si>
  <si>
    <t>Min</t>
  </si>
  <si>
    <t>Q1</t>
  </si>
  <si>
    <t>Q2 (median)</t>
  </si>
  <si>
    <t>Q3</t>
  </si>
  <si>
    <t>Q4 (max)</t>
  </si>
  <si>
    <t>Range</t>
  </si>
  <si>
    <t>IQR</t>
  </si>
  <si>
    <t>Empirical</t>
  </si>
  <si>
    <t>Outlier(s)</t>
  </si>
  <si>
    <t>Lower Fence</t>
  </si>
  <si>
    <t>Upper Fence</t>
  </si>
  <si>
    <t>Tukey</t>
  </si>
  <si>
    <t>CONCLUSION</t>
  </si>
  <si>
    <t>Age Band</t>
  </si>
  <si>
    <t>Young:</t>
  </si>
  <si>
    <t>Core:</t>
  </si>
  <si>
    <t>Prime:</t>
  </si>
  <si>
    <t>Mature:</t>
  </si>
  <si>
    <t>Senior:</t>
  </si>
  <si>
    <t>OUTPUT</t>
  </si>
  <si>
    <t>WORKING</t>
  </si>
  <si>
    <t>Q2</t>
  </si>
  <si>
    <t>Satisfaction Band</t>
  </si>
  <si>
    <t>Unhappy:</t>
  </si>
  <si>
    <t>Unimpressed:</t>
  </si>
  <si>
    <t>Acceptable:</t>
  </si>
  <si>
    <t>Happy:</t>
  </si>
  <si>
    <t>Delighted:</t>
  </si>
  <si>
    <t>Questions</t>
  </si>
  <si>
    <t>Answer</t>
  </si>
  <si>
    <t>What proportion of passengers are most likely to recommend the company or book another cruise?</t>
  </si>
  <si>
    <t>Is there any passenger group (according to Satisfaction Band) that, proportionally, is represented more (or less) than the others?</t>
  </si>
  <si>
    <t>3 (a)</t>
  </si>
  <si>
    <t>Solo:</t>
  </si>
  <si>
    <t>Double:</t>
  </si>
  <si>
    <t>Group:</t>
  </si>
  <si>
    <t>Family:</t>
  </si>
  <si>
    <t>3 (b)</t>
  </si>
  <si>
    <t>Q4</t>
  </si>
  <si>
    <t>4(a)</t>
  </si>
  <si>
    <t>Female:</t>
  </si>
  <si>
    <t>Male:</t>
  </si>
  <si>
    <t>Prefer Not to Say:</t>
  </si>
  <si>
    <t>4(b)</t>
  </si>
  <si>
    <t>CEO's DASHBOARD</t>
  </si>
  <si>
    <t>Use this spreadsheet for additional analysis for your Report, or for the Dashboard.</t>
  </si>
  <si>
    <t>Note: This tab will not be marked</t>
  </si>
  <si>
    <t>number of passenger</t>
  </si>
  <si>
    <t>Young</t>
  </si>
  <si>
    <t>Core</t>
  </si>
  <si>
    <t>Prime</t>
  </si>
  <si>
    <t>Mature</t>
  </si>
  <si>
    <t>Senior</t>
  </si>
  <si>
    <t>Total</t>
  </si>
  <si>
    <t>mean</t>
  </si>
  <si>
    <t>std.dev.</t>
  </si>
  <si>
    <t>df</t>
  </si>
  <si>
    <t>table value (t)</t>
  </si>
  <si>
    <r>
      <t>alpha(</t>
    </r>
    <r>
      <rPr>
        <sz val="12"/>
        <color theme="1"/>
        <rFont val="Calibri"/>
        <family val="2"/>
      </rPr>
      <t>α</t>
    </r>
    <r>
      <rPr>
        <sz val="10.8"/>
        <color theme="1"/>
        <rFont val="Calibri"/>
        <family val="2"/>
      </rPr>
      <t>)</t>
    </r>
  </si>
  <si>
    <t>Average Total Spending</t>
  </si>
  <si>
    <t>Summary:</t>
  </si>
  <si>
    <t>Lower Bound</t>
  </si>
  <si>
    <t>Upper Bound</t>
  </si>
  <si>
    <t>The avrage total spending on the age band of type Mature is more than all other types of the age band.</t>
  </si>
  <si>
    <t>Now compare to number of passenger the average total spending by the compny is more for the Senior people.</t>
  </si>
  <si>
    <r>
      <t xml:space="preserve">I am </t>
    </r>
    <r>
      <rPr>
        <u/>
        <sz val="12"/>
        <color theme="1"/>
        <rFont val="Calibri"/>
        <family val="2"/>
        <scheme val="minor"/>
      </rPr>
      <t>95% confident</t>
    </r>
    <r>
      <rPr>
        <sz val="12"/>
        <color theme="1"/>
        <rFont val="Calibri"/>
        <family val="2"/>
        <scheme val="minor"/>
      </rPr>
      <t xml:space="preserve">, that </t>
    </r>
    <r>
      <rPr>
        <u/>
        <sz val="12"/>
        <color theme="1"/>
        <rFont val="Calibri"/>
        <family val="2"/>
        <scheme val="minor"/>
      </rPr>
      <t>average</t>
    </r>
    <r>
      <rPr>
        <sz val="12"/>
        <color theme="1"/>
        <rFont val="Calibri"/>
        <family val="2"/>
        <scheme val="minor"/>
      </rPr>
      <t xml:space="preserve"> Total Spending of the young age band is lies between $1,935.259 and $2,830.455.</t>
    </r>
  </si>
  <si>
    <r>
      <t xml:space="preserve">I am </t>
    </r>
    <r>
      <rPr>
        <u/>
        <sz val="12"/>
        <color theme="1"/>
        <rFont val="Calibri"/>
        <family val="2"/>
        <scheme val="minor"/>
      </rPr>
      <t>95% confident</t>
    </r>
    <r>
      <rPr>
        <sz val="12"/>
        <color theme="1"/>
        <rFont val="Calibri"/>
        <family val="2"/>
        <scheme val="minor"/>
      </rPr>
      <t xml:space="preserve">, that </t>
    </r>
    <r>
      <rPr>
        <u/>
        <sz val="12"/>
        <color theme="1"/>
        <rFont val="Calibri"/>
        <family val="2"/>
        <scheme val="minor"/>
      </rPr>
      <t>average</t>
    </r>
    <r>
      <rPr>
        <sz val="12"/>
        <color theme="1"/>
        <rFont val="Calibri"/>
        <family val="2"/>
        <scheme val="minor"/>
      </rPr>
      <t xml:space="preserve"> Total Spending for the core age band is lies in the $2,680.384 and $3,226.600</t>
    </r>
  </si>
  <si>
    <r>
      <t xml:space="preserve">I am </t>
    </r>
    <r>
      <rPr>
        <u/>
        <sz val="12"/>
        <color theme="1"/>
        <rFont val="Calibri"/>
        <family val="2"/>
        <scheme val="minor"/>
      </rPr>
      <t>95% confident</t>
    </r>
    <r>
      <rPr>
        <sz val="12"/>
        <color theme="1"/>
        <rFont val="Calibri"/>
        <family val="2"/>
        <scheme val="minor"/>
      </rPr>
      <t xml:space="preserve">, that </t>
    </r>
    <r>
      <rPr>
        <u/>
        <sz val="12"/>
        <color theme="1"/>
        <rFont val="Calibri"/>
        <family val="2"/>
        <scheme val="minor"/>
      </rPr>
      <t>average</t>
    </r>
    <r>
      <rPr>
        <sz val="12"/>
        <color theme="1"/>
        <rFont val="Calibri"/>
        <family val="2"/>
        <scheme val="minor"/>
      </rPr>
      <t xml:space="preserve"> Total Spending of age band type prime is in the interval ($2,727.696 , $3,293.304)</t>
    </r>
  </si>
  <si>
    <r>
      <t xml:space="preserve">I am </t>
    </r>
    <r>
      <rPr>
        <u/>
        <sz val="12"/>
        <color theme="1"/>
        <rFont val="Calibri"/>
        <family val="2"/>
        <scheme val="minor"/>
      </rPr>
      <t>95% confident</t>
    </r>
    <r>
      <rPr>
        <sz val="12"/>
        <color theme="1"/>
        <rFont val="Calibri"/>
        <family val="2"/>
        <scheme val="minor"/>
      </rPr>
      <t xml:space="preserve">, that </t>
    </r>
    <r>
      <rPr>
        <u/>
        <sz val="12"/>
        <color theme="1"/>
        <rFont val="Calibri"/>
        <family val="2"/>
        <scheme val="minor"/>
      </rPr>
      <t>average</t>
    </r>
    <r>
      <rPr>
        <sz val="12"/>
        <color theme="1"/>
        <rFont val="Calibri"/>
        <family val="2"/>
        <scheme val="minor"/>
      </rPr>
      <t xml:space="preserve"> Total Spending for the age band type mature is between ($2,986.342  , $3,725.570)</t>
    </r>
  </si>
  <si>
    <t>95% Confidence Interval:</t>
  </si>
  <si>
    <t>less than 30</t>
  </si>
  <si>
    <t>30 - 45</t>
  </si>
  <si>
    <t>46 - 59</t>
  </si>
  <si>
    <t>60 - 69</t>
  </si>
  <si>
    <t>70 or above</t>
  </si>
  <si>
    <t>Age (Year)</t>
  </si>
  <si>
    <t>Satisfaction Band Type</t>
  </si>
  <si>
    <t>Unhappy</t>
  </si>
  <si>
    <t>Unimpressed</t>
  </si>
  <si>
    <t>Acceptable</t>
  </si>
  <si>
    <t>Happy</t>
  </si>
  <si>
    <t>Delighted</t>
  </si>
  <si>
    <t>Rating</t>
  </si>
  <si>
    <t>less than 50</t>
  </si>
  <si>
    <t>50 - 59</t>
  </si>
  <si>
    <t>70 - 79</t>
  </si>
  <si>
    <t xml:space="preserve">80 or more </t>
  </si>
  <si>
    <t>Formula for 95% CI</t>
  </si>
  <si>
    <t>n : Sample Size</t>
  </si>
  <si>
    <t>x bar = Sample mean</t>
  </si>
  <si>
    <t>s =  Sample standard deviation</t>
  </si>
  <si>
    <r>
      <t>t</t>
    </r>
    <r>
      <rPr>
        <vertAlign val="subscript"/>
        <sz val="12"/>
        <color theme="1"/>
        <rFont val="Calibri"/>
        <family val="2"/>
      </rPr>
      <t xml:space="preserve"> </t>
    </r>
    <r>
      <rPr>
        <sz val="12"/>
        <color theme="1"/>
        <rFont val="Times New Roman"/>
        <family val="1"/>
      </rPr>
      <t>: Two tailed critical value.</t>
    </r>
  </si>
  <si>
    <t>Proportion (p)</t>
  </si>
  <si>
    <t>Number of people (n)</t>
  </si>
  <si>
    <t>alpha(α)</t>
  </si>
  <si>
    <t xml:space="preserve">Standard error </t>
  </si>
  <si>
    <t xml:space="preserve">Critical value </t>
  </si>
  <si>
    <t>Graph:</t>
  </si>
  <si>
    <t>The gropu of satisfaction band having type "Delighted" is represent the more proportion than other type of satisfaction band.</t>
  </si>
  <si>
    <t>Proportion of delighted band is more i.e. compny provides service close to the expectations of them, hence compny need to provide the another cruise.</t>
  </si>
  <si>
    <t>Summary</t>
  </si>
  <si>
    <t xml:space="preserve"> </t>
  </si>
  <si>
    <t>number of booking (n)</t>
  </si>
  <si>
    <t>lower z score</t>
  </si>
  <si>
    <t>upper z core</t>
  </si>
  <si>
    <t>probabilty</t>
  </si>
  <si>
    <r>
      <t xml:space="preserve">The </t>
    </r>
    <r>
      <rPr>
        <u/>
        <sz val="12"/>
        <rFont val="Calibri"/>
        <family val="2"/>
        <scheme val="minor"/>
      </rPr>
      <t>probability</t>
    </r>
    <r>
      <rPr>
        <sz val="12"/>
        <rFont val="Calibri"/>
        <family val="2"/>
        <scheme val="minor"/>
      </rPr>
      <t xml:space="preserve"> that Total Spending (per passenger) is </t>
    </r>
    <r>
      <rPr>
        <u/>
        <sz val="12"/>
        <rFont val="Calibri"/>
        <family val="2"/>
        <scheme val="minor"/>
      </rPr>
      <t>between</t>
    </r>
    <r>
      <rPr>
        <sz val="12"/>
        <rFont val="Calibri"/>
        <family val="2"/>
        <scheme val="minor"/>
      </rPr>
      <t xml:space="preserve"> </t>
    </r>
    <r>
      <rPr>
        <b/>
        <sz val="12"/>
        <rFont val="Calibri"/>
        <family val="2"/>
        <scheme val="minor"/>
      </rPr>
      <t>$2,500</t>
    </r>
    <r>
      <rPr>
        <sz val="12"/>
        <rFont val="Calibri"/>
        <family val="2"/>
        <scheme val="minor"/>
      </rPr>
      <t xml:space="preserve"> and </t>
    </r>
    <r>
      <rPr>
        <b/>
        <sz val="12"/>
        <rFont val="Calibri"/>
        <family val="2"/>
        <scheme val="minor"/>
      </rPr>
      <t>$3,500</t>
    </r>
    <r>
      <rPr>
        <sz val="12"/>
        <rFont val="Calibri"/>
        <family val="2"/>
        <scheme val="minor"/>
      </rPr>
      <t xml:space="preserve"> per passenger is 0.342</t>
    </r>
  </si>
  <si>
    <r>
      <t xml:space="preserve">The </t>
    </r>
    <r>
      <rPr>
        <u/>
        <sz val="12"/>
        <rFont val="Calibri"/>
        <family val="2"/>
        <scheme val="minor"/>
      </rPr>
      <t>probability</t>
    </r>
    <r>
      <rPr>
        <sz val="12"/>
        <rFont val="Calibri"/>
        <family val="2"/>
        <scheme val="minor"/>
      </rPr>
      <t xml:space="preserve"> that Total Spending (per passenger) is </t>
    </r>
    <r>
      <rPr>
        <u/>
        <sz val="12"/>
        <rFont val="Calibri"/>
        <family val="2"/>
        <scheme val="minor"/>
      </rPr>
      <t>between</t>
    </r>
    <r>
      <rPr>
        <sz val="12"/>
        <rFont val="Calibri"/>
        <family val="2"/>
        <scheme val="minor"/>
      </rPr>
      <t xml:space="preserve"> </t>
    </r>
    <r>
      <rPr>
        <b/>
        <sz val="12"/>
        <rFont val="Calibri"/>
        <family val="2"/>
        <scheme val="minor"/>
      </rPr>
      <t>$2,500</t>
    </r>
    <r>
      <rPr>
        <sz val="12"/>
        <rFont val="Calibri"/>
        <family val="2"/>
        <scheme val="minor"/>
      </rPr>
      <t xml:space="preserve"> and </t>
    </r>
    <r>
      <rPr>
        <b/>
        <sz val="12"/>
        <rFont val="Calibri"/>
        <family val="2"/>
        <scheme val="minor"/>
      </rPr>
      <t>$3,500</t>
    </r>
    <r>
      <rPr>
        <sz val="12"/>
        <rFont val="Calibri"/>
        <family val="2"/>
        <scheme val="minor"/>
      </rPr>
      <t xml:space="preserve"> per passenger is 0.377</t>
    </r>
  </si>
  <si>
    <r>
      <t xml:space="preserve">The </t>
    </r>
    <r>
      <rPr>
        <u/>
        <sz val="12"/>
        <rFont val="Calibri"/>
        <family val="2"/>
        <scheme val="minor"/>
      </rPr>
      <t>probability</t>
    </r>
    <r>
      <rPr>
        <sz val="12"/>
        <rFont val="Calibri"/>
        <family val="2"/>
        <scheme val="minor"/>
      </rPr>
      <t xml:space="preserve"> that Total Spending (per passenger) is </t>
    </r>
    <r>
      <rPr>
        <u/>
        <sz val="12"/>
        <rFont val="Calibri"/>
        <family val="2"/>
        <scheme val="minor"/>
      </rPr>
      <t>between</t>
    </r>
    <r>
      <rPr>
        <sz val="12"/>
        <rFont val="Calibri"/>
        <family val="2"/>
        <scheme val="minor"/>
      </rPr>
      <t xml:space="preserve"> </t>
    </r>
    <r>
      <rPr>
        <b/>
        <sz val="12"/>
        <rFont val="Calibri"/>
        <family val="2"/>
        <scheme val="minor"/>
      </rPr>
      <t>$2,500</t>
    </r>
    <r>
      <rPr>
        <sz val="12"/>
        <rFont val="Calibri"/>
        <family val="2"/>
        <scheme val="minor"/>
      </rPr>
      <t xml:space="preserve"> and </t>
    </r>
    <r>
      <rPr>
        <b/>
        <sz val="12"/>
        <rFont val="Calibri"/>
        <family val="2"/>
        <scheme val="minor"/>
      </rPr>
      <t>$3,500</t>
    </r>
    <r>
      <rPr>
        <sz val="12"/>
        <rFont val="Calibri"/>
        <family val="2"/>
        <scheme val="minor"/>
      </rPr>
      <t xml:space="preserve"> per passenger is 0.373</t>
    </r>
  </si>
  <si>
    <r>
      <t xml:space="preserve">The </t>
    </r>
    <r>
      <rPr>
        <u/>
        <sz val="12"/>
        <rFont val="Calibri"/>
        <family val="2"/>
        <scheme val="minor"/>
      </rPr>
      <t>probability</t>
    </r>
    <r>
      <rPr>
        <sz val="12"/>
        <rFont val="Calibri"/>
        <family val="2"/>
        <scheme val="minor"/>
      </rPr>
      <t xml:space="preserve"> that Total Spending (per passenger) is </t>
    </r>
    <r>
      <rPr>
        <u/>
        <sz val="12"/>
        <rFont val="Calibri"/>
        <family val="2"/>
        <scheme val="minor"/>
      </rPr>
      <t>between</t>
    </r>
    <r>
      <rPr>
        <sz val="12"/>
        <rFont val="Calibri"/>
        <family val="2"/>
        <scheme val="minor"/>
      </rPr>
      <t xml:space="preserve"> </t>
    </r>
    <r>
      <rPr>
        <b/>
        <sz val="12"/>
        <rFont val="Calibri"/>
        <family val="2"/>
        <scheme val="minor"/>
      </rPr>
      <t>$2,500</t>
    </r>
    <r>
      <rPr>
        <sz val="12"/>
        <rFont val="Calibri"/>
        <family val="2"/>
        <scheme val="minor"/>
      </rPr>
      <t xml:space="preserve"> and </t>
    </r>
    <r>
      <rPr>
        <b/>
        <sz val="12"/>
        <rFont val="Calibri"/>
        <family val="2"/>
        <scheme val="minor"/>
      </rPr>
      <t>$3,500</t>
    </r>
    <r>
      <rPr>
        <sz val="12"/>
        <rFont val="Calibri"/>
        <family val="2"/>
        <scheme val="minor"/>
      </rPr>
      <t xml:space="preserve"> per passenger is 0.310</t>
    </r>
  </si>
  <si>
    <t>a)</t>
  </si>
  <si>
    <t>b)</t>
  </si>
  <si>
    <t>number of rating (n)</t>
  </si>
  <si>
    <t>z-score</t>
  </si>
  <si>
    <t>X</t>
  </si>
  <si>
    <t>a</t>
  </si>
  <si>
    <t>b</t>
  </si>
  <si>
    <r>
      <t xml:space="preserve">The </t>
    </r>
    <r>
      <rPr>
        <u/>
        <sz val="11"/>
        <color theme="1"/>
        <rFont val="Calibri"/>
        <family val="2"/>
        <scheme val="minor"/>
      </rPr>
      <t>Satisfaction Rating</t>
    </r>
    <r>
      <rPr>
        <sz val="11"/>
        <color theme="1"/>
        <rFont val="Calibri"/>
        <family val="2"/>
        <scheme val="minor"/>
      </rPr>
      <t xml:space="preserve"> for the </t>
    </r>
    <r>
      <rPr>
        <b/>
        <sz val="11"/>
        <color theme="1"/>
        <rFont val="Calibri"/>
        <family val="2"/>
        <scheme val="minor"/>
      </rPr>
      <t>top 40%</t>
    </r>
    <r>
      <rPr>
        <sz val="11"/>
        <color theme="1"/>
        <rFont val="Calibri"/>
        <family val="2"/>
        <scheme val="minor"/>
      </rPr>
      <t xml:space="preserve"> is 72</t>
    </r>
  </si>
  <si>
    <r>
      <t xml:space="preserve">The </t>
    </r>
    <r>
      <rPr>
        <u/>
        <sz val="11"/>
        <color theme="1"/>
        <rFont val="Calibri"/>
        <family val="2"/>
        <scheme val="minor"/>
      </rPr>
      <t>Satisfaction Rating</t>
    </r>
    <r>
      <rPr>
        <sz val="11"/>
        <color theme="1"/>
        <rFont val="Calibri"/>
        <family val="2"/>
        <scheme val="minor"/>
      </rPr>
      <t xml:space="preserve"> for the </t>
    </r>
    <r>
      <rPr>
        <b/>
        <sz val="11"/>
        <color theme="1"/>
        <rFont val="Calibri"/>
        <family val="2"/>
        <scheme val="minor"/>
      </rPr>
      <t>top 40%</t>
    </r>
    <r>
      <rPr>
        <sz val="11"/>
        <color theme="1"/>
        <rFont val="Calibri"/>
        <family val="2"/>
        <scheme val="minor"/>
      </rPr>
      <t xml:space="preserve"> is 74</t>
    </r>
  </si>
  <si>
    <r>
      <t xml:space="preserve">The </t>
    </r>
    <r>
      <rPr>
        <u/>
        <sz val="11"/>
        <color theme="1"/>
        <rFont val="Calibri"/>
        <family val="2"/>
        <scheme val="minor"/>
      </rPr>
      <t>Satisfaction Rating</t>
    </r>
    <r>
      <rPr>
        <sz val="11"/>
        <color theme="1"/>
        <rFont val="Calibri"/>
        <family val="2"/>
        <scheme val="minor"/>
      </rPr>
      <t xml:space="preserve"> for the </t>
    </r>
    <r>
      <rPr>
        <b/>
        <sz val="11"/>
        <color theme="1"/>
        <rFont val="Calibri"/>
        <family val="2"/>
        <scheme val="minor"/>
      </rPr>
      <t>top 40%</t>
    </r>
    <r>
      <rPr>
        <sz val="11"/>
        <color theme="1"/>
        <rFont val="Calibri"/>
        <family val="2"/>
        <scheme val="minor"/>
      </rPr>
      <t xml:space="preserve"> is 76</t>
    </r>
  </si>
  <si>
    <t xml:space="preserve">Summary for satisfaction according gender  </t>
  </si>
  <si>
    <t>total sample</t>
  </si>
  <si>
    <t>test statistics</t>
  </si>
  <si>
    <r>
      <rPr>
        <sz val="12"/>
        <color theme="1"/>
        <rFont val="Calibri"/>
        <family val="2"/>
      </rPr>
      <t>µ</t>
    </r>
    <r>
      <rPr>
        <sz val="12"/>
        <color theme="1"/>
        <rFont val="Times New Roman"/>
        <family val="1"/>
      </rPr>
      <t xml:space="preserve"> = population mean</t>
    </r>
  </si>
  <si>
    <t>µ</t>
  </si>
  <si>
    <t>x bar</t>
  </si>
  <si>
    <t>std.dev</t>
  </si>
  <si>
    <t>n</t>
  </si>
  <si>
    <t>α</t>
  </si>
  <si>
    <t>test stat</t>
  </si>
  <si>
    <t>p-value</t>
  </si>
  <si>
    <t xml:space="preserve">Female </t>
  </si>
  <si>
    <t>H1: Average satisfactio for the male more than 67</t>
  </si>
  <si>
    <t>H0: Average satisfactio for the male is less than or equal to 67</t>
  </si>
  <si>
    <t>Hypothesis:</t>
  </si>
  <si>
    <t>Decision rule: if p-value is less than 0.05 then we rejct the null hypothsis</t>
  </si>
  <si>
    <t>Decision: Reject the null hypothsis and support to the calim</t>
  </si>
  <si>
    <t>H0: Average satisfactio for the prefer not to disclose is less than or equal to 67</t>
  </si>
  <si>
    <t>H1: Average satisfactio for the Prefer not to disclose more than 67</t>
  </si>
  <si>
    <t>H0: Average satisfactio for the female is less than or equal to 67</t>
  </si>
  <si>
    <t>H1: Average satisfactio for the female more than 67</t>
  </si>
  <si>
    <t>we conclude that the average satisfaction for the female is changed in 2019 and it is more than 67</t>
  </si>
  <si>
    <t>Decision: fail to reject the null hypothsis and reject the  the calim.</t>
  </si>
  <si>
    <t>The average satisfaction for the prefer to not disclose is in the year 2011 not not more than 67.</t>
  </si>
  <si>
    <t>Hypothesis</t>
  </si>
  <si>
    <t>H0: Proportion of booking type Solo =0.25</t>
  </si>
  <si>
    <r>
      <t xml:space="preserve">H1: Proportion of booking type Solo  </t>
    </r>
    <r>
      <rPr>
        <sz val="12"/>
        <color theme="1"/>
        <rFont val="Calibri"/>
        <family val="2"/>
      </rPr>
      <t>≠</t>
    </r>
    <r>
      <rPr>
        <sz val="12"/>
        <color theme="1"/>
        <rFont val="Calibri"/>
        <family val="2"/>
        <scheme val="minor"/>
      </rPr>
      <t>0.25</t>
    </r>
  </si>
  <si>
    <t>H0: Proportion of booking type Double =0.25</t>
  </si>
  <si>
    <r>
      <t xml:space="preserve">H1: Proportion of booking type Double  </t>
    </r>
    <r>
      <rPr>
        <sz val="12"/>
        <color theme="1"/>
        <rFont val="Calibri"/>
        <family val="2"/>
      </rPr>
      <t>≠</t>
    </r>
    <r>
      <rPr>
        <sz val="12"/>
        <color theme="1"/>
        <rFont val="Calibri"/>
        <family val="2"/>
        <scheme val="minor"/>
      </rPr>
      <t>0.25</t>
    </r>
  </si>
  <si>
    <t>H0: Proportion of booking type Group =0.25</t>
  </si>
  <si>
    <r>
      <t xml:space="preserve">H1: Proportion of booking type Group  </t>
    </r>
    <r>
      <rPr>
        <sz val="12"/>
        <color theme="1"/>
        <rFont val="Calibri"/>
        <family val="2"/>
      </rPr>
      <t>≠</t>
    </r>
    <r>
      <rPr>
        <sz val="12"/>
        <color theme="1"/>
        <rFont val="Calibri"/>
        <family val="2"/>
        <scheme val="minor"/>
      </rPr>
      <t>0.25</t>
    </r>
  </si>
  <si>
    <t>H0: Proportion of booking type family =0.25</t>
  </si>
  <si>
    <r>
      <t xml:space="preserve">H1: Proportion of booking type family </t>
    </r>
    <r>
      <rPr>
        <sz val="12"/>
        <color theme="1"/>
        <rFont val="Calibri"/>
        <family val="2"/>
      </rPr>
      <t>≠</t>
    </r>
    <r>
      <rPr>
        <sz val="12"/>
        <color theme="1"/>
        <rFont val="Calibri"/>
        <family val="2"/>
        <scheme val="minor"/>
      </rPr>
      <t>0.25</t>
    </r>
  </si>
  <si>
    <t>Booking Tpye</t>
  </si>
  <si>
    <t>P0</t>
  </si>
  <si>
    <t>p</t>
  </si>
  <si>
    <t>Proportion(p)</t>
  </si>
  <si>
    <t>test statistic</t>
  </si>
  <si>
    <t xml:space="preserve">lower critical </t>
  </si>
  <si>
    <t>upper critical</t>
  </si>
  <si>
    <t>α/2</t>
  </si>
  <si>
    <t>Decision rule :</t>
  </si>
  <si>
    <t>if test statistics is lies between the interval -1.96 to 1.96 then we fail to reject the null hypothsis.</t>
  </si>
  <si>
    <t>Decision</t>
  </si>
  <si>
    <t xml:space="preserve">Fail to reject the null hypothsis and support </t>
  </si>
  <si>
    <t xml:space="preserve">Reject the null hypothsis and dose not support to </t>
  </si>
  <si>
    <t>Here we reject the null hypothesis and hence  deny the calim the proportion of passenger having  booking type family is 0.25</t>
  </si>
  <si>
    <t>the proportion of passenger booking type solo is 0.25</t>
  </si>
  <si>
    <t>the proportion passenger of booking type double is 0.25</t>
  </si>
  <si>
    <t>We fail to reject the null hypothesis and hence  conclude that proportion of passenger having  booking type doubble is 0.25</t>
  </si>
  <si>
    <r>
      <t xml:space="preserve">At a 5% Level of Significance  there </t>
    </r>
    <r>
      <rPr>
        <b/>
        <u/>
        <sz val="12"/>
        <color theme="1"/>
        <rFont val="Calibri"/>
        <family val="2"/>
        <scheme val="minor"/>
      </rPr>
      <t>is not sufficient evidence</t>
    </r>
    <r>
      <rPr>
        <u/>
        <sz val="12"/>
        <color theme="1"/>
        <rFont val="Calibri"/>
        <family val="2"/>
        <scheme val="minor"/>
      </rPr>
      <t xml:space="preserve"> to support the calim that is the average satisfaction for female has changed in 2011  and it is more than 67</t>
    </r>
  </si>
  <si>
    <r>
      <t xml:space="preserve">I am </t>
    </r>
    <r>
      <rPr>
        <u/>
        <sz val="12"/>
        <color theme="1"/>
        <rFont val="Calibri"/>
        <family val="2"/>
        <scheme val="minor"/>
      </rPr>
      <t>95% confident</t>
    </r>
    <r>
      <rPr>
        <sz val="12"/>
        <color theme="1"/>
        <rFont val="Calibri"/>
        <family val="2"/>
        <scheme val="minor"/>
      </rPr>
      <t xml:space="preserve">, that </t>
    </r>
    <r>
      <rPr>
        <u/>
        <sz val="12"/>
        <color theme="1"/>
        <rFont val="Calibri"/>
        <family val="2"/>
        <scheme val="minor"/>
      </rPr>
      <t>average</t>
    </r>
    <r>
      <rPr>
        <sz val="12"/>
        <color theme="1"/>
        <rFont val="Calibri"/>
        <family val="2"/>
        <scheme val="minor"/>
      </rPr>
      <t xml:space="preserve"> Total Spending of the senior age band is lies between $2,914.097 and $3,879.587</t>
    </r>
  </si>
  <si>
    <t>Mean</t>
  </si>
  <si>
    <t>Standard Error</t>
  </si>
  <si>
    <t>Median</t>
  </si>
  <si>
    <t>Standard Deviation</t>
  </si>
  <si>
    <t>Sample Variance</t>
  </si>
  <si>
    <t>Kurtosis</t>
  </si>
  <si>
    <t>Skewness</t>
  </si>
  <si>
    <t>Minimum</t>
  </si>
  <si>
    <t>Maximum</t>
  </si>
  <si>
    <t>Sum</t>
  </si>
  <si>
    <t>Count</t>
  </si>
  <si>
    <t>min</t>
  </si>
  <si>
    <t>max</t>
  </si>
  <si>
    <t xml:space="preserve">Using the above boxplot we say that the total spending by customer is positively skewed. </t>
  </si>
  <si>
    <t>Here out of  all the  total spending  50% total spending is between $2,270.250 and $3,817 .</t>
  </si>
  <si>
    <t>Decision: Fail to reject the null hypothsis and dose not  support to the calim</t>
  </si>
  <si>
    <t>p-value (0.090)  correspounding to gender male is not less than 0.05 hence we  dose not support the claim.</t>
  </si>
  <si>
    <t>we conclude that the average satisfaction for the male has not changed in 2019 and also not more than 67</t>
  </si>
  <si>
    <t>Here p-value (0.032) correspounding to gender female is less than 0.05 hence we support the claim.</t>
  </si>
  <si>
    <t xml:space="preserve">Here only p-vlaue (0.385) og prefer not to disclose is not less than 0.05 hence we fail to regect the null hypothsis </t>
  </si>
  <si>
    <t>Reject the null hypothsis and not sufficient evidence  support the calim</t>
  </si>
  <si>
    <t xml:space="preserve">Reject the null hypothsis and there is not sufficient evidence to support </t>
  </si>
  <si>
    <t>the calim  proportion passenger of booking type Group is 0.25</t>
  </si>
  <si>
    <t>the claim proportion passenger of booking type family is 0.25</t>
  </si>
  <si>
    <t>we reject the null hypothesis and conclude that proportion of passenger having booking type solo is not equal to 0.25</t>
  </si>
  <si>
    <t>We reject the null hypothesis and conclude that proportion of passenger having booking type solo is not equal to 0.25</t>
  </si>
  <si>
    <r>
      <t xml:space="preserve">At a </t>
    </r>
    <r>
      <rPr>
        <u/>
        <sz val="12"/>
        <color theme="1"/>
        <rFont val="Calibri"/>
        <family val="2"/>
        <scheme val="minor"/>
      </rPr>
      <t>5% Level of Significance there is not enough evidence to support the calim</t>
    </r>
    <r>
      <rPr>
        <sz val="12"/>
        <color theme="1"/>
        <rFont val="Calibri"/>
        <family val="2"/>
        <scheme val="minor"/>
      </rPr>
      <t xml:space="preserve"> the proportion of passenger having booking type solo is 0.25</t>
    </r>
  </si>
  <si>
    <r>
      <t xml:space="preserve">At a </t>
    </r>
    <r>
      <rPr>
        <u/>
        <sz val="12"/>
        <color theme="1"/>
        <rFont val="Calibri"/>
        <family val="2"/>
        <scheme val="minor"/>
      </rPr>
      <t>5% Level of Significance there is not enough evidence to support the calim the proportion of passenger having booking type group is 0.25</t>
    </r>
  </si>
  <si>
    <r>
      <t xml:space="preserve">At a </t>
    </r>
    <r>
      <rPr>
        <u/>
        <sz val="12"/>
        <color theme="1"/>
        <rFont val="Calibri"/>
        <family val="2"/>
        <scheme val="minor"/>
      </rPr>
      <t>5% Level of Significance there is enough evidence to support the calim the proportion of passenger having booking type double is 0.25</t>
    </r>
  </si>
  <si>
    <r>
      <t xml:space="preserve">At a </t>
    </r>
    <r>
      <rPr>
        <u/>
        <sz val="12"/>
        <color theme="1"/>
        <rFont val="Calibri"/>
        <family val="2"/>
        <scheme val="minor"/>
      </rPr>
      <t>5% Level of Significance there is not enough evidence to support the calim the proportion of passenger having booking type family is</t>
    </r>
    <r>
      <rPr>
        <b/>
        <u/>
        <sz val="12"/>
        <color theme="1"/>
        <rFont val="Calibri"/>
        <family val="2"/>
        <scheme val="minor"/>
      </rPr>
      <t xml:space="preserve">  0.25</t>
    </r>
  </si>
  <si>
    <t>Row Labels</t>
  </si>
  <si>
    <t>Grand Total</t>
  </si>
  <si>
    <t>Count of Gender</t>
  </si>
  <si>
    <t>Average of Satisfaction</t>
  </si>
  <si>
    <t>Average of Cabin Cost</t>
  </si>
  <si>
    <t>Sum of Total Spending</t>
  </si>
  <si>
    <t>Average of Total Spending</t>
  </si>
  <si>
    <r>
      <t xml:space="preserve">I am </t>
    </r>
    <r>
      <rPr>
        <u/>
        <sz val="11"/>
        <color theme="1"/>
        <rFont val="Calibri"/>
        <family val="2"/>
        <scheme val="minor"/>
      </rPr>
      <t>95% confident</t>
    </r>
    <r>
      <rPr>
        <sz val="11"/>
        <color theme="1"/>
        <rFont val="Calibri"/>
        <family val="2"/>
        <scheme val="minor"/>
      </rPr>
      <t xml:space="preserve">, that the </t>
    </r>
    <r>
      <rPr>
        <u/>
        <sz val="11"/>
        <color theme="1"/>
        <rFont val="Calibri"/>
        <family val="2"/>
        <scheme val="minor"/>
      </rPr>
      <t>proportion</t>
    </r>
    <r>
      <rPr>
        <sz val="11"/>
        <color theme="1"/>
        <rFont val="Calibri"/>
        <family val="2"/>
        <scheme val="minor"/>
      </rPr>
      <t xml:space="preserve"> of all (total population) passengers rating their cruise experience as </t>
    </r>
    <r>
      <rPr>
        <b/>
        <sz val="11"/>
        <color theme="1"/>
        <rFont val="Calibri"/>
        <family val="2"/>
        <scheme val="minor"/>
      </rPr>
      <t>UNHAPPY</t>
    </r>
    <r>
      <rPr>
        <sz val="11"/>
        <color theme="1"/>
        <rFont val="Calibri"/>
        <family val="2"/>
        <scheme val="minor"/>
      </rPr>
      <t xml:space="preserve"> is between 5.03% and 12.97%</t>
    </r>
  </si>
  <si>
    <r>
      <t xml:space="preserve">I am </t>
    </r>
    <r>
      <rPr>
        <u/>
        <sz val="11"/>
        <color theme="1"/>
        <rFont val="Calibri"/>
        <family val="2"/>
        <scheme val="minor"/>
      </rPr>
      <t>95% confident</t>
    </r>
    <r>
      <rPr>
        <sz val="11"/>
        <color theme="1"/>
        <rFont val="Calibri"/>
        <family val="2"/>
        <scheme val="minor"/>
      </rPr>
      <t xml:space="preserve">, that the proportion of all (total population) passengers rating their cruise experience as </t>
    </r>
    <r>
      <rPr>
        <b/>
        <sz val="11"/>
        <color theme="1"/>
        <rFont val="Calibri"/>
        <family val="2"/>
        <scheme val="minor"/>
      </rPr>
      <t>UNIMPRESSED</t>
    </r>
    <r>
      <rPr>
        <sz val="11"/>
        <color theme="1"/>
        <rFont val="Calibri"/>
        <family val="2"/>
        <scheme val="minor"/>
      </rPr>
      <t xml:space="preserve"> is between 16.26% and 27.74%</t>
    </r>
  </si>
  <si>
    <r>
      <t xml:space="preserve">I am </t>
    </r>
    <r>
      <rPr>
        <u/>
        <sz val="11"/>
        <color theme="1"/>
        <rFont val="Calibri"/>
        <family val="2"/>
        <scheme val="minor"/>
      </rPr>
      <t>95% confident</t>
    </r>
    <r>
      <rPr>
        <sz val="11"/>
        <color theme="1"/>
        <rFont val="Calibri"/>
        <family val="2"/>
        <scheme val="minor"/>
      </rPr>
      <t xml:space="preserve">, that the proportion of all (total population) passengers rating their cruise experience as </t>
    </r>
    <r>
      <rPr>
        <b/>
        <sz val="11"/>
        <color theme="1"/>
        <rFont val="Calibri"/>
        <family val="2"/>
        <scheme val="minor"/>
      </rPr>
      <t>ACCEPTABLE</t>
    </r>
    <r>
      <rPr>
        <sz val="11"/>
        <color theme="1"/>
        <rFont val="Calibri"/>
        <family val="2"/>
        <scheme val="minor"/>
      </rPr>
      <t xml:space="preserve"> is between 14.01% and 24.99%</t>
    </r>
  </si>
  <si>
    <r>
      <t xml:space="preserve">I am </t>
    </r>
    <r>
      <rPr>
        <u/>
        <sz val="11"/>
        <color theme="1"/>
        <rFont val="Calibri"/>
        <family val="2"/>
        <scheme val="minor"/>
      </rPr>
      <t>95% confident</t>
    </r>
    <r>
      <rPr>
        <sz val="11"/>
        <color theme="1"/>
        <rFont val="Calibri"/>
        <family val="2"/>
        <scheme val="minor"/>
      </rPr>
      <t xml:space="preserve">, that the proportion of all (total population) passengers rating their cruise experience as </t>
    </r>
    <r>
      <rPr>
        <b/>
        <sz val="11"/>
        <color theme="1"/>
        <rFont val="Calibri"/>
        <family val="2"/>
        <scheme val="minor"/>
      </rPr>
      <t>HAPPY</t>
    </r>
    <r>
      <rPr>
        <sz val="11"/>
        <color theme="1"/>
        <rFont val="Calibri"/>
        <family val="2"/>
        <scheme val="minor"/>
      </rPr>
      <t xml:space="preserve"> is between 14.46% and 25.54%</t>
    </r>
  </si>
  <si>
    <r>
      <t xml:space="preserve">I am </t>
    </r>
    <r>
      <rPr>
        <u/>
        <sz val="11"/>
        <color theme="1"/>
        <rFont val="Calibri"/>
        <family val="2"/>
        <scheme val="minor"/>
      </rPr>
      <t>95% confident</t>
    </r>
    <r>
      <rPr>
        <sz val="11"/>
        <color theme="1"/>
        <rFont val="Calibri"/>
        <family val="2"/>
        <scheme val="minor"/>
      </rPr>
      <t xml:space="preserve">, that the proportion of all (total population) passengers rating their cruise experience as </t>
    </r>
    <r>
      <rPr>
        <b/>
        <sz val="11"/>
        <color theme="1"/>
        <rFont val="Calibri"/>
        <family val="2"/>
        <scheme val="minor"/>
      </rPr>
      <t>DELIGHTED</t>
    </r>
    <r>
      <rPr>
        <sz val="11"/>
        <color theme="1"/>
        <rFont val="Calibri"/>
        <family val="2"/>
        <scheme val="minor"/>
      </rPr>
      <t xml:space="preserve"> is between 23.18% and 35.82%</t>
    </r>
  </si>
  <si>
    <t>Proportion of Delighted people is more than all other type of band i.e. more rating is between 50 -59</t>
  </si>
  <si>
    <t>probability</t>
  </si>
  <si>
    <t>Summary of total spending according booking type</t>
  </si>
  <si>
    <t>probability &lt; x</t>
  </si>
  <si>
    <t>Summary of total satisfaction according booking type</t>
  </si>
  <si>
    <r>
      <t xml:space="preserve">At a 5% Level of Significance there </t>
    </r>
    <r>
      <rPr>
        <b/>
        <u/>
        <sz val="12"/>
        <color theme="1"/>
        <rFont val="Calibri"/>
        <family val="2"/>
        <scheme val="minor"/>
      </rPr>
      <t>is  sufficient evidenc</t>
    </r>
    <r>
      <rPr>
        <u/>
        <sz val="12"/>
        <color theme="1"/>
        <rFont val="Calibri"/>
        <family val="2"/>
        <scheme val="minor"/>
      </rPr>
      <t>e to support the calim that is the average satisfaction for male has changed in 2011  and it is more than 67</t>
    </r>
  </si>
  <si>
    <t>Descriptive Statistics</t>
  </si>
  <si>
    <t xml:space="preserve">Senior </t>
  </si>
  <si>
    <t xml:space="preserve">Mature </t>
  </si>
  <si>
    <t>Spending Band</t>
  </si>
  <si>
    <t>Column Labels</t>
  </si>
  <si>
    <t>Medium</t>
  </si>
  <si>
    <t>Budget</t>
  </si>
  <si>
    <t>High</t>
  </si>
  <si>
    <t>Premium</t>
  </si>
  <si>
    <t>Pivot &amp; VLOOKUP</t>
  </si>
  <si>
    <t>VLOOKUP</t>
  </si>
  <si>
    <t>Pivot &amp; HLOOKUP</t>
  </si>
  <si>
    <t>Count of Passengers</t>
  </si>
  <si>
    <t>HLOOKUP</t>
  </si>
  <si>
    <t>How many senior member bookings are of the Premium type?</t>
  </si>
  <si>
    <t xml:space="preserve">Sum of total spending by prime member and they are Happy with service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</si>
</sst>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64" formatCode="&quot;$&quot;#,##0.00_);[Red]\(&quot;$&quot;#,##0.00\)"/>
    <numFmt numFmtId="165" formatCode="#,##0.0000"/>
    <numFmt numFmtId="166" formatCode="&quot;$&quot;#,##0.00;\-&quot;$&quot;#,##0.00"/>
    <numFmt numFmtId="167" formatCode="#,##0.0"/>
    <numFmt numFmtId="168" formatCode="#,##0.000"/>
    <numFmt numFmtId="169" formatCode="0.000"/>
  </numFmts>
  <fonts count="30">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b/>
      <sz val="12"/>
      <color theme="1"/>
      <name val="Calibri"/>
      <family val="2"/>
      <scheme val="minor"/>
    </font>
    <font>
      <b/>
      <sz val="11"/>
      <color theme="0"/>
      <name val="Calibri"/>
      <family val="2"/>
      <scheme val="minor"/>
    </font>
    <font>
      <b/>
      <sz val="11"/>
      <color theme="1"/>
      <name val="Calibri"/>
      <family val="2"/>
      <scheme val="minor"/>
    </font>
    <font>
      <b/>
      <i/>
      <sz val="10"/>
      <color theme="1"/>
      <name val="Calibri"/>
      <family val="2"/>
      <scheme val="minor"/>
    </font>
    <font>
      <i/>
      <sz val="10"/>
      <color theme="1"/>
      <name val="Calibri"/>
      <family val="2"/>
      <scheme val="minor"/>
    </font>
    <font>
      <b/>
      <sz val="13"/>
      <color theme="3"/>
      <name val="Calibri"/>
      <family val="2"/>
      <scheme val="minor"/>
    </font>
    <font>
      <i/>
      <sz val="11"/>
      <color theme="1"/>
      <name val="Calibri"/>
      <family val="2"/>
      <scheme val="minor"/>
    </font>
    <font>
      <u/>
      <sz val="12"/>
      <color theme="1"/>
      <name val="Calibri"/>
      <family val="2"/>
      <scheme val="minor"/>
    </font>
    <font>
      <u/>
      <sz val="12"/>
      <name val="Calibri"/>
      <family val="2"/>
      <scheme val="minor"/>
    </font>
    <font>
      <sz val="12"/>
      <name val="Calibri"/>
      <family val="2"/>
      <scheme val="minor"/>
    </font>
    <font>
      <b/>
      <sz val="12"/>
      <name val="Calibri"/>
      <family val="2"/>
      <scheme val="minor"/>
    </font>
    <font>
      <u/>
      <sz val="11"/>
      <color theme="1"/>
      <name val="Calibri"/>
      <family val="2"/>
      <scheme val="minor"/>
    </font>
    <font>
      <sz val="12"/>
      <color theme="1"/>
      <name val="Calibri"/>
      <family val="2"/>
      <scheme val="minor"/>
    </font>
    <font>
      <sz val="12"/>
      <color theme="1"/>
      <name val="Calibri"/>
      <family val="2"/>
    </font>
    <font>
      <sz val="10.8"/>
      <color theme="1"/>
      <name val="Calibri"/>
      <family val="2"/>
    </font>
    <font>
      <b/>
      <sz val="12"/>
      <color theme="1"/>
      <name val="Calibri"/>
      <family val="2"/>
      <scheme val="minor"/>
    </font>
    <font>
      <sz val="12"/>
      <color theme="1"/>
      <name val="Times New Roman"/>
      <family val="1"/>
    </font>
    <font>
      <vertAlign val="subscript"/>
      <sz val="12"/>
      <color theme="1"/>
      <name val="Calibri"/>
      <family val="2"/>
    </font>
    <font>
      <b/>
      <u/>
      <sz val="12"/>
      <color theme="1"/>
      <name val="Calibri"/>
      <family val="2"/>
      <scheme val="minor"/>
    </font>
    <font>
      <b/>
      <sz val="12"/>
      <color theme="1"/>
      <name val="Calibri"/>
      <family val="2"/>
    </font>
    <font>
      <u/>
      <sz val="12"/>
      <color theme="1"/>
      <name val="Calibri"/>
      <family val="2"/>
      <scheme val="minor"/>
    </font>
    <font>
      <sz val="10"/>
      <name val="Arial"/>
      <family val="2"/>
    </font>
    <font>
      <sz val="11"/>
      <color theme="1"/>
      <name val="Calibri"/>
      <family val="2"/>
      <scheme val="minor"/>
    </font>
  </fonts>
  <fills count="7">
    <fill>
      <patternFill patternType="none"/>
    </fill>
    <fill>
      <patternFill patternType="gray125"/>
    </fill>
    <fill>
      <patternFill patternType="solid">
        <fgColor rgb="FF0070C0"/>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rgb="FFFFFF00"/>
        <bgColor indexed="64"/>
      </patternFill>
    </fill>
  </fills>
  <borders count="30">
    <border>
      <left/>
      <right/>
      <top/>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right style="medium">
        <color auto="1"/>
      </right>
      <top style="medium">
        <color auto="1"/>
      </top>
      <bottom/>
      <diagonal/>
    </border>
    <border>
      <left/>
      <right style="medium">
        <color auto="1"/>
      </right>
      <top/>
      <bottom/>
      <diagonal/>
    </border>
    <border>
      <left/>
      <right style="medium">
        <color auto="1"/>
      </right>
      <top/>
      <bottom style="medium">
        <color auto="1"/>
      </bottom>
      <diagonal/>
    </border>
    <border>
      <left style="thin">
        <color theme="5" tint="0.39994506668294322"/>
      </left>
      <right/>
      <top style="thin">
        <color theme="5" tint="0.39994506668294322"/>
      </top>
      <bottom/>
      <diagonal/>
    </border>
    <border>
      <left/>
      <right/>
      <top style="thin">
        <color theme="5" tint="0.39994506668294322"/>
      </top>
      <bottom/>
      <diagonal/>
    </border>
    <border>
      <left/>
      <right style="thin">
        <color theme="5" tint="0.39994506668294322"/>
      </right>
      <top style="thin">
        <color theme="5" tint="0.39994506668294322"/>
      </top>
      <bottom/>
      <diagonal/>
    </border>
    <border>
      <left/>
      <right/>
      <top/>
      <bottom style="thick">
        <color theme="4" tint="0.499984740745262"/>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top style="medium">
        <color indexed="64"/>
      </top>
      <bottom style="thin">
        <color indexed="64"/>
      </bottom>
      <diagonal/>
    </border>
    <border>
      <left/>
      <right style="thick">
        <color indexed="64"/>
      </right>
      <top/>
      <bottom/>
      <diagonal/>
    </border>
    <border>
      <left/>
      <right/>
      <top style="thick">
        <color indexed="64"/>
      </top>
      <bottom/>
      <diagonal/>
    </border>
    <border>
      <left/>
      <right style="thick">
        <color indexed="64"/>
      </right>
      <top style="thick">
        <color indexed="64"/>
      </top>
      <bottom/>
      <diagonal/>
    </border>
    <border>
      <left/>
      <right style="thick">
        <color indexed="64"/>
      </right>
      <top/>
      <bottom style="thick">
        <color indexed="64"/>
      </bottom>
      <diagonal/>
    </border>
    <border>
      <left/>
      <right/>
      <top/>
      <bottom style="thick">
        <color indexed="64"/>
      </bottom>
      <diagonal/>
    </border>
    <border>
      <left style="thick">
        <color indexed="64"/>
      </left>
      <right style="thin">
        <color indexed="64"/>
      </right>
      <top style="thin">
        <color indexed="64"/>
      </top>
      <bottom style="thin">
        <color indexed="64"/>
      </bottom>
      <diagonal/>
    </border>
    <border>
      <left style="thick">
        <color indexed="64"/>
      </left>
      <right/>
      <top/>
      <bottom/>
      <diagonal/>
    </border>
    <border>
      <left/>
      <right style="thin">
        <color indexed="64"/>
      </right>
      <top style="medium">
        <color auto="1"/>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6">
    <xf numFmtId="0" fontId="0" fillId="0" borderId="0"/>
    <xf numFmtId="0" fontId="12" fillId="0" borderId="12" applyNumberFormat="0" applyFill="0" applyAlignment="0" applyProtection="0"/>
    <xf numFmtId="0" fontId="28" fillId="0" borderId="0"/>
    <xf numFmtId="9" fontId="28" fillId="0" borderId="0" applyFont="0" applyFill="0" applyBorder="0" applyAlignment="0" applyProtection="0"/>
    <xf numFmtId="9" fontId="28" fillId="0" borderId="0" applyFont="0" applyFill="0" applyBorder="0" applyAlignment="0" applyProtection="0"/>
    <xf numFmtId="9" fontId="29" fillId="0" borderId="0" applyFont="0" applyFill="0" applyBorder="0" applyAlignment="0" applyProtection="0"/>
  </cellStyleXfs>
  <cellXfs count="155">
    <xf numFmtId="0" fontId="0" fillId="0" borderId="0" xfId="0"/>
    <xf numFmtId="0" fontId="6" fillId="0" borderId="0" xfId="0" applyFont="1" applyAlignment="1">
      <alignment horizontal="left" vertical="center"/>
    </xf>
    <xf numFmtId="0" fontId="6" fillId="0" borderId="0" xfId="0" applyFont="1" applyAlignment="1">
      <alignment horizontal="center" vertical="center"/>
    </xf>
    <xf numFmtId="0" fontId="7" fillId="0" borderId="0" xfId="0" applyFont="1" applyAlignment="1">
      <alignment horizontal="left" vertical="center"/>
    </xf>
    <xf numFmtId="4" fontId="6" fillId="0" borderId="0" xfId="0" applyNumberFormat="1" applyFont="1" applyAlignment="1">
      <alignment horizontal="left" vertical="center"/>
    </xf>
    <xf numFmtId="4" fontId="6" fillId="0" borderId="0" xfId="0" applyNumberFormat="1" applyFont="1" applyAlignment="1">
      <alignment horizontal="center" vertical="center"/>
    </xf>
    <xf numFmtId="4" fontId="7" fillId="0" borderId="0" xfId="0" applyNumberFormat="1" applyFont="1" applyAlignment="1">
      <alignment horizontal="left" vertical="center"/>
    </xf>
    <xf numFmtId="0" fontId="0" fillId="0" borderId="0" xfId="0" applyAlignment="1">
      <alignment vertical="center"/>
    </xf>
    <xf numFmtId="0" fontId="0" fillId="0" borderId="0" xfId="0" applyAlignment="1">
      <alignment horizontal="left" vertical="center"/>
    </xf>
    <xf numFmtId="3" fontId="0" fillId="0" borderId="0" xfId="0" applyNumberFormat="1" applyAlignment="1">
      <alignment horizontal="center" vertical="center" wrapText="1"/>
    </xf>
    <xf numFmtId="4" fontId="0" fillId="0" borderId="0" xfId="0" applyNumberFormat="1" applyAlignment="1">
      <alignment horizontal="center" vertical="center"/>
    </xf>
    <xf numFmtId="0" fontId="0" fillId="0" borderId="0" xfId="0" applyAlignment="1">
      <alignment horizontal="center" vertical="center"/>
    </xf>
    <xf numFmtId="3" fontId="0" fillId="0" borderId="0" xfId="0" applyNumberFormat="1" applyAlignment="1">
      <alignment horizontal="center" vertical="center"/>
    </xf>
    <xf numFmtId="3" fontId="8" fillId="2" borderId="9" xfId="0" applyNumberFormat="1" applyFont="1" applyFill="1" applyBorder="1" applyAlignment="1">
      <alignment horizontal="center" vertical="center" wrapText="1"/>
    </xf>
    <xf numFmtId="3" fontId="8" fillId="2" borderId="10" xfId="0" applyNumberFormat="1" applyFont="1" applyFill="1" applyBorder="1" applyAlignment="1">
      <alignment horizontal="center" vertical="center" wrapText="1"/>
    </xf>
    <xf numFmtId="3" fontId="8" fillId="2" borderId="11" xfId="0" applyNumberFormat="1" applyFont="1" applyFill="1" applyBorder="1" applyAlignment="1">
      <alignment horizontal="center" vertical="center" wrapText="1"/>
    </xf>
    <xf numFmtId="3" fontId="0" fillId="0" borderId="9" xfId="0" applyNumberFormat="1" applyBorder="1" applyAlignment="1">
      <alignment horizontal="center" vertical="center"/>
    </xf>
    <xf numFmtId="4" fontId="9" fillId="0" borderId="0" xfId="0" applyNumberFormat="1" applyFont="1" applyAlignment="1">
      <alignment horizontal="center" vertical="center"/>
    </xf>
    <xf numFmtId="167" fontId="0" fillId="0" borderId="0" xfId="0" applyNumberFormat="1" applyAlignment="1">
      <alignment horizontal="center" vertical="center"/>
    </xf>
    <xf numFmtId="167" fontId="9" fillId="0" borderId="0" xfId="0" applyNumberFormat="1" applyFont="1" applyAlignment="1">
      <alignment horizontal="center" vertical="center"/>
    </xf>
    <xf numFmtId="0" fontId="9" fillId="0" borderId="0" xfId="0" applyFont="1" applyAlignment="1">
      <alignment horizontal="center" vertical="center"/>
    </xf>
    <xf numFmtId="4" fontId="10" fillId="0" borderId="0" xfId="0" applyNumberFormat="1" applyFont="1" applyAlignment="1">
      <alignment horizontal="center" vertical="center"/>
    </xf>
    <xf numFmtId="0" fontId="11" fillId="0" borderId="0" xfId="0" applyFont="1" applyAlignment="1">
      <alignment horizontal="center" vertical="center"/>
    </xf>
    <xf numFmtId="4" fontId="11" fillId="0" borderId="0" xfId="0" applyNumberFormat="1" applyFont="1" applyAlignment="1">
      <alignment horizontal="center" vertical="center"/>
    </xf>
    <xf numFmtId="0" fontId="0" fillId="0" borderId="0" xfId="0" applyFont="1" applyAlignment="1">
      <alignment horizontal="center" vertical="center"/>
    </xf>
    <xf numFmtId="4" fontId="0" fillId="0" borderId="0" xfId="0" applyNumberFormat="1" applyFont="1" applyAlignment="1">
      <alignment horizontal="center" vertical="center"/>
    </xf>
    <xf numFmtId="165" fontId="0" fillId="0" borderId="0" xfId="0" applyNumberFormat="1" applyAlignment="1">
      <alignment horizontal="center" vertical="center"/>
    </xf>
    <xf numFmtId="0" fontId="13" fillId="0" borderId="0" xfId="0" applyFont="1" applyAlignment="1">
      <alignment horizontal="center" vertical="center" wrapText="1"/>
    </xf>
    <xf numFmtId="0" fontId="0" fillId="0" borderId="0" xfId="0" applyAlignment="1">
      <alignment vertical="center" wrapText="1"/>
    </xf>
    <xf numFmtId="168" fontId="6" fillId="0" borderId="0" xfId="0" applyNumberFormat="1" applyFont="1" applyAlignment="1">
      <alignment horizontal="center" vertical="center"/>
    </xf>
    <xf numFmtId="3" fontId="6" fillId="0" borderId="13" xfId="0" applyNumberFormat="1" applyFont="1" applyBorder="1" applyAlignment="1">
      <alignment horizontal="center" vertical="center"/>
    </xf>
    <xf numFmtId="168" fontId="7" fillId="0" borderId="0" xfId="0" applyNumberFormat="1" applyFont="1" applyAlignment="1">
      <alignment horizontal="left" vertical="center"/>
    </xf>
    <xf numFmtId="168" fontId="6" fillId="0" borderId="1" xfId="0" applyNumberFormat="1" applyFont="1" applyBorder="1" applyAlignment="1">
      <alignment horizontal="center" vertical="center"/>
    </xf>
    <xf numFmtId="168" fontId="6" fillId="0" borderId="2" xfId="0" applyNumberFormat="1" applyFont="1" applyBorder="1" applyAlignment="1">
      <alignment horizontal="center" vertical="center"/>
    </xf>
    <xf numFmtId="168" fontId="6" fillId="0" borderId="6" xfId="0" applyNumberFormat="1" applyFont="1" applyBorder="1" applyAlignment="1">
      <alignment horizontal="center" vertical="center"/>
    </xf>
    <xf numFmtId="168" fontId="6" fillId="0" borderId="3" xfId="0" applyNumberFormat="1" applyFont="1" applyBorder="1" applyAlignment="1">
      <alignment horizontal="center" vertical="center"/>
    </xf>
    <xf numFmtId="168" fontId="6" fillId="0" borderId="7" xfId="0" applyNumberFormat="1" applyFont="1" applyBorder="1" applyAlignment="1">
      <alignment horizontal="center" vertical="center"/>
    </xf>
    <xf numFmtId="168" fontId="6" fillId="0" borderId="0" xfId="0" applyNumberFormat="1" applyFont="1" applyAlignment="1">
      <alignment horizontal="left" vertical="center"/>
    </xf>
    <xf numFmtId="168" fontId="6" fillId="0" borderId="4" xfId="0" applyNumberFormat="1" applyFont="1" applyBorder="1" applyAlignment="1">
      <alignment horizontal="center" vertical="center"/>
    </xf>
    <xf numFmtId="168" fontId="6" fillId="0" borderId="5" xfId="0" applyNumberFormat="1" applyFont="1" applyBorder="1" applyAlignment="1">
      <alignment horizontal="center" vertical="center"/>
    </xf>
    <xf numFmtId="168" fontId="6" fillId="0" borderId="8" xfId="0" applyNumberFormat="1" applyFont="1" applyBorder="1" applyAlignment="1">
      <alignment horizontal="center" vertical="center"/>
    </xf>
    <xf numFmtId="168" fontId="6" fillId="0" borderId="0" xfId="0" applyNumberFormat="1" applyFont="1" applyBorder="1" applyAlignment="1">
      <alignment horizontal="center" vertical="center"/>
    </xf>
    <xf numFmtId="168" fontId="7" fillId="0" borderId="0" xfId="0" applyNumberFormat="1" applyFont="1" applyAlignment="1">
      <alignment horizontal="center" vertical="center"/>
    </xf>
    <xf numFmtId="168" fontId="19" fillId="0" borderId="0" xfId="0" applyNumberFormat="1" applyFont="1" applyAlignment="1">
      <alignment horizontal="center" vertical="center"/>
    </xf>
    <xf numFmtId="168" fontId="5" fillId="0" borderId="0" xfId="0" applyNumberFormat="1" applyFont="1" applyAlignment="1">
      <alignment horizontal="center" vertical="center" wrapText="1"/>
    </xf>
    <xf numFmtId="168" fontId="19" fillId="0" borderId="13" xfId="0" applyNumberFormat="1" applyFont="1" applyBorder="1" applyAlignment="1">
      <alignment horizontal="left" vertical="center"/>
    </xf>
    <xf numFmtId="168" fontId="6" fillId="0" borderId="13" xfId="0" applyNumberFormat="1" applyFont="1" applyBorder="1" applyAlignment="1">
      <alignment horizontal="center" vertical="center"/>
    </xf>
    <xf numFmtId="168" fontId="0" fillId="0" borderId="0" xfId="0" applyNumberFormat="1" applyAlignment="1">
      <alignment horizontal="center" vertical="center"/>
    </xf>
    <xf numFmtId="168" fontId="19" fillId="0" borderId="13" xfId="0" applyNumberFormat="1" applyFont="1" applyBorder="1" applyAlignment="1">
      <alignment horizontal="center" vertical="center"/>
    </xf>
    <xf numFmtId="168" fontId="19" fillId="0" borderId="0" xfId="0" applyNumberFormat="1" applyFont="1" applyAlignment="1">
      <alignment horizontal="left" vertical="center"/>
    </xf>
    <xf numFmtId="168" fontId="6" fillId="0" borderId="13" xfId="0" applyNumberFormat="1" applyFont="1" applyBorder="1" applyAlignment="1">
      <alignment horizontal="left" vertical="center"/>
    </xf>
    <xf numFmtId="168" fontId="6" fillId="0" borderId="14" xfId="0" applyNumberFormat="1" applyFont="1" applyBorder="1" applyAlignment="1">
      <alignment horizontal="center" vertical="center"/>
    </xf>
    <xf numFmtId="168" fontId="22" fillId="0" borderId="1" xfId="0" applyNumberFormat="1" applyFont="1" applyBorder="1" applyAlignment="1">
      <alignment horizontal="left" vertical="center"/>
    </xf>
    <xf numFmtId="168" fontId="22" fillId="0" borderId="2" xfId="0" applyNumberFormat="1" applyFont="1" applyBorder="1" applyAlignment="1">
      <alignment horizontal="center" vertical="center"/>
    </xf>
    <xf numFmtId="168" fontId="22" fillId="0" borderId="13" xfId="0" applyNumberFormat="1" applyFont="1" applyBorder="1" applyAlignment="1">
      <alignment horizontal="center" vertical="center"/>
    </xf>
    <xf numFmtId="0" fontId="23" fillId="0" borderId="0" xfId="0" applyFont="1" applyAlignment="1">
      <alignment vertical="center"/>
    </xf>
    <xf numFmtId="168" fontId="6" fillId="0" borderId="0" xfId="0" applyNumberFormat="1" applyFont="1" applyAlignment="1">
      <alignment horizontal="right" vertical="center"/>
    </xf>
    <xf numFmtId="168" fontId="5" fillId="0" borderId="0" xfId="0" applyNumberFormat="1" applyFont="1" applyAlignment="1">
      <alignment horizontal="left" vertical="top" wrapText="1"/>
    </xf>
    <xf numFmtId="0" fontId="5" fillId="0" borderId="0" xfId="0" applyFont="1" applyAlignment="1">
      <alignment vertical="center" wrapText="1"/>
    </xf>
    <xf numFmtId="168" fontId="0" fillId="0" borderId="0" xfId="0" applyNumberFormat="1"/>
    <xf numFmtId="168" fontId="22" fillId="0" borderId="13" xfId="0" applyNumberFormat="1" applyFont="1" applyBorder="1" applyAlignment="1">
      <alignment horizontal="left" vertical="center"/>
    </xf>
    <xf numFmtId="168" fontId="19" fillId="0" borderId="3" xfId="0" applyNumberFormat="1" applyFont="1" applyBorder="1" applyAlignment="1">
      <alignment horizontal="center" vertical="center"/>
    </xf>
    <xf numFmtId="3" fontId="22" fillId="0" borderId="13" xfId="0" applyNumberFormat="1" applyFont="1" applyBorder="1" applyAlignment="1">
      <alignment horizontal="center" vertical="center"/>
    </xf>
    <xf numFmtId="168" fontId="5" fillId="0" borderId="0" xfId="0" applyNumberFormat="1" applyFont="1"/>
    <xf numFmtId="168" fontId="0" fillId="0" borderId="0" xfId="0" applyNumberFormat="1" applyAlignment="1">
      <alignment vertical="center"/>
    </xf>
    <xf numFmtId="168" fontId="23" fillId="0" borderId="0" xfId="0" applyNumberFormat="1" applyFont="1" applyAlignment="1">
      <alignment vertical="center"/>
    </xf>
    <xf numFmtId="168" fontId="26" fillId="0" borderId="13" xfId="0" applyNumberFormat="1" applyFont="1" applyBorder="1" applyAlignment="1">
      <alignment horizontal="center" vertical="center"/>
    </xf>
    <xf numFmtId="168" fontId="19" fillId="0" borderId="14" xfId="0" applyNumberFormat="1" applyFont="1" applyBorder="1" applyAlignment="1">
      <alignment horizontal="left" vertical="center"/>
    </xf>
    <xf numFmtId="168" fontId="27" fillId="0" borderId="0" xfId="0" applyNumberFormat="1" applyFont="1" applyAlignment="1">
      <alignment horizontal="left" vertical="center"/>
    </xf>
    <xf numFmtId="168" fontId="14" fillId="0" borderId="0" xfId="0" applyNumberFormat="1" applyFont="1" applyAlignment="1">
      <alignment horizontal="left" vertical="center"/>
    </xf>
    <xf numFmtId="168" fontId="6" fillId="0" borderId="14" xfId="0" applyNumberFormat="1" applyFont="1" applyBorder="1" applyAlignment="1">
      <alignment horizontal="left" vertical="center"/>
    </xf>
    <xf numFmtId="0" fontId="0" fillId="0" borderId="0" xfId="0" pivotButton="1"/>
    <xf numFmtId="0" fontId="0" fillId="0" borderId="0" xfId="0" applyAlignment="1">
      <alignment horizontal="left"/>
    </xf>
    <xf numFmtId="0" fontId="0" fillId="0" borderId="0" xfId="0" applyNumberFormat="1"/>
    <xf numFmtId="1" fontId="0" fillId="0" borderId="0" xfId="0" applyNumberFormat="1"/>
    <xf numFmtId="3" fontId="0" fillId="0" borderId="0" xfId="0" applyNumberFormat="1" applyAlignment="1">
      <alignment horizontal="left"/>
    </xf>
    <xf numFmtId="4" fontId="6" fillId="3" borderId="1" xfId="0" applyNumberFormat="1" applyFont="1" applyFill="1" applyBorder="1" applyAlignment="1">
      <alignment horizontal="center" vertical="center"/>
    </xf>
    <xf numFmtId="4" fontId="6" fillId="3" borderId="2" xfId="0" applyNumberFormat="1" applyFont="1" applyFill="1" applyBorder="1" applyAlignment="1">
      <alignment horizontal="center" vertical="center"/>
    </xf>
    <xf numFmtId="4" fontId="6" fillId="3" borderId="6" xfId="0" applyNumberFormat="1" applyFont="1" applyFill="1" applyBorder="1" applyAlignment="1">
      <alignment horizontal="center" vertical="center"/>
    </xf>
    <xf numFmtId="4" fontId="6" fillId="3" borderId="3" xfId="0" applyNumberFormat="1" applyFont="1" applyFill="1" applyBorder="1" applyAlignment="1">
      <alignment horizontal="center" vertical="center"/>
    </xf>
    <xf numFmtId="4" fontId="6" fillId="3" borderId="0" xfId="0" applyNumberFormat="1" applyFont="1" applyFill="1" applyAlignment="1">
      <alignment horizontal="center" vertical="center"/>
    </xf>
    <xf numFmtId="4" fontId="6" fillId="3" borderId="7" xfId="0" applyNumberFormat="1" applyFont="1" applyFill="1" applyBorder="1" applyAlignment="1">
      <alignment horizontal="center" vertical="center"/>
    </xf>
    <xf numFmtId="0" fontId="6" fillId="3" borderId="0" xfId="0" applyFont="1" applyFill="1" applyAlignment="1">
      <alignment horizontal="center" vertical="center"/>
    </xf>
    <xf numFmtId="166" fontId="6" fillId="3" borderId="0" xfId="0" applyNumberFormat="1" applyFont="1" applyFill="1" applyAlignment="1">
      <alignment horizontal="center" vertical="center"/>
    </xf>
    <xf numFmtId="4" fontId="6" fillId="3" borderId="4" xfId="0" applyNumberFormat="1" applyFont="1" applyFill="1" applyBorder="1" applyAlignment="1">
      <alignment horizontal="center" vertical="center"/>
    </xf>
    <xf numFmtId="4" fontId="6" fillId="3" borderId="5" xfId="0" applyNumberFormat="1" applyFont="1" applyFill="1" applyBorder="1" applyAlignment="1">
      <alignment horizontal="center" vertical="center"/>
    </xf>
    <xf numFmtId="4" fontId="6" fillId="3" borderId="8" xfId="0" applyNumberFormat="1" applyFont="1" applyFill="1" applyBorder="1" applyAlignment="1">
      <alignment horizontal="center" vertical="center"/>
    </xf>
    <xf numFmtId="168" fontId="4" fillId="0" borderId="0" xfId="0" applyNumberFormat="1" applyFont="1" applyAlignment="1">
      <alignment horizontal="left" vertical="center"/>
    </xf>
    <xf numFmtId="49" fontId="8" fillId="2" borderId="10" xfId="0" applyNumberFormat="1" applyFont="1" applyFill="1" applyBorder="1" applyAlignment="1">
      <alignment horizontal="center" vertical="center" wrapText="1"/>
    </xf>
    <xf numFmtId="168" fontId="6" fillId="0" borderId="16" xfId="0" applyNumberFormat="1" applyFont="1" applyBorder="1" applyAlignment="1">
      <alignment horizontal="center" vertical="center"/>
    </xf>
    <xf numFmtId="168" fontId="6" fillId="0" borderId="17" xfId="0" applyNumberFormat="1" applyFont="1" applyBorder="1" applyAlignment="1">
      <alignment horizontal="center" vertical="center"/>
    </xf>
    <xf numFmtId="168" fontId="6" fillId="0" borderId="18" xfId="0" applyNumberFormat="1" applyFont="1" applyBorder="1" applyAlignment="1">
      <alignment horizontal="center" vertical="center"/>
    </xf>
    <xf numFmtId="168" fontId="6" fillId="0" borderId="20" xfId="0" applyNumberFormat="1" applyFont="1" applyBorder="1" applyAlignment="1">
      <alignment horizontal="center" vertical="center"/>
    </xf>
    <xf numFmtId="168" fontId="6" fillId="0" borderId="19" xfId="0" applyNumberFormat="1" applyFont="1" applyBorder="1" applyAlignment="1">
      <alignment horizontal="center" vertical="center"/>
    </xf>
    <xf numFmtId="168" fontId="6" fillId="0" borderId="22" xfId="0" applyNumberFormat="1" applyFont="1" applyBorder="1" applyAlignment="1">
      <alignment horizontal="center" vertical="center"/>
    </xf>
    <xf numFmtId="168" fontId="22" fillId="5" borderId="21" xfId="0" applyNumberFormat="1" applyFont="1" applyFill="1" applyBorder="1" applyAlignment="1">
      <alignment horizontal="center" vertical="center"/>
    </xf>
    <xf numFmtId="168" fontId="22" fillId="4" borderId="21" xfId="0" applyNumberFormat="1" applyFont="1" applyFill="1" applyBorder="1" applyAlignment="1">
      <alignment horizontal="center" vertical="center"/>
    </xf>
    <xf numFmtId="168" fontId="22" fillId="4" borderId="13" xfId="0" applyNumberFormat="1" applyFont="1" applyFill="1" applyBorder="1" applyAlignment="1">
      <alignment horizontal="center" vertical="center"/>
    </xf>
    <xf numFmtId="164" fontId="7" fillId="5" borderId="13" xfId="0" applyNumberFormat="1" applyFont="1" applyFill="1" applyBorder="1" applyAlignment="1">
      <alignment horizontal="center" vertical="center"/>
    </xf>
    <xf numFmtId="168" fontId="22" fillId="0" borderId="23" xfId="0" applyNumberFormat="1" applyFont="1" applyBorder="1" applyAlignment="1">
      <alignment horizontal="center" vertical="center"/>
    </xf>
    <xf numFmtId="168" fontId="19" fillId="5" borderId="13" xfId="0" applyNumberFormat="1" applyFont="1" applyFill="1" applyBorder="1" applyAlignment="1">
      <alignment horizontal="center" vertical="center"/>
    </xf>
    <xf numFmtId="168" fontId="6" fillId="5" borderId="13" xfId="0" applyNumberFormat="1" applyFont="1" applyFill="1" applyBorder="1" applyAlignment="1">
      <alignment horizontal="center" vertical="center"/>
    </xf>
    <xf numFmtId="168" fontId="6" fillId="5" borderId="13" xfId="0" applyNumberFormat="1" applyFont="1" applyFill="1" applyBorder="1" applyAlignment="1">
      <alignment horizontal="left" vertical="center"/>
    </xf>
    <xf numFmtId="168" fontId="19" fillId="4" borderId="13" xfId="0" applyNumberFormat="1" applyFont="1" applyFill="1" applyBorder="1" applyAlignment="1">
      <alignment horizontal="center" vertical="center"/>
    </xf>
    <xf numFmtId="168" fontId="6" fillId="4" borderId="13" xfId="0" applyNumberFormat="1" applyFont="1" applyFill="1" applyBorder="1" applyAlignment="1">
      <alignment horizontal="center" vertical="center"/>
    </xf>
    <xf numFmtId="10" fontId="6" fillId="5" borderId="13" xfId="5" applyNumberFormat="1" applyFont="1" applyFill="1" applyBorder="1" applyAlignment="1">
      <alignment horizontal="left" vertical="center"/>
    </xf>
    <xf numFmtId="10" fontId="6" fillId="4" borderId="13" xfId="5" applyNumberFormat="1" applyFont="1" applyFill="1" applyBorder="1" applyAlignment="1">
      <alignment horizontal="center" vertical="center"/>
    </xf>
    <xf numFmtId="168" fontId="19" fillId="4" borderId="13" xfId="0" applyNumberFormat="1" applyFont="1" applyFill="1" applyBorder="1" applyAlignment="1">
      <alignment horizontal="left" vertical="center"/>
    </xf>
    <xf numFmtId="10" fontId="6" fillId="5" borderId="13" xfId="5" applyNumberFormat="1" applyFont="1" applyFill="1" applyBorder="1" applyAlignment="1">
      <alignment horizontal="center" vertical="center"/>
    </xf>
    <xf numFmtId="168" fontId="19" fillId="5" borderId="13" xfId="0" applyNumberFormat="1" applyFont="1" applyFill="1" applyBorder="1" applyAlignment="1">
      <alignment horizontal="left" vertical="center"/>
    </xf>
    <xf numFmtId="168" fontId="6" fillId="4" borderId="13" xfId="0" applyNumberFormat="1" applyFont="1" applyFill="1" applyBorder="1" applyAlignment="1">
      <alignment horizontal="left" vertical="center"/>
    </xf>
    <xf numFmtId="3" fontId="6" fillId="5" borderId="13" xfId="0" applyNumberFormat="1" applyFont="1" applyFill="1" applyBorder="1" applyAlignment="1">
      <alignment horizontal="center" vertical="center"/>
    </xf>
    <xf numFmtId="0" fontId="3" fillId="0" borderId="0" xfId="0" applyFont="1"/>
    <xf numFmtId="0" fontId="0" fillId="0" borderId="0" xfId="0" applyFill="1" applyBorder="1" applyAlignment="1"/>
    <xf numFmtId="0" fontId="0" fillId="0" borderId="5" xfId="0" applyFill="1" applyBorder="1" applyAlignment="1"/>
    <xf numFmtId="0" fontId="13" fillId="0" borderId="15" xfId="0" applyFont="1" applyFill="1" applyBorder="1" applyAlignment="1">
      <alignment horizontal="center"/>
    </xf>
    <xf numFmtId="3" fontId="0" fillId="0" borderId="0" xfId="0" applyNumberFormat="1" applyBorder="1" applyAlignment="1">
      <alignment horizontal="center" vertical="center"/>
    </xf>
    <xf numFmtId="4" fontId="11" fillId="0" borderId="0" xfId="0" applyNumberFormat="1" applyFont="1" applyBorder="1" applyAlignment="1">
      <alignment horizontal="center" vertical="center"/>
    </xf>
    <xf numFmtId="4" fontId="0" fillId="0" borderId="0" xfId="0" applyNumberFormat="1" applyBorder="1" applyAlignment="1">
      <alignment horizontal="center" vertical="center"/>
    </xf>
    <xf numFmtId="167" fontId="0" fillId="0" borderId="0" xfId="0" applyNumberFormat="1" applyBorder="1" applyAlignment="1">
      <alignment horizontal="center" vertical="center"/>
    </xf>
    <xf numFmtId="4" fontId="10" fillId="0" borderId="0" xfId="0" applyNumberFormat="1" applyFont="1" applyBorder="1" applyAlignment="1">
      <alignment horizontal="center" vertical="center"/>
    </xf>
    <xf numFmtId="0" fontId="9" fillId="0" borderId="0" xfId="0" applyFont="1" applyBorder="1" applyAlignment="1">
      <alignment horizontal="center" vertical="center"/>
    </xf>
    <xf numFmtId="4" fontId="9" fillId="0" borderId="0" xfId="0" applyNumberFormat="1" applyFont="1" applyBorder="1" applyAlignment="1">
      <alignment horizontal="center" vertical="center"/>
    </xf>
    <xf numFmtId="0" fontId="0" fillId="0" borderId="0" xfId="0" applyBorder="1" applyAlignment="1">
      <alignment horizontal="center" vertical="center"/>
    </xf>
    <xf numFmtId="0" fontId="3" fillId="0" borderId="0" xfId="0" applyFont="1" applyFill="1" applyBorder="1" applyAlignment="1"/>
    <xf numFmtId="0" fontId="13" fillId="0" borderId="13" xfId="0" applyFont="1" applyFill="1" applyBorder="1" applyAlignment="1">
      <alignment horizontal="center"/>
    </xf>
    <xf numFmtId="0" fontId="0" fillId="0" borderId="13" xfId="0" applyFill="1" applyBorder="1" applyAlignment="1"/>
    <xf numFmtId="169" fontId="0" fillId="0" borderId="13" xfId="0" applyNumberFormat="1" applyFill="1" applyBorder="1" applyAlignment="1"/>
    <xf numFmtId="0" fontId="2" fillId="0" borderId="1" xfId="0" applyFont="1" applyBorder="1"/>
    <xf numFmtId="0" fontId="0" fillId="0" borderId="2" xfId="0" applyBorder="1"/>
    <xf numFmtId="0" fontId="0" fillId="0" borderId="6" xfId="0" applyBorder="1"/>
    <xf numFmtId="0" fontId="0" fillId="0" borderId="3" xfId="0" applyBorder="1"/>
    <xf numFmtId="0" fontId="0" fillId="0" borderId="0" xfId="0" applyBorder="1"/>
    <xf numFmtId="0" fontId="0" fillId="0" borderId="7" xfId="0" applyBorder="1"/>
    <xf numFmtId="0" fontId="0" fillId="0" borderId="3" xfId="0" pivotButton="1" applyBorder="1"/>
    <xf numFmtId="0" fontId="0" fillId="0" borderId="0" xfId="0" pivotButton="1" applyBorder="1"/>
    <xf numFmtId="0" fontId="0" fillId="0" borderId="3" xfId="0" applyBorder="1" applyAlignment="1">
      <alignment horizontal="left"/>
    </xf>
    <xf numFmtId="0" fontId="0" fillId="0" borderId="0" xfId="0" applyNumberFormat="1" applyBorder="1"/>
    <xf numFmtId="0" fontId="2" fillId="0" borderId="0" xfId="0" applyFont="1" applyBorder="1"/>
    <xf numFmtId="0" fontId="0" fillId="0" borderId="4" xfId="0" applyBorder="1"/>
    <xf numFmtId="0" fontId="0" fillId="0" borderId="5" xfId="0" applyBorder="1"/>
    <xf numFmtId="0" fontId="0" fillId="0" borderId="8" xfId="0" applyBorder="1"/>
    <xf numFmtId="0" fontId="12" fillId="0" borderId="12" xfId="1" applyAlignment="1">
      <alignment horizontal="left" vertical="center"/>
    </xf>
    <xf numFmtId="168" fontId="6" fillId="0" borderId="24" xfId="0" applyNumberFormat="1" applyFont="1" applyBorder="1" applyAlignment="1">
      <alignment horizontal="center" vertical="center"/>
    </xf>
    <xf numFmtId="168" fontId="19" fillId="0" borderId="25" xfId="0" applyNumberFormat="1" applyFont="1" applyBorder="1" applyAlignment="1">
      <alignment horizontal="center" vertical="center"/>
    </xf>
    <xf numFmtId="168" fontId="19" fillId="0" borderId="26" xfId="0" applyNumberFormat="1" applyFont="1" applyBorder="1" applyAlignment="1">
      <alignment horizontal="center" vertical="center"/>
    </xf>
    <xf numFmtId="0" fontId="9" fillId="6" borderId="1" xfId="0" applyFont="1" applyFill="1" applyBorder="1" applyAlignment="1">
      <alignment horizontal="center" vertical="center"/>
    </xf>
    <xf numFmtId="0" fontId="9" fillId="6" borderId="2" xfId="0" applyFont="1" applyFill="1" applyBorder="1" applyAlignment="1">
      <alignment horizontal="center" vertical="center"/>
    </xf>
    <xf numFmtId="0" fontId="9" fillId="6" borderId="6" xfId="0" applyFont="1" applyFill="1" applyBorder="1" applyAlignment="1">
      <alignment horizontal="center" vertical="center"/>
    </xf>
    <xf numFmtId="0" fontId="9" fillId="6" borderId="4" xfId="0" applyFont="1" applyFill="1" applyBorder="1" applyAlignment="1">
      <alignment horizontal="center" vertical="center"/>
    </xf>
    <xf numFmtId="0" fontId="9" fillId="6" borderId="5" xfId="0" applyFont="1" applyFill="1" applyBorder="1" applyAlignment="1">
      <alignment horizontal="center" vertical="center"/>
    </xf>
    <xf numFmtId="0" fontId="9" fillId="6" borderId="8" xfId="0" applyFont="1" applyFill="1" applyBorder="1" applyAlignment="1">
      <alignment horizontal="center" vertical="center"/>
    </xf>
    <xf numFmtId="0" fontId="2" fillId="0" borderId="27" xfId="0" applyFont="1" applyBorder="1" applyAlignment="1">
      <alignment horizontal="center"/>
    </xf>
    <xf numFmtId="0" fontId="2" fillId="0" borderId="28" xfId="0" applyFont="1" applyBorder="1" applyAlignment="1">
      <alignment horizontal="center"/>
    </xf>
    <xf numFmtId="0" fontId="2" fillId="0" borderId="29" xfId="0" applyFont="1" applyBorder="1" applyAlignment="1">
      <alignment horizontal="center"/>
    </xf>
  </cellXfs>
  <cellStyles count="6">
    <cellStyle name="Heading 2" xfId="1" builtinId="17"/>
    <cellStyle name="Normal" xfId="0" builtinId="0"/>
    <cellStyle name="Normal 3 2" xfId="2"/>
    <cellStyle name="Percent" xfId="5" builtinId="5"/>
    <cellStyle name="Percent 2" xfId="3"/>
    <cellStyle name="Percent 3 2" xfId="4"/>
  </cellStyles>
  <dxfs count="22">
    <dxf>
      <numFmt numFmtId="1" formatCode="0"/>
    </dxf>
    <dxf>
      <numFmt numFmtId="1"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s>
  <tableStyles count="0" defaultTableStyle="TableStyleMedium2" defaultPivotStyle="PivotStyleLight16"/>
  <colors>
    <mruColors>
      <color rgb="FFFF00FF"/>
      <color rgb="FFFF9933"/>
      <color rgb="FFFFFF00"/>
      <color rgb="FFFF99FF"/>
      <color rgb="FF66FF66"/>
      <color rgb="FF00FFFF"/>
      <color rgb="FF66FF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r>
              <a:rPr lang="en-US"/>
              <a:t>Bar</a:t>
            </a:r>
            <a:r>
              <a:rPr lang="en-US" baseline="0"/>
              <a:t> plot of average t</a:t>
            </a:r>
            <a:r>
              <a:rPr lang="en-US"/>
              <a:t>otal spending</a:t>
            </a:r>
          </a:p>
        </c:rich>
      </c:tx>
      <c:layout/>
      <c:overlay val="0"/>
      <c:spPr>
        <a:noFill/>
        <a:ln>
          <a:noFill/>
        </a:ln>
        <a:effectLst/>
      </c:spPr>
      <c:txPr>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endParaRPr lang="en-US"/>
        </a:p>
      </c:txPr>
    </c:title>
    <c:autoTitleDeleted val="0"/>
    <c:plotArea>
      <c:layout/>
      <c:barChart>
        <c:barDir val="col"/>
        <c:grouping val="clustered"/>
        <c:varyColors val="0"/>
        <c:ser>
          <c:idx val="0"/>
          <c:order val="0"/>
          <c:tx>
            <c:strRef>
              <c:f>'1'!$M$50</c:f>
              <c:strCache>
                <c:ptCount val="1"/>
                <c:pt idx="0">
                  <c:v>Average Total Spending</c:v>
                </c:pt>
              </c:strCache>
            </c:strRef>
          </c:tx>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'1'!$K$51:$K$55</c:f>
              <c:strCache>
                <c:ptCount val="5"/>
                <c:pt idx="0">
                  <c:v>Young</c:v>
                </c:pt>
                <c:pt idx="1">
                  <c:v>Core</c:v>
                </c:pt>
                <c:pt idx="2">
                  <c:v>Prime</c:v>
                </c:pt>
                <c:pt idx="3">
                  <c:v>Mature</c:v>
                </c:pt>
                <c:pt idx="4">
                  <c:v>Senior</c:v>
                </c:pt>
              </c:strCache>
            </c:strRef>
          </c:cat>
          <c:val>
            <c:numRef>
              <c:f>'1'!$M$51:$M$55</c:f>
              <c:numCache>
                <c:formatCode>#,##0.000</c:formatCode>
                <c:ptCount val="5"/>
                <c:pt idx="0">
                  <c:v>2382.8571428571427</c:v>
                </c:pt>
                <c:pt idx="1">
                  <c:v>2953.4918032786886</c:v>
                </c:pt>
                <c:pt idx="2">
                  <c:v>3010.5</c:v>
                </c:pt>
                <c:pt idx="3">
                  <c:v>3355.9555555555557</c:v>
                </c:pt>
                <c:pt idx="4">
                  <c:v>3396.8421052631579</c:v>
                </c:pt>
              </c:numCache>
            </c:numRef>
          </c:val>
          <c:extLst>
            <c:ext xmlns:c16="http://schemas.microsoft.com/office/drawing/2014/chart" uri="{C3380CC4-5D6E-409C-BE32-E72D297353CC}">
              <c16:uniqueId val="{00000000-7395-4409-B41C-69315650CAA6}"/>
            </c:ext>
          </c:extLst>
        </c:ser>
        <c:dLbls>
          <c:dLblPos val="inEnd"/>
          <c:showLegendKey val="0"/>
          <c:showVal val="1"/>
          <c:showCatName val="0"/>
          <c:showSerName val="0"/>
          <c:showPercent val="0"/>
          <c:showBubbleSize val="0"/>
        </c:dLbls>
        <c:gapWidth val="41"/>
        <c:axId val="1739466208"/>
        <c:axId val="1739468384"/>
      </c:barChart>
      <c:catAx>
        <c:axId val="1739466208"/>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sz="1200"/>
                  <a:t>Age Band  </a:t>
                </a:r>
              </a:p>
            </c:rich>
          </c:tx>
          <c:layout>
            <c:manualLayout>
              <c:xMode val="edge"/>
              <c:yMode val="edge"/>
              <c:x val="0.45909711286089239"/>
              <c:y val="0.88432852143482066"/>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n-US"/>
          </a:p>
        </c:txPr>
        <c:crossAx val="1739468384"/>
        <c:crosses val="autoZero"/>
        <c:auto val="1"/>
        <c:lblAlgn val="ctr"/>
        <c:lblOffset val="100"/>
        <c:noMultiLvlLbl val="0"/>
      </c:catAx>
      <c:valAx>
        <c:axId val="1739468384"/>
        <c:scaling>
          <c:orientation val="minMax"/>
        </c:scaling>
        <c:delete val="1"/>
        <c:axPos val="l"/>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sz="1200"/>
                  <a:t>Average Total Spending</a:t>
                </a:r>
              </a:p>
            </c:rich>
          </c:tx>
          <c:layout/>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title>
        <c:numFmt formatCode="#,##0.000" sourceLinked="1"/>
        <c:majorTickMark val="none"/>
        <c:minorTickMark val="none"/>
        <c:tickLblPos val="nextTo"/>
        <c:crossAx val="1739466208"/>
        <c:crosses val="autoZero"/>
        <c:crossBetween val="between"/>
      </c:valAx>
      <c:spPr>
        <a:noFill/>
        <a:ln>
          <a:noFill/>
        </a:ln>
        <a:effectLst/>
      </c:spPr>
    </c:plotArea>
    <c:plotVisOnly val="1"/>
    <c:dispBlanksAs val="gap"/>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Boxplot of</a:t>
            </a:r>
            <a:r>
              <a:rPr lang="en-US" baseline="0"/>
              <a:t> Total spending</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tx>
            <c:strRef>
              <c:f>'1'!$J$33</c:f>
              <c:strCache>
                <c:ptCount val="1"/>
                <c:pt idx="0">
                  <c:v>min</c:v>
                </c:pt>
              </c:strCache>
            </c:strRef>
          </c:tx>
          <c:spPr>
            <a:noFill/>
            <a:ln>
              <a:noFill/>
            </a:ln>
            <a:effectLst/>
          </c:spPr>
          <c:invertIfNegative val="0"/>
          <c:val>
            <c:numRef>
              <c:f>'1'!$K$33</c:f>
              <c:numCache>
                <c:formatCode>#,##0.000</c:formatCode>
                <c:ptCount val="1"/>
                <c:pt idx="0">
                  <c:v>903</c:v>
                </c:pt>
              </c:numCache>
            </c:numRef>
          </c:val>
          <c:extLst>
            <c:ext xmlns:c16="http://schemas.microsoft.com/office/drawing/2014/chart" uri="{C3380CC4-5D6E-409C-BE32-E72D297353CC}">
              <c16:uniqueId val="{00000000-0158-4887-A795-BFB23DC24307}"/>
            </c:ext>
          </c:extLst>
        </c:ser>
        <c:ser>
          <c:idx val="1"/>
          <c:order val="1"/>
          <c:tx>
            <c:strRef>
              <c:f>'1'!$J$34</c:f>
              <c:strCache>
                <c:ptCount val="1"/>
                <c:pt idx="0">
                  <c:v>Q1</c:v>
                </c:pt>
              </c:strCache>
            </c:strRef>
          </c:tx>
          <c:spPr>
            <a:noFill/>
            <a:ln>
              <a:noFill/>
            </a:ln>
            <a:effectLst/>
          </c:spPr>
          <c:invertIfNegative val="0"/>
          <c:errBars>
            <c:errBarType val="minus"/>
            <c:errValType val="fixedVal"/>
            <c:noEndCap val="0"/>
            <c:val val="1367.25"/>
            <c:spPr>
              <a:noFill/>
              <a:ln w="9525" cap="flat" cmpd="sng" algn="ctr">
                <a:solidFill>
                  <a:schemeClr val="tx1">
                    <a:lumMod val="65000"/>
                    <a:lumOff val="35000"/>
                  </a:schemeClr>
                </a:solidFill>
                <a:round/>
              </a:ln>
              <a:effectLst/>
            </c:spPr>
          </c:errBars>
          <c:val>
            <c:numRef>
              <c:f>'1'!$K$34</c:f>
              <c:numCache>
                <c:formatCode>#,##0.000</c:formatCode>
                <c:ptCount val="1"/>
                <c:pt idx="0">
                  <c:v>2270.25</c:v>
                </c:pt>
              </c:numCache>
            </c:numRef>
          </c:val>
          <c:extLst>
            <c:ext xmlns:c16="http://schemas.microsoft.com/office/drawing/2014/chart" uri="{C3380CC4-5D6E-409C-BE32-E72D297353CC}">
              <c16:uniqueId val="{00000001-0158-4887-A795-BFB23DC24307}"/>
            </c:ext>
          </c:extLst>
        </c:ser>
        <c:ser>
          <c:idx val="2"/>
          <c:order val="2"/>
          <c:tx>
            <c:strRef>
              <c:f>'1'!$J$35</c:f>
              <c:strCache>
                <c:ptCount val="1"/>
                <c:pt idx="0">
                  <c:v>Q2</c:v>
                </c:pt>
              </c:strCache>
            </c:strRef>
          </c:tx>
          <c:spPr>
            <a:solidFill>
              <a:schemeClr val="accent4">
                <a:lumMod val="60000"/>
                <a:lumOff val="40000"/>
              </a:schemeClr>
            </a:solidFill>
            <a:ln>
              <a:solidFill>
                <a:schemeClr val="tx1"/>
              </a:solidFill>
            </a:ln>
            <a:effectLst/>
          </c:spPr>
          <c:invertIfNegative val="0"/>
          <c:val>
            <c:numRef>
              <c:f>'1'!$K$35</c:f>
              <c:numCache>
                <c:formatCode>#,##0.000</c:formatCode>
                <c:ptCount val="1"/>
                <c:pt idx="0">
                  <c:v>2726.5</c:v>
                </c:pt>
              </c:numCache>
            </c:numRef>
          </c:val>
          <c:extLst>
            <c:ext xmlns:c16="http://schemas.microsoft.com/office/drawing/2014/chart" uri="{C3380CC4-5D6E-409C-BE32-E72D297353CC}">
              <c16:uniqueId val="{00000002-0158-4887-A795-BFB23DC24307}"/>
            </c:ext>
          </c:extLst>
        </c:ser>
        <c:ser>
          <c:idx val="3"/>
          <c:order val="3"/>
          <c:tx>
            <c:strRef>
              <c:f>'1'!$J$36</c:f>
              <c:strCache>
                <c:ptCount val="1"/>
                <c:pt idx="0">
                  <c:v>Q3</c:v>
                </c:pt>
              </c:strCache>
            </c:strRef>
          </c:tx>
          <c:spPr>
            <a:solidFill>
              <a:schemeClr val="accent2">
                <a:lumMod val="40000"/>
                <a:lumOff val="60000"/>
              </a:schemeClr>
            </a:solidFill>
            <a:ln>
              <a:solidFill>
                <a:schemeClr val="tx1"/>
              </a:solidFill>
            </a:ln>
            <a:effectLst/>
          </c:spPr>
          <c:invertIfNegative val="0"/>
          <c:errBars>
            <c:errBarType val="plus"/>
            <c:errValType val="fixedVal"/>
            <c:noEndCap val="0"/>
            <c:val val="2288"/>
            <c:spPr>
              <a:noFill/>
              <a:ln w="9525" cap="flat" cmpd="sng" algn="ctr">
                <a:solidFill>
                  <a:schemeClr val="tx1">
                    <a:lumMod val="65000"/>
                    <a:lumOff val="35000"/>
                  </a:schemeClr>
                </a:solidFill>
                <a:round/>
              </a:ln>
              <a:effectLst/>
            </c:spPr>
          </c:errBars>
          <c:val>
            <c:numRef>
              <c:f>'1'!$K$36</c:f>
              <c:numCache>
                <c:formatCode>#,##0.000</c:formatCode>
                <c:ptCount val="1"/>
                <c:pt idx="0">
                  <c:v>3817.25</c:v>
                </c:pt>
              </c:numCache>
            </c:numRef>
          </c:val>
          <c:extLst>
            <c:ext xmlns:c16="http://schemas.microsoft.com/office/drawing/2014/chart" uri="{C3380CC4-5D6E-409C-BE32-E72D297353CC}">
              <c16:uniqueId val="{00000003-0158-4887-A795-BFB23DC24307}"/>
            </c:ext>
          </c:extLst>
        </c:ser>
        <c:ser>
          <c:idx val="4"/>
          <c:order val="4"/>
          <c:tx>
            <c:strRef>
              <c:f>'1'!$J$37</c:f>
              <c:strCache>
                <c:ptCount val="1"/>
                <c:pt idx="0">
                  <c:v>max</c:v>
                </c:pt>
              </c:strCache>
            </c:strRef>
          </c:tx>
          <c:spPr>
            <a:noFill/>
            <a:ln>
              <a:noFill/>
            </a:ln>
            <a:effectLst/>
          </c:spPr>
          <c:invertIfNegative val="0"/>
          <c:val>
            <c:numRef>
              <c:f>'1'!$K$37</c:f>
              <c:numCache>
                <c:formatCode>#,##0.000</c:formatCode>
                <c:ptCount val="1"/>
                <c:pt idx="0">
                  <c:v>6105</c:v>
                </c:pt>
              </c:numCache>
            </c:numRef>
          </c:val>
          <c:extLst>
            <c:ext xmlns:c16="http://schemas.microsoft.com/office/drawing/2014/chart" uri="{C3380CC4-5D6E-409C-BE32-E72D297353CC}">
              <c16:uniqueId val="{00000004-0158-4887-A795-BFB23DC24307}"/>
            </c:ext>
          </c:extLst>
        </c:ser>
        <c:dLbls>
          <c:showLegendKey val="0"/>
          <c:showVal val="0"/>
          <c:showCatName val="0"/>
          <c:showSerName val="0"/>
          <c:showPercent val="0"/>
          <c:showBubbleSize val="0"/>
        </c:dLbls>
        <c:gapWidth val="150"/>
        <c:overlap val="100"/>
        <c:axId val="1739471648"/>
        <c:axId val="1739470560"/>
      </c:barChart>
      <c:catAx>
        <c:axId val="173947164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9470560"/>
        <c:crosses val="autoZero"/>
        <c:auto val="1"/>
        <c:lblAlgn val="ctr"/>
        <c:lblOffset val="100"/>
        <c:noMultiLvlLbl val="0"/>
      </c:catAx>
      <c:valAx>
        <c:axId val="1739470560"/>
        <c:scaling>
          <c:orientation val="minMax"/>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947164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Satisfaction</a:t>
            </a:r>
            <a:r>
              <a:rPr lang="en-US" baseline="0"/>
              <a:t> Proportion</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'2'!$G$53</c:f>
              <c:strCache>
                <c:ptCount val="1"/>
                <c:pt idx="0">
                  <c:v>Number of people (n)</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BFF3-4804-9714-304832534769}"/>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BFF3-4804-9714-304832534769}"/>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BFF3-4804-9714-304832534769}"/>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BFF3-4804-9714-304832534769}"/>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BFF3-4804-9714-304832534769}"/>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'2'!$E$54:$E$58</c:f>
              <c:strCache>
                <c:ptCount val="5"/>
                <c:pt idx="0">
                  <c:v>Unhappy</c:v>
                </c:pt>
                <c:pt idx="1">
                  <c:v>Unimpressed</c:v>
                </c:pt>
                <c:pt idx="2">
                  <c:v>Acceptable</c:v>
                </c:pt>
                <c:pt idx="3">
                  <c:v>Happy</c:v>
                </c:pt>
                <c:pt idx="4">
                  <c:v>Delighted</c:v>
                </c:pt>
              </c:strCache>
            </c:strRef>
          </c:cat>
          <c:val>
            <c:numRef>
              <c:f>'2'!$G$54:$G$58</c:f>
              <c:numCache>
                <c:formatCode>#,##0.000</c:formatCode>
                <c:ptCount val="5"/>
                <c:pt idx="0">
                  <c:v>18</c:v>
                </c:pt>
                <c:pt idx="1">
                  <c:v>44</c:v>
                </c:pt>
                <c:pt idx="2">
                  <c:v>39</c:v>
                </c:pt>
                <c:pt idx="3">
                  <c:v>40</c:v>
                </c:pt>
                <c:pt idx="4">
                  <c:v>59</c:v>
                </c:pt>
              </c:numCache>
            </c:numRef>
          </c:val>
          <c:extLst>
            <c:ext xmlns:c16="http://schemas.microsoft.com/office/drawing/2014/chart" uri="{C3380CC4-5D6E-409C-BE32-E72D297353CC}">
              <c16:uniqueId val="{0000000A-BFF3-4804-9714-304832534769}"/>
            </c:ext>
          </c:extLst>
        </c:ser>
        <c:dLbls>
          <c:dLblPos val="ctr"/>
          <c:showLegendKey val="0"/>
          <c:showVal val="0"/>
          <c:showCatName val="0"/>
          <c:showSerName val="0"/>
          <c:showPercent val="1"/>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[Passenger data.xlsx]Analysis!PivotTable2</c:name>
    <c:fmtId val="5"/>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1400"/>
              <a:t>Propotion of Gender</a:t>
            </a:r>
          </a:p>
        </c:rich>
      </c:tx>
      <c:layout>
        <c:manualLayout>
          <c:xMode val="edge"/>
          <c:yMode val="edge"/>
          <c:x val="0.20541930192994209"/>
          <c:y val="4.9382716049382713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2"/>
      </c:pivotFmt>
      <c:pivotFmt>
        <c:idx val="3"/>
      </c:pivotFmt>
      <c:pivotFmt>
        <c:idx val="4"/>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lumMod val="60000"/>
              <a:lumOff val="40000"/>
            </a:schemeClr>
          </a:solidFill>
          <a:ln>
            <a:noFill/>
          </a:ln>
          <a:effectLst/>
        </c:spPr>
        <c:dLbl>
          <c:idx val="0"/>
          <c:layout/>
          <c:tx>
            <c:rich>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fld id="{F1C84B6F-9999-4C25-8226-ED53FC2A074A}" type="PERCENTAGE">
                  <a:rPr lang="en-US">
                    <a:solidFill>
                      <a:sysClr val="windowText" lastClr="000000"/>
                    </a:solidFill>
                  </a:rPr>
                  <a:pPr>
                    <a:defRPr/>
                  </a:pPr>
                  <a:t>[PERCENTAGE]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15:layout/>
              <c15:dlblFieldTable/>
              <c15:showDataLabelsRange val="0"/>
            </c:ext>
          </c:extLst>
        </c:dLbl>
      </c:pivotFmt>
      <c:pivotFmt>
        <c:idx val="7"/>
        <c:spPr>
          <a:solidFill>
            <a:srgbClr val="FF9933"/>
          </a:solidFill>
          <a:ln>
            <a:noFill/>
          </a:ln>
          <a:effectLst/>
        </c:spPr>
        <c:dLbl>
          <c:idx val="0"/>
          <c:layout/>
          <c:tx>
            <c:rich>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fld id="{B2B58AD9-7C0B-4473-8FE3-F97AA82C2E28}" type="PERCENTAGE">
                  <a:rPr lang="en-US">
                    <a:solidFill>
                      <a:sysClr val="windowText" lastClr="000000"/>
                    </a:solidFill>
                  </a:rPr>
                  <a:pPr>
                    <a:defRPr/>
                  </a:pPr>
                  <a:t>[PERCENTAGE]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15:layout/>
              <c15:dlblFieldTable/>
              <c15:showDataLabelsRange val="0"/>
            </c:ext>
          </c:extLst>
        </c:dLbl>
      </c:pivotFmt>
      <c:pivotFmt>
        <c:idx val="8"/>
        <c:spPr>
          <a:solidFill>
            <a:srgbClr val="FF00FF"/>
          </a:solidFill>
          <a:ln>
            <a:noFill/>
          </a:ln>
          <a:effectLst/>
        </c:spPr>
        <c:dLbl>
          <c:idx val="0"/>
          <c:layout/>
          <c:tx>
            <c:rich>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fld id="{ADFF6643-9E66-4D44-8FA9-31699661528D}" type="PERCENTAGE">
                  <a:rPr lang="en-US">
                    <a:solidFill>
                      <a:sysClr val="windowText" lastClr="000000"/>
                    </a:solidFill>
                  </a:rPr>
                  <a:pPr>
                    <a:defRPr/>
                  </a:pPr>
                  <a:t>[PERCENTAGE]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15:layout/>
              <c15:dlblFieldTable/>
              <c15:showDataLabelsRange val="0"/>
            </c:ext>
          </c:extLst>
        </c:dLbl>
      </c:pivotFmt>
    </c:pivotFmts>
    <c:plotArea>
      <c:layout/>
      <c:pieChart>
        <c:varyColors val="1"/>
        <c:ser>
          <c:idx val="0"/>
          <c:order val="0"/>
          <c:tx>
            <c:strRef>
              <c:f>Analysis!$B$6</c:f>
              <c:strCache>
                <c:ptCount val="1"/>
                <c:pt idx="0">
                  <c:v>Total</c:v>
                </c:pt>
              </c:strCache>
            </c:strRef>
          </c:tx>
          <c:dPt>
            <c:idx val="0"/>
            <c:bubble3D val="0"/>
            <c:spPr>
              <a:solidFill>
                <a:schemeClr val="accent1">
                  <a:lumMod val="60000"/>
                  <a:lumOff val="40000"/>
                </a:schemeClr>
              </a:solidFill>
              <a:ln>
                <a:noFill/>
              </a:ln>
              <a:effectLst/>
            </c:spPr>
            <c:extLst>
              <c:ext xmlns:c16="http://schemas.microsoft.com/office/drawing/2014/chart" uri="{C3380CC4-5D6E-409C-BE32-E72D297353CC}">
                <c16:uniqueId val="{00000001-1938-4994-A280-355E0CDCD817}"/>
              </c:ext>
            </c:extLst>
          </c:dPt>
          <c:dPt>
            <c:idx val="1"/>
            <c:bubble3D val="0"/>
            <c:spPr>
              <a:solidFill>
                <a:srgbClr val="FF9933"/>
              </a:solidFill>
              <a:ln>
                <a:noFill/>
              </a:ln>
              <a:effectLst/>
            </c:spPr>
            <c:extLst>
              <c:ext xmlns:c16="http://schemas.microsoft.com/office/drawing/2014/chart" uri="{C3380CC4-5D6E-409C-BE32-E72D297353CC}">
                <c16:uniqueId val="{00000003-1938-4994-A280-355E0CDCD817}"/>
              </c:ext>
            </c:extLst>
          </c:dPt>
          <c:dPt>
            <c:idx val="2"/>
            <c:bubble3D val="0"/>
            <c:spPr>
              <a:solidFill>
                <a:srgbClr val="FF00FF"/>
              </a:solidFill>
              <a:ln>
                <a:noFill/>
              </a:ln>
              <a:effectLst/>
            </c:spPr>
            <c:extLst>
              <c:ext xmlns:c16="http://schemas.microsoft.com/office/drawing/2014/chart" uri="{C3380CC4-5D6E-409C-BE32-E72D297353CC}">
                <c16:uniqueId val="{00000005-1938-4994-A280-355E0CDCD817}"/>
              </c:ext>
            </c:extLst>
          </c:dPt>
          <c:dLbls>
            <c:dLbl>
              <c:idx val="0"/>
              <c:layout/>
              <c:tx>
                <c:rich>
                  <a:bodyPr/>
                  <a:lstStyle/>
                  <a:p>
                    <a:fld id="{F1C84B6F-9999-4C25-8226-ED53FC2A074A}" type="PERCENTAGE">
                      <a:rPr lang="en-US">
                        <a:solidFill>
                          <a:sysClr val="windowText" lastClr="000000"/>
                        </a:solidFill>
                      </a:rPr>
                      <a:pPr/>
                      <a:t>[PERCENTAGE]</a:t>
                    </a:fld>
                    <a:endParaRPr lang="en-IN"/>
                  </a:p>
                </c:rich>
              </c:tx>
              <c:dLblPos val="ctr"/>
              <c:showLegendKey val="0"/>
              <c:showVal val="0"/>
              <c:showCatName val="0"/>
              <c:showSerName val="0"/>
              <c:showPercent val="1"/>
              <c:showBubbleSize val="0"/>
              <c:extLst>
                <c:ext xmlns:c15="http://schemas.microsoft.com/office/drawing/2012/chart" uri="{CE6537A1-D6FC-4f65-9D91-7224C49458BB}">
                  <c15:layout/>
                  <c15:dlblFieldTable/>
                  <c15:showDataLabelsRange val="0"/>
                </c:ext>
                <c:ext xmlns:c16="http://schemas.microsoft.com/office/drawing/2014/chart" uri="{C3380CC4-5D6E-409C-BE32-E72D297353CC}">
                  <c16:uniqueId val="{00000001-1938-4994-A280-355E0CDCD817}"/>
                </c:ext>
              </c:extLst>
            </c:dLbl>
            <c:dLbl>
              <c:idx val="1"/>
              <c:layout/>
              <c:tx>
                <c:rich>
                  <a:bodyPr/>
                  <a:lstStyle/>
                  <a:p>
                    <a:fld id="{B2B58AD9-7C0B-4473-8FE3-F97AA82C2E28}" type="PERCENTAGE">
                      <a:rPr lang="en-US">
                        <a:solidFill>
                          <a:sysClr val="windowText" lastClr="000000"/>
                        </a:solidFill>
                      </a:rPr>
                      <a:pPr/>
                      <a:t>[PERCENTAGE]</a:t>
                    </a:fld>
                    <a:endParaRPr lang="en-IN"/>
                  </a:p>
                </c:rich>
              </c:tx>
              <c:dLblPos val="ctr"/>
              <c:showLegendKey val="0"/>
              <c:showVal val="0"/>
              <c:showCatName val="0"/>
              <c:showSerName val="0"/>
              <c:showPercent val="1"/>
              <c:showBubbleSize val="0"/>
              <c:extLst>
                <c:ext xmlns:c15="http://schemas.microsoft.com/office/drawing/2012/chart" uri="{CE6537A1-D6FC-4f65-9D91-7224C49458BB}">
                  <c15:layout/>
                  <c15:dlblFieldTable/>
                  <c15:showDataLabelsRange val="0"/>
                </c:ext>
                <c:ext xmlns:c16="http://schemas.microsoft.com/office/drawing/2014/chart" uri="{C3380CC4-5D6E-409C-BE32-E72D297353CC}">
                  <c16:uniqueId val="{00000003-1938-4994-A280-355E0CDCD817}"/>
                </c:ext>
              </c:extLst>
            </c:dLbl>
            <c:dLbl>
              <c:idx val="2"/>
              <c:layout/>
              <c:tx>
                <c:rich>
                  <a:bodyPr/>
                  <a:lstStyle/>
                  <a:p>
                    <a:fld id="{ADFF6643-9E66-4D44-8FA9-31699661528D}" type="PERCENTAGE">
                      <a:rPr lang="en-US">
                        <a:solidFill>
                          <a:sysClr val="windowText" lastClr="000000"/>
                        </a:solidFill>
                      </a:rPr>
                      <a:pPr/>
                      <a:t>[PERCENTAGE]</a:t>
                    </a:fld>
                    <a:endParaRPr lang="en-IN"/>
                  </a:p>
                </c:rich>
              </c:tx>
              <c:dLblPos val="ctr"/>
              <c:showLegendKey val="0"/>
              <c:showVal val="0"/>
              <c:showCatName val="0"/>
              <c:showSerName val="0"/>
              <c:showPercent val="1"/>
              <c:showBubbleSize val="0"/>
              <c:extLst>
                <c:ext xmlns:c15="http://schemas.microsoft.com/office/drawing/2012/chart" uri="{CE6537A1-D6FC-4f65-9D91-7224C49458BB}">
                  <c15:layout/>
                  <c15:dlblFieldTable/>
                  <c15:showDataLabelsRange val="0"/>
                </c:ext>
                <c:ext xmlns:c16="http://schemas.microsoft.com/office/drawing/2014/chart" uri="{C3380CC4-5D6E-409C-BE32-E72D297353CC}">
                  <c16:uniqueId val="{00000005-1938-4994-A280-355E0CDCD81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extLst>
          </c:dLbls>
          <c:cat>
            <c:strRef>
              <c:f>Analysis!$A$7:$A$10</c:f>
              <c:strCache>
                <c:ptCount val="3"/>
                <c:pt idx="0">
                  <c:v>Female</c:v>
                </c:pt>
                <c:pt idx="1">
                  <c:v>Male</c:v>
                </c:pt>
                <c:pt idx="2">
                  <c:v>Prefer</c:v>
                </c:pt>
              </c:strCache>
            </c:strRef>
          </c:cat>
          <c:val>
            <c:numRef>
              <c:f>Analysis!$B$7:$B$10</c:f>
              <c:numCache>
                <c:formatCode>General</c:formatCode>
                <c:ptCount val="3"/>
                <c:pt idx="0">
                  <c:v>7</c:v>
                </c:pt>
                <c:pt idx="1">
                  <c:v>3</c:v>
                </c:pt>
                <c:pt idx="2">
                  <c:v>3</c:v>
                </c:pt>
              </c:numCache>
            </c:numRef>
          </c:val>
          <c:extLst>
            <c:ext xmlns:c16="http://schemas.microsoft.com/office/drawing/2014/chart" uri="{C3380CC4-5D6E-409C-BE32-E72D297353CC}">
              <c16:uniqueId val="{00000006-1938-4994-A280-355E0CDCD817}"/>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[Passenger data.xlsx]Analysis!PivotTable3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satisfaction</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F99FF"/>
          </a:solidFill>
          <a:ln>
            <a:noFill/>
          </a:ln>
          <a:effectLst/>
        </c:spPr>
        <c:marker>
          <c:symbol val="none"/>
        </c:marker>
        <c:dLbl>
          <c:idx val="0"/>
          <c:layout/>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Analysis!$B$17</c:f>
              <c:strCache>
                <c:ptCount val="1"/>
                <c:pt idx="0">
                  <c:v>Total</c:v>
                </c:pt>
              </c:strCache>
            </c:strRef>
          </c:tx>
          <c:spPr>
            <a:solidFill>
              <a:srgbClr val="FF99FF"/>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Analysis!$A$18:$A$22</c:f>
              <c:strCache>
                <c:ptCount val="4"/>
                <c:pt idx="0">
                  <c:v>Double</c:v>
                </c:pt>
                <c:pt idx="1">
                  <c:v>Family</c:v>
                </c:pt>
                <c:pt idx="2">
                  <c:v>Group</c:v>
                </c:pt>
                <c:pt idx="3">
                  <c:v>Solo</c:v>
                </c:pt>
              </c:strCache>
            </c:strRef>
          </c:cat>
          <c:val>
            <c:numRef>
              <c:f>Analysis!$B$18:$B$22</c:f>
              <c:numCache>
                <c:formatCode>0</c:formatCode>
                <c:ptCount val="4"/>
                <c:pt idx="0">
                  <c:v>90.25</c:v>
                </c:pt>
                <c:pt idx="1">
                  <c:v>85.5</c:v>
                </c:pt>
                <c:pt idx="2">
                  <c:v>89.4</c:v>
                </c:pt>
                <c:pt idx="3">
                  <c:v>84.5</c:v>
                </c:pt>
              </c:numCache>
            </c:numRef>
          </c:val>
          <c:extLst>
            <c:ext xmlns:c16="http://schemas.microsoft.com/office/drawing/2014/chart" uri="{C3380CC4-5D6E-409C-BE32-E72D297353CC}">
              <c16:uniqueId val="{00000000-E548-4DD0-9F3A-8A498657ABCF}"/>
            </c:ext>
          </c:extLst>
        </c:ser>
        <c:dLbls>
          <c:showLegendKey val="0"/>
          <c:showVal val="1"/>
          <c:showCatName val="0"/>
          <c:showSerName val="0"/>
          <c:showPercent val="0"/>
          <c:showBubbleSize val="0"/>
        </c:dLbls>
        <c:gapWidth val="150"/>
        <c:overlap val="-25"/>
        <c:axId val="1942587008"/>
        <c:axId val="1942587552"/>
      </c:barChart>
      <c:catAx>
        <c:axId val="194258700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2587552"/>
        <c:crosses val="autoZero"/>
        <c:auto val="1"/>
        <c:lblAlgn val="ctr"/>
        <c:lblOffset val="100"/>
        <c:noMultiLvlLbl val="0"/>
      </c:catAx>
      <c:valAx>
        <c:axId val="1942587552"/>
        <c:scaling>
          <c:orientation val="minMax"/>
        </c:scaling>
        <c:delete val="1"/>
        <c:axPos val="b"/>
        <c:numFmt formatCode="0" sourceLinked="1"/>
        <c:majorTickMark val="none"/>
        <c:minorTickMark val="none"/>
        <c:tickLblPos val="nextTo"/>
        <c:crossAx val="194258700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[Passenger data.xlsx]Analysis!PivotTable4</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Spending on Cabin Cost</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none"/>
        </c:marker>
        <c:dLbl>
          <c:idx val="0"/>
          <c:layout/>
          <c:numFmt formatCode="[$$-C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Analysis!$B$27</c:f>
              <c:strCache>
                <c:ptCount val="1"/>
                <c:pt idx="0">
                  <c:v>Total</c:v>
                </c:pt>
              </c:strCache>
            </c:strRef>
          </c:tx>
          <c:spPr>
            <a:solidFill>
              <a:schemeClr val="accent2">
                <a:lumMod val="60000"/>
                <a:lumOff val="40000"/>
              </a:schemeClr>
            </a:solidFill>
            <a:ln>
              <a:noFill/>
            </a:ln>
            <a:effectLst/>
          </c:spPr>
          <c:invertIfNegative val="0"/>
          <c:dLbls>
            <c:numFmt formatCode="[$$-C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Analysis!$A$28:$A$32</c:f>
              <c:strCache>
                <c:ptCount val="4"/>
                <c:pt idx="0">
                  <c:v>Double</c:v>
                </c:pt>
                <c:pt idx="1">
                  <c:v>Family</c:v>
                </c:pt>
                <c:pt idx="2">
                  <c:v>Group</c:v>
                </c:pt>
                <c:pt idx="3">
                  <c:v>Solo</c:v>
                </c:pt>
              </c:strCache>
            </c:strRef>
          </c:cat>
          <c:val>
            <c:numRef>
              <c:f>Analysis!$B$28:$B$32</c:f>
              <c:numCache>
                <c:formatCode>General</c:formatCode>
                <c:ptCount val="4"/>
                <c:pt idx="0">
                  <c:v>1271.875</c:v>
                </c:pt>
                <c:pt idx="1">
                  <c:v>1863.0434782608695</c:v>
                </c:pt>
                <c:pt idx="2">
                  <c:v>1011.5384615384615</c:v>
                </c:pt>
                <c:pt idx="3">
                  <c:v>1242.8571428571429</c:v>
                </c:pt>
              </c:numCache>
            </c:numRef>
          </c:val>
          <c:extLst>
            <c:ext xmlns:c16="http://schemas.microsoft.com/office/drawing/2014/chart" uri="{C3380CC4-5D6E-409C-BE32-E72D297353CC}">
              <c16:uniqueId val="{00000000-C58A-4C77-8779-35657100CA52}"/>
            </c:ext>
          </c:extLst>
        </c:ser>
        <c:dLbls>
          <c:dLblPos val="outEnd"/>
          <c:showLegendKey val="0"/>
          <c:showVal val="1"/>
          <c:showCatName val="0"/>
          <c:showSerName val="0"/>
          <c:showPercent val="0"/>
          <c:showBubbleSize val="0"/>
        </c:dLbls>
        <c:gapWidth val="75"/>
        <c:axId val="1942583744"/>
        <c:axId val="1942586464"/>
      </c:barChart>
      <c:catAx>
        <c:axId val="19425837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2586464"/>
        <c:crosses val="autoZero"/>
        <c:auto val="1"/>
        <c:lblAlgn val="ctr"/>
        <c:lblOffset val="100"/>
        <c:noMultiLvlLbl val="0"/>
      </c:catAx>
      <c:valAx>
        <c:axId val="1942586464"/>
        <c:scaling>
          <c:orientation val="minMax"/>
        </c:scaling>
        <c:delete val="1"/>
        <c:axPos val="l"/>
        <c:numFmt formatCode="General" sourceLinked="1"/>
        <c:majorTickMark val="none"/>
        <c:minorTickMark val="none"/>
        <c:tickLblPos val="nextTo"/>
        <c:crossAx val="194258374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[Passenger data.xlsx]Analysis!PivotTable5</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Sum fo total</a:t>
            </a:r>
            <a:r>
              <a:rPr lang="en-US" baseline="0"/>
              <a:t> spending</a:t>
            </a:r>
            <a:endParaRPr lang="en-US"/>
          </a:p>
        </c:rich>
      </c:tx>
      <c:layout>
        <c:manualLayout>
          <c:xMode val="edge"/>
          <c:yMode val="edge"/>
          <c:x val="0.5434330185036097"/>
          <c:y val="3.527336860670193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rgbClr val="66FF66"/>
          </a:solidFill>
          <a:ln>
            <a:noFill/>
          </a:ln>
          <a:effectLst/>
        </c:spPr>
        <c:marker>
          <c:symbol val="none"/>
        </c:marker>
      </c:pivotFmt>
    </c:pivotFmts>
    <c:plotArea>
      <c:layout>
        <c:manualLayout>
          <c:layoutTarget val="inner"/>
          <c:xMode val="edge"/>
          <c:yMode val="edge"/>
          <c:x val="0.12375465535635975"/>
          <c:y val="7.7601410934744264E-2"/>
          <c:w val="0.7775587278522853"/>
          <c:h val="0.75874237942479417"/>
        </c:manualLayout>
      </c:layout>
      <c:barChart>
        <c:barDir val="bar"/>
        <c:grouping val="clustered"/>
        <c:varyColors val="0"/>
        <c:ser>
          <c:idx val="0"/>
          <c:order val="0"/>
          <c:tx>
            <c:strRef>
              <c:f>Analysis!$B$37</c:f>
              <c:strCache>
                <c:ptCount val="1"/>
                <c:pt idx="0">
                  <c:v>Total</c:v>
                </c:pt>
              </c:strCache>
            </c:strRef>
          </c:tx>
          <c:spPr>
            <a:solidFill>
              <a:srgbClr val="66FF66"/>
            </a:solidFill>
            <a:ln>
              <a:noFill/>
            </a:ln>
            <a:effectLst/>
          </c:spPr>
          <c:invertIfNegative val="0"/>
          <c:dLbls>
            <c:delete val="1"/>
          </c:dLbls>
          <c:cat>
            <c:strRef>
              <c:f>Analysis!$A$38:$A$43</c:f>
              <c:strCache>
                <c:ptCount val="5"/>
                <c:pt idx="0">
                  <c:v>Core</c:v>
                </c:pt>
                <c:pt idx="1">
                  <c:v>Mature</c:v>
                </c:pt>
                <c:pt idx="2">
                  <c:v>Prime</c:v>
                </c:pt>
                <c:pt idx="3">
                  <c:v>Senior</c:v>
                </c:pt>
                <c:pt idx="4">
                  <c:v>Young</c:v>
                </c:pt>
              </c:strCache>
            </c:strRef>
          </c:cat>
          <c:val>
            <c:numRef>
              <c:f>Analysis!$B$38:$B$43</c:f>
              <c:numCache>
                <c:formatCode>General</c:formatCode>
                <c:ptCount val="5"/>
                <c:pt idx="0">
                  <c:v>65307</c:v>
                </c:pt>
                <c:pt idx="1">
                  <c:v>31287</c:v>
                </c:pt>
                <c:pt idx="2">
                  <c:v>30793</c:v>
                </c:pt>
                <c:pt idx="3">
                  <c:v>20399</c:v>
                </c:pt>
                <c:pt idx="4">
                  <c:v>32442</c:v>
                </c:pt>
              </c:numCache>
            </c:numRef>
          </c:val>
          <c:extLst>
            <c:ext xmlns:c16="http://schemas.microsoft.com/office/drawing/2014/chart" uri="{C3380CC4-5D6E-409C-BE32-E72D297353CC}">
              <c16:uniqueId val="{00000000-95AA-475E-818B-0C400960F6BA}"/>
            </c:ext>
          </c:extLst>
        </c:ser>
        <c:dLbls>
          <c:showLegendKey val="0"/>
          <c:showVal val="1"/>
          <c:showCatName val="0"/>
          <c:showSerName val="0"/>
          <c:showPercent val="0"/>
          <c:showBubbleSize val="0"/>
        </c:dLbls>
        <c:gapWidth val="75"/>
        <c:axId val="1942588096"/>
        <c:axId val="1942589728"/>
      </c:barChart>
      <c:catAx>
        <c:axId val="194258809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2589728"/>
        <c:crosses val="autoZero"/>
        <c:auto val="1"/>
        <c:lblAlgn val="ctr"/>
        <c:lblOffset val="100"/>
        <c:noMultiLvlLbl val="0"/>
      </c:catAx>
      <c:valAx>
        <c:axId val="1942589728"/>
        <c:scaling>
          <c:orientation val="minMax"/>
        </c:scaling>
        <c:delete val="1"/>
        <c:axPos val="b"/>
        <c:numFmt formatCode="General" sourceLinked="1"/>
        <c:majorTickMark val="none"/>
        <c:minorTickMark val="none"/>
        <c:tickLblPos val="nextTo"/>
        <c:crossAx val="194258809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[Passenger data.xlsx]Analysis!PivotTable6</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Total spending </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numFmt formatCode="[$$-C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numFmt formatCode="[$$-C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numFmt formatCode="[$$-C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lineChart>
        <c:grouping val="standard"/>
        <c:varyColors val="0"/>
        <c:ser>
          <c:idx val="0"/>
          <c:order val="0"/>
          <c:tx>
            <c:strRef>
              <c:f>Analysis!$B$49</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numFmt formatCode="[$$-C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Analysis!$A$50:$A$58</c:f>
              <c:strCache>
                <c:ptCount val="8"/>
                <c:pt idx="0">
                  <c:v>1</c:v>
                </c:pt>
                <c:pt idx="1">
                  <c:v>2</c:v>
                </c:pt>
                <c:pt idx="2">
                  <c:v>3</c:v>
                </c:pt>
                <c:pt idx="3">
                  <c:v>4</c:v>
                </c:pt>
                <c:pt idx="4">
                  <c:v>5</c:v>
                </c:pt>
                <c:pt idx="5">
                  <c:v>6</c:v>
                </c:pt>
                <c:pt idx="6">
                  <c:v>7</c:v>
                </c:pt>
                <c:pt idx="7">
                  <c:v>8</c:v>
                </c:pt>
              </c:strCache>
            </c:strRef>
          </c:cat>
          <c:val>
            <c:numRef>
              <c:f>Analysis!$B$50:$B$58</c:f>
              <c:numCache>
                <c:formatCode>General</c:formatCode>
                <c:ptCount val="8"/>
                <c:pt idx="0">
                  <c:v>1977.4</c:v>
                </c:pt>
                <c:pt idx="1">
                  <c:v>2026.1666666666667</c:v>
                </c:pt>
                <c:pt idx="2">
                  <c:v>1757.5</c:v>
                </c:pt>
                <c:pt idx="3">
                  <c:v>3677.6666666666665</c:v>
                </c:pt>
                <c:pt idx="4">
                  <c:v>2745</c:v>
                </c:pt>
                <c:pt idx="5">
                  <c:v>1755</c:v>
                </c:pt>
                <c:pt idx="6">
                  <c:v>4237</c:v>
                </c:pt>
                <c:pt idx="7">
                  <c:v>2355.5</c:v>
                </c:pt>
              </c:numCache>
            </c:numRef>
          </c:val>
          <c:smooth val="0"/>
          <c:extLst>
            <c:ext xmlns:c16="http://schemas.microsoft.com/office/drawing/2014/chart" uri="{C3380CC4-5D6E-409C-BE32-E72D297353CC}">
              <c16:uniqueId val="{00000000-69D6-432F-918D-758709E4DF97}"/>
            </c:ext>
          </c:extLst>
        </c:ser>
        <c:dLbls>
          <c:dLblPos val="t"/>
          <c:showLegendKey val="0"/>
          <c:showVal val="1"/>
          <c:showCatName val="0"/>
          <c:showSerName val="0"/>
          <c:showPercent val="0"/>
          <c:showBubbleSize val="0"/>
        </c:dLbls>
        <c:marker val="1"/>
        <c:smooth val="0"/>
        <c:axId val="1942595168"/>
        <c:axId val="1942594624"/>
      </c:lineChart>
      <c:catAx>
        <c:axId val="1942595168"/>
        <c:scaling>
          <c:orientation val="minMax"/>
        </c:scaling>
        <c:delete val="0"/>
        <c:axPos val="b"/>
        <c:numFmt formatCode="General" sourceLinked="1"/>
        <c:majorTickMark val="none"/>
        <c:minorTickMark val="none"/>
        <c:tickLblPos val="nextTo"/>
        <c:spPr>
          <a:noFill/>
          <a:ln w="25400"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2594624"/>
        <c:crosses val="autoZero"/>
        <c:auto val="1"/>
        <c:lblAlgn val="ctr"/>
        <c:lblOffset val="100"/>
        <c:noMultiLvlLbl val="0"/>
      </c:catAx>
      <c:valAx>
        <c:axId val="1942594624"/>
        <c:scaling>
          <c:orientation val="minMax"/>
        </c:scaling>
        <c:delete val="1"/>
        <c:axPos val="l"/>
        <c:numFmt formatCode="General" sourceLinked="1"/>
        <c:majorTickMark val="none"/>
        <c:minorTickMark val="none"/>
        <c:tickLblPos val="nextTo"/>
        <c:crossAx val="194259516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[Passenger data.xlsx]Analysis!PivotTable2</c:name>
    <c:fmtId val="10"/>
  </c:pivotSource>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a:noFill/>
          </a:ln>
          <a:effectLst>
            <a:outerShdw blurRad="254000" sx="102000" sy="102000" algn="ctr" rotWithShape="0">
              <a:prstClr val="black">
                <a:alpha val="20000"/>
              </a:prstClr>
            </a:outerShdw>
          </a:effectLst>
        </c:spPr>
      </c:pivotFmt>
      <c:pivotFmt>
        <c:idx val="6"/>
        <c:spPr>
          <a:solidFill>
            <a:schemeClr val="accent1"/>
          </a:solidFill>
          <a:ln>
            <a:noFill/>
          </a:ln>
          <a:effectLst>
            <a:outerShdw blurRad="254000" sx="102000" sy="102000" algn="ctr" rotWithShape="0">
              <a:prstClr val="black">
                <a:alpha val="20000"/>
              </a:prstClr>
            </a:outerShdw>
          </a:effectLst>
        </c:spPr>
      </c:pivotFmt>
      <c:pivotFmt>
        <c:idx val="7"/>
        <c:spPr>
          <a:solidFill>
            <a:schemeClr val="accent1"/>
          </a:solidFill>
          <a:ln>
            <a:noFill/>
          </a:ln>
          <a:effectLst>
            <a:outerShdw blurRad="254000" sx="102000" sy="102000" algn="ctr" rotWithShape="0">
              <a:prstClr val="black">
                <a:alpha val="20000"/>
              </a:prstClr>
            </a:outerShdw>
          </a:effectLst>
        </c:spPr>
      </c:pivotFmt>
      <c:pivotFmt>
        <c:idx val="8"/>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1"/>
          </a:solidFill>
          <a:ln>
            <a:noFill/>
          </a:ln>
          <a:effectLst>
            <a:outerShdw blurRad="254000" sx="102000" sy="102000" algn="ctr" rotWithShape="0">
              <a:prstClr val="black">
                <a:alpha val="20000"/>
              </a:prstClr>
            </a:outerShdw>
          </a:effectLst>
        </c:spPr>
      </c:pivotFmt>
      <c:pivotFmt>
        <c:idx val="10"/>
        <c:spPr>
          <a:solidFill>
            <a:schemeClr val="accent1"/>
          </a:solidFill>
          <a:ln>
            <a:noFill/>
          </a:ln>
          <a:effectLst>
            <a:outerShdw blurRad="254000" sx="102000" sy="102000" algn="ctr" rotWithShape="0">
              <a:prstClr val="black">
                <a:alpha val="20000"/>
              </a:prstClr>
            </a:outerShdw>
          </a:effectLst>
        </c:spPr>
      </c:pivotFmt>
      <c:pivotFmt>
        <c:idx val="11"/>
        <c:spPr>
          <a:solidFill>
            <a:schemeClr val="accent1"/>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Analysis!$B$6</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D89B-4E76-9772-A54904558CA1}"/>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D89B-4E76-9772-A54904558CA1}"/>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D89B-4E76-9772-A54904558CA1}"/>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Analysis!$A$7:$A$10</c:f>
              <c:strCache>
                <c:ptCount val="3"/>
                <c:pt idx="0">
                  <c:v>Female</c:v>
                </c:pt>
                <c:pt idx="1">
                  <c:v>Male</c:v>
                </c:pt>
                <c:pt idx="2">
                  <c:v>Prefer</c:v>
                </c:pt>
              </c:strCache>
            </c:strRef>
          </c:cat>
          <c:val>
            <c:numRef>
              <c:f>Analysis!$B$7:$B$10</c:f>
              <c:numCache>
                <c:formatCode>General</c:formatCode>
                <c:ptCount val="3"/>
                <c:pt idx="0">
                  <c:v>7</c:v>
                </c:pt>
                <c:pt idx="1">
                  <c:v>3</c:v>
                </c:pt>
                <c:pt idx="2">
                  <c:v>3</c:v>
                </c:pt>
              </c:numCache>
            </c:numRef>
          </c:val>
          <c:extLst>
            <c:ext xmlns:c16="http://schemas.microsoft.com/office/drawing/2014/chart" uri="{C3380CC4-5D6E-409C-BE32-E72D297353CC}">
              <c16:uniqueId val="{00000006-D89B-4E76-9772-A54904558CA1}"/>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[Passenger data.xlsx]Analysis!PivotTable3</c:name>
    <c:fmtId val="9"/>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barChart>
        <c:barDir val="bar"/>
        <c:grouping val="clustered"/>
        <c:varyColors val="0"/>
        <c:ser>
          <c:idx val="0"/>
          <c:order val="0"/>
          <c:tx>
            <c:strRef>
              <c:f>Analysis!$B$17</c:f>
              <c:strCache>
                <c:ptCount val="1"/>
                <c:pt idx="0">
                  <c:v>Total</c:v>
                </c:pt>
              </c:strCache>
            </c:strRef>
          </c:tx>
          <c:spPr>
            <a:solidFill>
              <a:schemeClr val="accent1"/>
            </a:solidFill>
            <a:ln>
              <a:noFill/>
            </a:ln>
            <a:effectLst/>
          </c:spPr>
          <c:invertIfNegative val="0"/>
          <c:dLbls>
            <c:delete val="1"/>
          </c:dLbls>
          <c:cat>
            <c:strRef>
              <c:f>Analysis!$A$18:$A$22</c:f>
              <c:strCache>
                <c:ptCount val="4"/>
                <c:pt idx="0">
                  <c:v>Double</c:v>
                </c:pt>
                <c:pt idx="1">
                  <c:v>Family</c:v>
                </c:pt>
                <c:pt idx="2">
                  <c:v>Group</c:v>
                </c:pt>
                <c:pt idx="3">
                  <c:v>Solo</c:v>
                </c:pt>
              </c:strCache>
            </c:strRef>
          </c:cat>
          <c:val>
            <c:numRef>
              <c:f>Analysis!$B$18:$B$22</c:f>
              <c:numCache>
                <c:formatCode>0</c:formatCode>
                <c:ptCount val="4"/>
                <c:pt idx="0">
                  <c:v>90.25</c:v>
                </c:pt>
                <c:pt idx="1">
                  <c:v>85.5</c:v>
                </c:pt>
                <c:pt idx="2">
                  <c:v>89.4</c:v>
                </c:pt>
                <c:pt idx="3">
                  <c:v>84.5</c:v>
                </c:pt>
              </c:numCache>
            </c:numRef>
          </c:val>
          <c:extLst>
            <c:ext xmlns:c16="http://schemas.microsoft.com/office/drawing/2014/chart" uri="{C3380CC4-5D6E-409C-BE32-E72D297353CC}">
              <c16:uniqueId val="{00000000-F914-42DD-8B05-6962928139E0}"/>
            </c:ext>
          </c:extLst>
        </c:ser>
        <c:dLbls>
          <c:showLegendKey val="0"/>
          <c:showVal val="1"/>
          <c:showCatName val="0"/>
          <c:showSerName val="0"/>
          <c:showPercent val="0"/>
          <c:showBubbleSize val="0"/>
        </c:dLbls>
        <c:gapWidth val="150"/>
        <c:overlap val="-25"/>
        <c:axId val="1942584288"/>
        <c:axId val="1942596800"/>
      </c:barChart>
      <c:catAx>
        <c:axId val="19425842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2596800"/>
        <c:crosses val="autoZero"/>
        <c:auto val="1"/>
        <c:lblAlgn val="ctr"/>
        <c:lblOffset val="100"/>
        <c:noMultiLvlLbl val="0"/>
      </c:catAx>
      <c:valAx>
        <c:axId val="1942596800"/>
        <c:scaling>
          <c:orientation val="minMax"/>
        </c:scaling>
        <c:delete val="1"/>
        <c:axPos val="b"/>
        <c:numFmt formatCode="0" sourceLinked="1"/>
        <c:majorTickMark val="none"/>
        <c:minorTickMark val="none"/>
        <c:tickLblPos val="nextTo"/>
        <c:crossAx val="19425842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[Passenger data.xlsx]Analysis!PivotTable4</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Spending on Cabin Cost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Analysis!$B$27</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Analysis!$A$28:$A$32</c:f>
              <c:strCache>
                <c:ptCount val="4"/>
                <c:pt idx="0">
                  <c:v>Double</c:v>
                </c:pt>
                <c:pt idx="1">
                  <c:v>Family</c:v>
                </c:pt>
                <c:pt idx="2">
                  <c:v>Group</c:v>
                </c:pt>
                <c:pt idx="3">
                  <c:v>Solo</c:v>
                </c:pt>
              </c:strCache>
            </c:strRef>
          </c:cat>
          <c:val>
            <c:numRef>
              <c:f>Analysis!$B$28:$B$32</c:f>
              <c:numCache>
                <c:formatCode>General</c:formatCode>
                <c:ptCount val="4"/>
                <c:pt idx="0">
                  <c:v>1271.875</c:v>
                </c:pt>
                <c:pt idx="1">
                  <c:v>1863.0434782608695</c:v>
                </c:pt>
                <c:pt idx="2">
                  <c:v>1011.5384615384615</c:v>
                </c:pt>
                <c:pt idx="3">
                  <c:v>1242.8571428571429</c:v>
                </c:pt>
              </c:numCache>
            </c:numRef>
          </c:val>
          <c:extLst>
            <c:ext xmlns:c16="http://schemas.microsoft.com/office/drawing/2014/chart" uri="{C3380CC4-5D6E-409C-BE32-E72D297353CC}">
              <c16:uniqueId val="{00000000-08A8-47C2-9910-7849CDAB418E}"/>
            </c:ext>
          </c:extLst>
        </c:ser>
        <c:dLbls>
          <c:showLegendKey val="0"/>
          <c:showVal val="1"/>
          <c:showCatName val="0"/>
          <c:showSerName val="0"/>
          <c:showPercent val="0"/>
          <c:showBubbleSize val="0"/>
        </c:dLbls>
        <c:gapWidth val="75"/>
        <c:axId val="1942581568"/>
        <c:axId val="1943760992"/>
      </c:barChart>
      <c:catAx>
        <c:axId val="19425815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3760992"/>
        <c:crosses val="autoZero"/>
        <c:auto val="1"/>
        <c:lblAlgn val="ctr"/>
        <c:lblOffset val="100"/>
        <c:noMultiLvlLbl val="0"/>
      </c:catAx>
      <c:valAx>
        <c:axId val="1943760992"/>
        <c:scaling>
          <c:orientation val="minMax"/>
        </c:scaling>
        <c:delete val="1"/>
        <c:axPos val="l"/>
        <c:numFmt formatCode="General" sourceLinked="1"/>
        <c:majorTickMark val="none"/>
        <c:minorTickMark val="none"/>
        <c:tickLblPos val="nextTo"/>
        <c:crossAx val="194258156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[Passenger data.xlsx]Analysis!PivotTable5</c:name>
    <c:fmtId val="15"/>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barChart>
        <c:barDir val="bar"/>
        <c:grouping val="stacked"/>
        <c:varyColors val="0"/>
        <c:ser>
          <c:idx val="0"/>
          <c:order val="0"/>
          <c:tx>
            <c:strRef>
              <c:f>Analysis!$B$37</c:f>
              <c:strCache>
                <c:ptCount val="1"/>
                <c:pt idx="0">
                  <c:v>Total</c:v>
                </c:pt>
              </c:strCache>
            </c:strRef>
          </c:tx>
          <c:spPr>
            <a:solidFill>
              <a:schemeClr val="accent1"/>
            </a:solidFill>
            <a:ln>
              <a:noFill/>
            </a:ln>
            <a:effectLst/>
          </c:spPr>
          <c:invertIfNegative val="0"/>
          <c:cat>
            <c:strRef>
              <c:f>Analysis!$A$38:$A$43</c:f>
              <c:strCache>
                <c:ptCount val="5"/>
                <c:pt idx="0">
                  <c:v>Core</c:v>
                </c:pt>
                <c:pt idx="1">
                  <c:v>Mature</c:v>
                </c:pt>
                <c:pt idx="2">
                  <c:v>Prime</c:v>
                </c:pt>
                <c:pt idx="3">
                  <c:v>Senior</c:v>
                </c:pt>
                <c:pt idx="4">
                  <c:v>Young</c:v>
                </c:pt>
              </c:strCache>
            </c:strRef>
          </c:cat>
          <c:val>
            <c:numRef>
              <c:f>Analysis!$B$38:$B$43</c:f>
              <c:numCache>
                <c:formatCode>General</c:formatCode>
                <c:ptCount val="5"/>
                <c:pt idx="0">
                  <c:v>65307</c:v>
                </c:pt>
                <c:pt idx="1">
                  <c:v>31287</c:v>
                </c:pt>
                <c:pt idx="2">
                  <c:v>30793</c:v>
                </c:pt>
                <c:pt idx="3">
                  <c:v>20399</c:v>
                </c:pt>
                <c:pt idx="4">
                  <c:v>32442</c:v>
                </c:pt>
              </c:numCache>
            </c:numRef>
          </c:val>
          <c:extLst>
            <c:ext xmlns:c16="http://schemas.microsoft.com/office/drawing/2014/chart" uri="{C3380CC4-5D6E-409C-BE32-E72D297353CC}">
              <c16:uniqueId val="{00000000-8DD2-4D93-A2F6-3BA88F967304}"/>
            </c:ext>
          </c:extLst>
        </c:ser>
        <c:dLbls>
          <c:showLegendKey val="0"/>
          <c:showVal val="0"/>
          <c:showCatName val="0"/>
          <c:showSerName val="0"/>
          <c:showPercent val="0"/>
          <c:showBubbleSize val="0"/>
        </c:dLbls>
        <c:gapWidth val="150"/>
        <c:overlap val="100"/>
        <c:axId val="1943755552"/>
        <c:axId val="1943764256"/>
      </c:barChart>
      <c:catAx>
        <c:axId val="19437555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3764256"/>
        <c:crosses val="autoZero"/>
        <c:auto val="1"/>
        <c:lblAlgn val="ctr"/>
        <c:lblOffset val="100"/>
        <c:noMultiLvlLbl val="0"/>
      </c:catAx>
      <c:valAx>
        <c:axId val="194376425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37555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[Passenger data.xlsx]Analysis!PivotTable6</c:name>
    <c:fmtId val="0"/>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numFmt formatCode="[$$-C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lineChart>
        <c:grouping val="standard"/>
        <c:varyColors val="0"/>
        <c:ser>
          <c:idx val="0"/>
          <c:order val="0"/>
          <c:tx>
            <c:strRef>
              <c:f>Analysis!$B$49</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numFmt formatCode="[$$-C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Analysis!$A$50:$A$58</c:f>
              <c:strCache>
                <c:ptCount val="8"/>
                <c:pt idx="0">
                  <c:v>1</c:v>
                </c:pt>
                <c:pt idx="1">
                  <c:v>2</c:v>
                </c:pt>
                <c:pt idx="2">
                  <c:v>3</c:v>
                </c:pt>
                <c:pt idx="3">
                  <c:v>4</c:v>
                </c:pt>
                <c:pt idx="4">
                  <c:v>5</c:v>
                </c:pt>
                <c:pt idx="5">
                  <c:v>6</c:v>
                </c:pt>
                <c:pt idx="6">
                  <c:v>7</c:v>
                </c:pt>
                <c:pt idx="7">
                  <c:v>8</c:v>
                </c:pt>
              </c:strCache>
            </c:strRef>
          </c:cat>
          <c:val>
            <c:numRef>
              <c:f>Analysis!$B$50:$B$58</c:f>
              <c:numCache>
                <c:formatCode>General</c:formatCode>
                <c:ptCount val="8"/>
                <c:pt idx="0">
                  <c:v>1977.4</c:v>
                </c:pt>
                <c:pt idx="1">
                  <c:v>2026.1666666666667</c:v>
                </c:pt>
                <c:pt idx="2">
                  <c:v>1757.5</c:v>
                </c:pt>
                <c:pt idx="3">
                  <c:v>3677.6666666666665</c:v>
                </c:pt>
                <c:pt idx="4">
                  <c:v>2745</c:v>
                </c:pt>
                <c:pt idx="5">
                  <c:v>1755</c:v>
                </c:pt>
                <c:pt idx="6">
                  <c:v>4237</c:v>
                </c:pt>
                <c:pt idx="7">
                  <c:v>2355.5</c:v>
                </c:pt>
              </c:numCache>
            </c:numRef>
          </c:val>
          <c:smooth val="0"/>
          <c:extLst>
            <c:ext xmlns:c16="http://schemas.microsoft.com/office/drawing/2014/chart" uri="{C3380CC4-5D6E-409C-BE32-E72D297353CC}">
              <c16:uniqueId val="{00000000-B5A0-46FA-9680-029F699368A5}"/>
            </c:ext>
          </c:extLst>
        </c:ser>
        <c:dLbls>
          <c:dLblPos val="t"/>
          <c:showLegendKey val="0"/>
          <c:showVal val="1"/>
          <c:showCatName val="0"/>
          <c:showSerName val="0"/>
          <c:showPercent val="0"/>
          <c:showBubbleSize val="0"/>
        </c:dLbls>
        <c:marker val="1"/>
        <c:smooth val="0"/>
        <c:axId val="1943756096"/>
        <c:axId val="1943762624"/>
      </c:lineChart>
      <c:catAx>
        <c:axId val="1943756096"/>
        <c:scaling>
          <c:orientation val="minMax"/>
        </c:scaling>
        <c:delete val="0"/>
        <c:axPos val="b"/>
        <c:numFmt formatCode="General" sourceLinked="1"/>
        <c:majorTickMark val="none"/>
        <c:minorTickMark val="none"/>
        <c:tickLblPos val="nextTo"/>
        <c:spPr>
          <a:noFill/>
          <a:ln w="25400"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3762624"/>
        <c:crosses val="autoZero"/>
        <c:auto val="1"/>
        <c:lblAlgn val="ctr"/>
        <c:lblOffset val="100"/>
        <c:noMultiLvlLbl val="0"/>
      </c:catAx>
      <c:valAx>
        <c:axId val="1943762624"/>
        <c:scaling>
          <c:orientation val="minMax"/>
        </c:scaling>
        <c:delete val="1"/>
        <c:axPos val="l"/>
        <c:numFmt formatCode="General" sourceLinked="1"/>
        <c:majorTickMark val="none"/>
        <c:minorTickMark val="none"/>
        <c:tickLblPos val="nextTo"/>
        <c:crossAx val="194375609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image" Target="../media/image1.gif"/><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jpeg"/></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5" Type="http://schemas.openxmlformats.org/officeDocument/2006/relationships/chart" Target="../charts/chart8.xml"/><Relationship Id="rId4" Type="http://schemas.openxmlformats.org/officeDocument/2006/relationships/chart" Target="../charts/chart7.xml"/></Relationships>
</file>

<file path=xl/drawings/_rels/drawing5.xml.rels><?xml version="1.0" encoding="UTF-8" standalone="yes"?>
<Relationships xmlns="http://schemas.openxmlformats.org/package/2006/relationships"><Relationship Id="rId3" Type="http://schemas.openxmlformats.org/officeDocument/2006/relationships/chart" Target="../charts/chart11.xml"/><Relationship Id="rId2" Type="http://schemas.openxmlformats.org/officeDocument/2006/relationships/chart" Target="../charts/chart10.xml"/><Relationship Id="rId1" Type="http://schemas.openxmlformats.org/officeDocument/2006/relationships/chart" Target="../charts/chart9.xml"/><Relationship Id="rId5" Type="http://schemas.openxmlformats.org/officeDocument/2006/relationships/chart" Target="../charts/chart13.xml"/><Relationship Id="rId4"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1</xdr:col>
      <xdr:colOff>550333</xdr:colOff>
      <xdr:row>20</xdr:row>
      <xdr:rowOff>221191</xdr:rowOff>
    </xdr:from>
    <xdr:to>
      <xdr:col>6</xdr:col>
      <xdr:colOff>127000</xdr:colOff>
      <xdr:row>32</xdr:row>
      <xdr:rowOff>43391</xdr:rowOff>
    </xdr:to>
    <xdr:graphicFrame macro="">
      <xdr:nvGraphicFramePr>
        <xdr:cNvPr id="4" name="Chart 3">
          <a:extLst>
            <a:ext uri="{FF2B5EF4-FFF2-40B4-BE49-F238E27FC236}">
              <a16:creationId xmlns:a16="http://schemas.microsoft.com/office/drawing/2014/main" id="{00000000-0008-0000-02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719665</xdr:colOff>
      <xdr:row>60</xdr:row>
      <xdr:rowOff>95250</xdr:rowOff>
    </xdr:from>
    <xdr:to>
      <xdr:col>7</xdr:col>
      <xdr:colOff>936624</xdr:colOff>
      <xdr:row>62</xdr:row>
      <xdr:rowOff>148167</xdr:rowOff>
    </xdr:to>
    <xdr:pic>
      <xdr:nvPicPr>
        <xdr:cNvPr id="5" name="Picture 4" descr="https://sphweb.bumc.bu.edu/otlt/MPH-Modules/BS/BS704_Confidence_Intervals/lessonimages/equation_image106.gif">
          <a:extLst>
            <a:ext uri="{FF2B5EF4-FFF2-40B4-BE49-F238E27FC236}">
              <a16:creationId xmlns:a16="http://schemas.microsoft.com/office/drawing/2014/main" id="{00000000-0008-0000-0200-000005000000}"/>
            </a:ext>
          </a:extLst>
        </xdr:cNvPr>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900082" y="18594917"/>
          <a:ext cx="941917" cy="539750"/>
        </a:xfrm>
        <a:prstGeom prst="rect">
          <a:avLst/>
        </a:prstGeom>
        <a:noFill/>
        <a:ln>
          <a:noFill/>
        </a:ln>
      </xdr:spPr>
    </xdr:pic>
    <xdr:clientData/>
  </xdr:twoCellAnchor>
  <xdr:twoCellAnchor>
    <xdr:from>
      <xdr:col>11</xdr:col>
      <xdr:colOff>10583</xdr:colOff>
      <xdr:row>29</xdr:row>
      <xdr:rowOff>231773</xdr:rowOff>
    </xdr:from>
    <xdr:to>
      <xdr:col>17</xdr:col>
      <xdr:colOff>402166</xdr:colOff>
      <xdr:row>41</xdr:row>
      <xdr:rowOff>53973</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11907</xdr:colOff>
      <xdr:row>33</xdr:row>
      <xdr:rowOff>86914</xdr:rowOff>
    </xdr:from>
    <xdr:to>
      <xdr:col>6</xdr:col>
      <xdr:colOff>71438</xdr:colOff>
      <xdr:row>44</xdr:row>
      <xdr:rowOff>79771</xdr:rowOff>
    </xdr:to>
    <xdr:graphicFrame macro="">
      <xdr:nvGraphicFramePr>
        <xdr:cNvPr id="3" name="Chart 2">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16</xdr:col>
      <xdr:colOff>381000</xdr:colOff>
      <xdr:row>52</xdr:row>
      <xdr:rowOff>238126</xdr:rowOff>
    </xdr:from>
    <xdr:to>
      <xdr:col>18</xdr:col>
      <xdr:colOff>146050</xdr:colOff>
      <xdr:row>56</xdr:row>
      <xdr:rowOff>164466</xdr:rowOff>
    </xdr:to>
    <xdr:pic>
      <xdr:nvPicPr>
        <xdr:cNvPr id="2" name="Picture 1" descr="One Sample T Test: How to Run It, Step by Step - Statistics How To">
          <a:extLst>
            <a:ext uri="{FF2B5EF4-FFF2-40B4-BE49-F238E27FC236}">
              <a16:creationId xmlns:a16="http://schemas.microsoft.com/office/drawing/2014/main" id="{00000000-0008-0000-0500-000002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858750" y="13239751"/>
          <a:ext cx="1336675" cy="926465"/>
        </a:xfrm>
        <a:prstGeom prst="rect">
          <a:avLst/>
        </a:prstGeom>
        <a:noFill/>
        <a:ln>
          <a:noFill/>
        </a:ln>
      </xdr:spPr>
    </xdr:pic>
    <xdr:clientData/>
  </xdr:twoCellAnchor>
  <xdr:twoCellAnchor editAs="oneCell">
    <xdr:from>
      <xdr:col>11</xdr:col>
      <xdr:colOff>714375</xdr:colOff>
      <xdr:row>91</xdr:row>
      <xdr:rowOff>238125</xdr:rowOff>
    </xdr:from>
    <xdr:to>
      <xdr:col>14</xdr:col>
      <xdr:colOff>83344</xdr:colOff>
      <xdr:row>95</xdr:row>
      <xdr:rowOff>178593</xdr:rowOff>
    </xdr:to>
    <xdr:pic>
      <xdr:nvPicPr>
        <xdr:cNvPr id="3" name="Picture 2" descr="https://media.cheggcdn.com/coop/d3f/d3f7dbcb-13d6-47ab-b4a7-049ea6cb46b9/1605596043089_image.png">
          <a:extLst>
            <a:ext uri="{FF2B5EF4-FFF2-40B4-BE49-F238E27FC236}">
              <a16:creationId xmlns:a16="http://schemas.microsoft.com/office/drawing/2014/main" id="{00000000-0008-0000-0500-000003000000}"/>
            </a:ext>
          </a:extLst>
        </xdr:cNvPr>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465594" y="22990969"/>
          <a:ext cx="1726406" cy="940593"/>
        </a:xfrm>
        <a:prstGeom prst="rect">
          <a:avLst/>
        </a:prstGeom>
        <a:noFill/>
        <a:ln>
          <a:noFill/>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6</xdr:col>
      <xdr:colOff>533399</xdr:colOff>
      <xdr:row>9</xdr:row>
      <xdr:rowOff>209549</xdr:rowOff>
    </xdr:from>
    <xdr:to>
      <xdr:col>10</xdr:col>
      <xdr:colOff>438150</xdr:colOff>
      <xdr:row>17</xdr:row>
      <xdr:rowOff>28574</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552450</xdr:colOff>
      <xdr:row>2</xdr:row>
      <xdr:rowOff>19050</xdr:rowOff>
    </xdr:from>
    <xdr:to>
      <xdr:col>13</xdr:col>
      <xdr:colOff>38100</xdr:colOff>
      <xdr:row>12</xdr:row>
      <xdr:rowOff>66675</xdr:rowOff>
    </xdr:to>
    <mc:AlternateContent xmlns:mc="http://schemas.openxmlformats.org/markup-compatibility/2006" xmlns:a14="http://schemas.microsoft.com/office/drawing/2010/main">
      <mc:Choice Requires="a14">
        <xdr:graphicFrame macro="">
          <xdr:nvGraphicFramePr>
            <xdr:cNvPr id="3" name="Satisfaction Band"/>
            <xdr:cNvGraphicFramePr/>
          </xdr:nvGraphicFramePr>
          <xdr:xfrm>
            <a:off x="0" y="0"/>
            <a:ext cx="0" cy="0"/>
          </xdr:xfrm>
          <a:graphic>
            <a:graphicData uri="http://schemas.microsoft.com/office/drawing/2010/slicer">
              <sle:slicer xmlns:sle="http://schemas.microsoft.com/office/drawing/2010/slicer" name="Satisfaction Band"/>
            </a:graphicData>
          </a:graphic>
        </xdr:graphicFrame>
      </mc:Choice>
      <mc:Fallback xmlns="">
        <xdr:sp macro="" textlink="">
          <xdr:nvSpPr>
            <xdr:cNvPr id="0" name=""/>
            <xdr:cNvSpPr>
              <a:spLocks noTextEdit="1"/>
            </xdr:cNvSpPr>
          </xdr:nvSpPr>
          <xdr:spPr>
            <a:xfrm>
              <a:off x="8181975" y="5143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447676</xdr:colOff>
      <xdr:row>18</xdr:row>
      <xdr:rowOff>9525</xdr:rowOff>
    </xdr:from>
    <xdr:to>
      <xdr:col>6</xdr:col>
      <xdr:colOff>333376</xdr:colOff>
      <xdr:row>25</xdr:row>
      <xdr:rowOff>209549</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514350</xdr:colOff>
      <xdr:row>17</xdr:row>
      <xdr:rowOff>238126</xdr:rowOff>
    </xdr:from>
    <xdr:to>
      <xdr:col>10</xdr:col>
      <xdr:colOff>447675</xdr:colOff>
      <xdr:row>25</xdr:row>
      <xdr:rowOff>228600</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457200</xdr:colOff>
      <xdr:row>9</xdr:row>
      <xdr:rowOff>200024</xdr:rowOff>
    </xdr:from>
    <xdr:to>
      <xdr:col>6</xdr:col>
      <xdr:colOff>371475</xdr:colOff>
      <xdr:row>17</xdr:row>
      <xdr:rowOff>19049</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447675</xdr:colOff>
      <xdr:row>1</xdr:row>
      <xdr:rowOff>200024</xdr:rowOff>
    </xdr:from>
    <xdr:to>
      <xdr:col>10</xdr:col>
      <xdr:colOff>438150</xdr:colOff>
      <xdr:row>9</xdr:row>
      <xdr:rowOff>114299</xdr:rowOff>
    </xdr:to>
    <xdr:graphicFrame macro="">
      <xdr:nvGraphicFramePr>
        <xdr:cNvPr id="1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10</xdr:col>
      <xdr:colOff>571500</xdr:colOff>
      <xdr:row>12</xdr:row>
      <xdr:rowOff>114300</xdr:rowOff>
    </xdr:from>
    <xdr:to>
      <xdr:col>13</xdr:col>
      <xdr:colOff>57150</xdr:colOff>
      <xdr:row>22</xdr:row>
      <xdr:rowOff>161925</xdr:rowOff>
    </xdr:to>
    <mc:AlternateContent xmlns:mc="http://schemas.openxmlformats.org/markup-compatibility/2006" xmlns:a14="http://schemas.microsoft.com/office/drawing/2010/main">
      <mc:Choice Requires="a14">
        <xdr:graphicFrame macro="">
          <xdr:nvGraphicFramePr>
            <xdr:cNvPr id="14" name="Age Band"/>
            <xdr:cNvGraphicFramePr/>
          </xdr:nvGraphicFramePr>
          <xdr:xfrm>
            <a:off x="0" y="0"/>
            <a:ext cx="0" cy="0"/>
          </xdr:xfrm>
          <a:graphic>
            <a:graphicData uri="http://schemas.microsoft.com/office/drawing/2010/slicer">
              <sle:slicer xmlns:sle="http://schemas.microsoft.com/office/drawing/2010/slicer" name="Age Band"/>
            </a:graphicData>
          </a:graphic>
        </xdr:graphicFrame>
      </mc:Choice>
      <mc:Fallback xmlns="">
        <xdr:sp macro="" textlink="">
          <xdr:nvSpPr>
            <xdr:cNvPr id="0" name=""/>
            <xdr:cNvSpPr>
              <a:spLocks noTextEdit="1"/>
            </xdr:cNvSpPr>
          </xdr:nvSpPr>
          <xdr:spPr>
            <a:xfrm>
              <a:off x="8201025" y="30861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3</xdr:col>
      <xdr:colOff>352425</xdr:colOff>
      <xdr:row>4</xdr:row>
      <xdr:rowOff>9525</xdr:rowOff>
    </xdr:from>
    <xdr:to>
      <xdr:col>6</xdr:col>
      <xdr:colOff>676275</xdr:colOff>
      <xdr:row>11</xdr:row>
      <xdr:rowOff>180975</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0</xdr:colOff>
      <xdr:row>16</xdr:row>
      <xdr:rowOff>0</xdr:rowOff>
    </xdr:from>
    <xdr:to>
      <xdr:col>7</xdr:col>
      <xdr:colOff>771525</xdr:colOff>
      <xdr:row>23</xdr:row>
      <xdr:rowOff>95250</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0</xdr:colOff>
      <xdr:row>26</xdr:row>
      <xdr:rowOff>0</xdr:rowOff>
    </xdr:from>
    <xdr:to>
      <xdr:col>7</xdr:col>
      <xdr:colOff>752475</xdr:colOff>
      <xdr:row>32</xdr:row>
      <xdr:rowOff>200025</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0</xdr:colOff>
      <xdr:row>35</xdr:row>
      <xdr:rowOff>0</xdr:rowOff>
    </xdr:from>
    <xdr:to>
      <xdr:col>7</xdr:col>
      <xdr:colOff>666750</xdr:colOff>
      <xdr:row>43</xdr:row>
      <xdr:rowOff>209550</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1223962</xdr:colOff>
      <xdr:row>47</xdr:row>
      <xdr:rowOff>90487</xdr:rowOff>
    </xdr:from>
    <xdr:to>
      <xdr:col>6</xdr:col>
      <xdr:colOff>471487</xdr:colOff>
      <xdr:row>60</xdr:row>
      <xdr:rowOff>42862</xdr:rowOff>
    </xdr:to>
    <xdr:graphicFrame macro="">
      <xdr:nvGraphicFramePr>
        <xdr:cNvPr id="11" name="Chart 10"/>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user" refreshedDate="44372.560410648148" createdVersion="5" refreshedVersion="5" minRefreshableVersion="3" recordCount="200">
  <cacheSource type="worksheet">
    <worksheetSource ref="A1:Q201" sheet="Data"/>
  </cacheSource>
  <cacheFields count="17">
    <cacheField name="ID" numFmtId="3">
      <sharedItems containsSemiMixedTypes="0" containsString="0" containsNumber="1" containsInteger="1" minValue="1" maxValue="200"/>
    </cacheField>
    <cacheField name="Age" numFmtId="3">
      <sharedItems containsSemiMixedTypes="0" containsString="0" containsNumber="1" containsInteger="1" minValue="21" maxValue="94" count="61">
        <n v="90"/>
        <n v="81"/>
        <n v="39"/>
        <n v="42"/>
        <n v="57"/>
        <n v="60"/>
        <n v="54"/>
        <n v="66"/>
        <n v="34"/>
        <n v="76"/>
        <n v="65"/>
        <n v="33"/>
        <n v="58"/>
        <n v="46"/>
        <n v="36"/>
        <n v="63"/>
        <n v="38"/>
        <n v="27"/>
        <n v="21"/>
        <n v="48"/>
        <n v="52"/>
        <n v="30"/>
        <n v="35"/>
        <n v="79"/>
        <n v="47"/>
        <n v="64"/>
        <n v="37"/>
        <n v="45"/>
        <n v="67"/>
        <n v="44"/>
        <n v="68"/>
        <n v="75"/>
        <n v="55"/>
        <n v="53"/>
        <n v="69"/>
        <n v="59"/>
        <n v="29"/>
        <n v="56"/>
        <n v="43"/>
        <n v="41"/>
        <n v="24"/>
        <n v="32"/>
        <n v="74"/>
        <n v="51"/>
        <n v="26"/>
        <n v="82"/>
        <n v="28"/>
        <n v="25"/>
        <n v="77"/>
        <n v="85"/>
        <n v="61"/>
        <n v="40"/>
        <n v="50"/>
        <n v="49"/>
        <n v="62"/>
        <n v="89"/>
        <n v="84"/>
        <n v="31"/>
        <n v="94"/>
        <n v="70"/>
        <n v="78"/>
      </sharedItems>
    </cacheField>
    <cacheField name="Gender" numFmtId="3">
      <sharedItems count="3">
        <s v="Male"/>
        <s v="Female"/>
        <s v="Prefer"/>
      </sharedItems>
    </cacheField>
    <cacheField name="Booking Type" numFmtId="3">
      <sharedItems count="4">
        <s v="Double"/>
        <s v="Solo"/>
        <s v="Family"/>
        <s v="Group"/>
      </sharedItems>
    </cacheField>
    <cacheField name="Children" numFmtId="3">
      <sharedItems containsSemiMixedTypes="0" containsString="0" containsNumber="1" containsInteger="1" minValue="0" maxValue="6" count="7">
        <n v="0"/>
        <n v="5"/>
        <n v="1"/>
        <n v="2"/>
        <n v="3"/>
        <n v="4"/>
        <n v="6"/>
      </sharedItems>
    </cacheField>
    <cacheField name="Passengers" numFmtId="3">
      <sharedItems containsSemiMixedTypes="0" containsString="0" containsNumber="1" containsInteger="1" minValue="1" maxValue="8" count="8">
        <n v="2"/>
        <n v="1"/>
        <n v="7"/>
        <n v="8"/>
        <n v="3"/>
        <n v="4"/>
        <n v="5"/>
        <n v="6"/>
      </sharedItems>
    </cacheField>
    <cacheField name="Cabin" numFmtId="3">
      <sharedItems count="4">
        <s v="Luxury"/>
        <s v="Suite"/>
        <s v="Porthole"/>
        <s v="Internal"/>
      </sharedItems>
    </cacheField>
    <cacheField name="Cabin Cost" numFmtId="3">
      <sharedItems containsSemiMixedTypes="0" containsString="0" containsNumber="1" containsInteger="1" minValue="500" maxValue="2950"/>
    </cacheField>
    <cacheField name="Side Trips" numFmtId="3">
      <sharedItems containsSemiMixedTypes="0" containsString="0" containsNumber="1" containsInteger="1" minValue="0" maxValue="1130" count="16">
        <n v="0"/>
        <n v="1130"/>
        <n v="296"/>
        <n v="93"/>
        <n v="696"/>
        <n v="348"/>
        <n v="904"/>
        <n v="444"/>
        <n v="522"/>
        <n v="148"/>
        <n v="592"/>
        <n v="186"/>
        <n v="452"/>
        <n v="174"/>
        <n v="678"/>
        <n v="226"/>
      </sharedItems>
    </cacheField>
    <cacheField name="Insurance" numFmtId="3">
      <sharedItems containsSemiMixedTypes="0" containsString="0" containsNumber="1" containsInteger="1" minValue="84" maxValue="1506"/>
    </cacheField>
    <cacheField name="Food and Drink" numFmtId="3">
      <sharedItems containsSemiMixedTypes="0" containsString="0" containsNumber="1" containsInteger="1" minValue="0" maxValue="755"/>
    </cacheField>
    <cacheField name="Entertainment" numFmtId="3">
      <sharedItems containsSemiMixedTypes="0" containsString="0" containsNumber="1" containsInteger="1" minValue="0" maxValue="915"/>
    </cacheField>
    <cacheField name="Merchandise" numFmtId="3">
      <sharedItems containsSemiMixedTypes="0" containsString="0" containsNumber="1" containsInteger="1" minValue="0" maxValue="604"/>
    </cacheField>
    <cacheField name="Total Spending" numFmtId="3">
      <sharedItems containsSemiMixedTypes="0" containsString="0" containsNumber="1" containsInteger="1" minValue="903" maxValue="6105"/>
    </cacheField>
    <cacheField name="Satisfaction" numFmtId="3">
      <sharedItems containsSemiMixedTypes="0" containsString="0" containsNumber="1" containsInteger="1" minValue="39" maxValue="97" count="56">
        <n v="75"/>
        <n v="51"/>
        <n v="60"/>
        <n v="73"/>
        <n v="68"/>
        <n v="54"/>
        <n v="58"/>
        <n v="80"/>
        <n v="89"/>
        <n v="45"/>
        <n v="85"/>
        <n v="66"/>
        <n v="93"/>
        <n v="39"/>
        <n v="79"/>
        <n v="61"/>
        <n v="55"/>
        <n v="71"/>
        <n v="81"/>
        <n v="49"/>
        <n v="50"/>
        <n v="57"/>
        <n v="78"/>
        <n v="88"/>
        <n v="48"/>
        <n v="47"/>
        <n v="52"/>
        <n v="63"/>
        <n v="77"/>
        <n v="82"/>
        <n v="65"/>
        <n v="96"/>
        <n v="76"/>
        <n v="83"/>
        <n v="64"/>
        <n v="62"/>
        <n v="74"/>
        <n v="94"/>
        <n v="46"/>
        <n v="97"/>
        <n v="70"/>
        <n v="59"/>
        <n v="53"/>
        <n v="91"/>
        <n v="72"/>
        <n v="69"/>
        <n v="56"/>
        <n v="86"/>
        <n v="92"/>
        <n v="95"/>
        <n v="67"/>
        <n v="41"/>
        <n v="44"/>
        <n v="43"/>
        <n v="90"/>
        <n v="42"/>
      </sharedItems>
    </cacheField>
    <cacheField name="Age Band" numFmtId="3">
      <sharedItems count="5">
        <s v="Senior"/>
        <s v="Core"/>
        <s v="Prime"/>
        <s v="Mature"/>
        <s v="Young"/>
      </sharedItems>
    </cacheField>
    <cacheField name="Satisfaction Band" numFmtId="3">
      <sharedItems count="5">
        <s v="Happy"/>
        <s v="Unimpressed"/>
        <s v="Acceptable"/>
        <s v="Delighted"/>
        <s v="Unhappy"/>
      </sharedItems>
    </cacheField>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r:id="rId1" refreshedBy="admin" refreshedDate="44624.770261226855" createdVersion="6" refreshedVersion="6" minRefreshableVersion="3" recordCount="200">
  <cacheSource type="worksheet">
    <worksheetSource ref="A1:R201" sheet="Data"/>
  </cacheSource>
  <cacheFields count="18">
    <cacheField name="ID" numFmtId="3">
      <sharedItems containsSemiMixedTypes="0" containsString="0" containsNumber="1" containsInteger="1" minValue="1" maxValue="200"/>
    </cacheField>
    <cacheField name="Age" numFmtId="3">
      <sharedItems containsSemiMixedTypes="0" containsString="0" containsNumber="1" containsInteger="1" minValue="21" maxValue="94"/>
    </cacheField>
    <cacheField name="Gender" numFmtId="3">
      <sharedItems count="3">
        <s v="Male"/>
        <s v="Female"/>
        <s v="Prefer"/>
      </sharedItems>
    </cacheField>
    <cacheField name="Booking Type" numFmtId="3">
      <sharedItems count="4">
        <s v="Double"/>
        <s v="Solo"/>
        <s v="Family"/>
        <s v="Group"/>
      </sharedItems>
    </cacheField>
    <cacheField name="Children" numFmtId="3">
      <sharedItems containsSemiMixedTypes="0" containsString="0" containsNumber="1" containsInteger="1" minValue="0" maxValue="6"/>
    </cacheField>
    <cacheField name="Passengers" numFmtId="3">
      <sharedItems containsSemiMixedTypes="0" containsString="0" containsNumber="1" containsInteger="1" minValue="1" maxValue="8"/>
    </cacheField>
    <cacheField name="Cabin" numFmtId="3">
      <sharedItems/>
    </cacheField>
    <cacheField name="Cabin Cost" numFmtId="3">
      <sharedItems containsSemiMixedTypes="0" containsString="0" containsNumber="1" containsInteger="1" minValue="500" maxValue="2950"/>
    </cacheField>
    <cacheField name="Side Trips" numFmtId="3">
      <sharedItems containsSemiMixedTypes="0" containsString="0" containsNumber="1" containsInteger="1" minValue="0" maxValue="1130"/>
    </cacheField>
    <cacheField name="Insurance" numFmtId="3">
      <sharedItems containsSemiMixedTypes="0" containsString="0" containsNumber="1" containsInteger="1" minValue="84" maxValue="1506"/>
    </cacheField>
    <cacheField name="Food and Drink" numFmtId="3">
      <sharedItems containsSemiMixedTypes="0" containsString="0" containsNumber="1" containsInteger="1" minValue="0" maxValue="755"/>
    </cacheField>
    <cacheField name="Entertainment" numFmtId="3">
      <sharedItems containsSemiMixedTypes="0" containsString="0" containsNumber="1" containsInteger="1" minValue="0" maxValue="915"/>
    </cacheField>
    <cacheField name="Merchandise" numFmtId="3">
      <sharedItems containsSemiMixedTypes="0" containsString="0" containsNumber="1" containsInteger="1" minValue="0" maxValue="604"/>
    </cacheField>
    <cacheField name="Total Spending" numFmtId="3">
      <sharedItems containsSemiMixedTypes="0" containsString="0" containsNumber="1" containsInteger="1" minValue="903" maxValue="6105" count="190">
        <n v="2872"/>
        <n v="5599"/>
        <n v="3025"/>
        <n v="3302"/>
        <n v="2597"/>
        <n v="3524"/>
        <n v="2309"/>
        <n v="3213"/>
        <n v="1938"/>
        <n v="3371"/>
        <n v="2158"/>
        <n v="3254"/>
        <n v="2599"/>
        <n v="2512"/>
        <n v="1774"/>
        <n v="2494"/>
        <n v="2212"/>
        <n v="1885"/>
        <n v="2532"/>
        <n v="2279"/>
        <n v="4840"/>
        <n v="2384"/>
        <n v="2745"/>
        <n v="5047"/>
        <n v="4311"/>
        <n v="2732"/>
        <n v="3100"/>
        <n v="2195"/>
        <n v="2574"/>
        <n v="2612"/>
        <n v="3269"/>
        <n v="4503"/>
        <n v="2277"/>
        <n v="2397"/>
        <n v="5597"/>
        <n v="2628"/>
        <n v="2208"/>
        <n v="3836"/>
        <n v="2282"/>
        <n v="2552"/>
        <n v="2213"/>
        <n v="1532"/>
        <n v="2505"/>
        <n v="2549"/>
        <n v="2390"/>
        <n v="2168"/>
        <n v="4076"/>
        <n v="4039"/>
        <n v="2058"/>
        <n v="1599"/>
        <n v="3602"/>
        <n v="6105"/>
        <n v="3844"/>
        <n v="1905"/>
        <n v="1673"/>
        <n v="2094"/>
        <n v="2522"/>
        <n v="2776"/>
        <n v="3194"/>
        <n v="3464"/>
        <n v="2155"/>
        <n v="3999"/>
        <n v="3751"/>
        <n v="4719"/>
        <n v="4166"/>
        <n v="3374"/>
        <n v="1376"/>
        <n v="1831"/>
        <n v="2925"/>
        <n v="2771"/>
        <n v="3236"/>
        <n v="1823"/>
        <n v="1873"/>
        <n v="3811"/>
        <n v="4595"/>
        <n v="3809"/>
        <n v="4633"/>
        <n v="4085"/>
        <n v="2356"/>
        <n v="4006"/>
        <n v="2839"/>
        <n v="2262"/>
        <n v="2230"/>
        <n v="3002"/>
        <n v="2739"/>
        <n v="1414"/>
        <n v="3572"/>
        <n v="1283"/>
        <n v="1826"/>
        <n v="4205"/>
        <n v="3710"/>
        <n v="2943"/>
        <n v="4410"/>
        <n v="3949"/>
        <n v="3589"/>
        <n v="5273"/>
        <n v="5779"/>
        <n v="4752"/>
        <n v="3641"/>
        <n v="2637"/>
        <n v="2558"/>
        <n v="5240"/>
        <n v="2273"/>
        <n v="4290"/>
        <n v="4157"/>
        <n v="2134"/>
        <n v="2543"/>
        <n v="2705"/>
        <n v="1784"/>
        <n v="1755"/>
        <n v="4944"/>
        <n v="2481"/>
        <n v="2720"/>
        <n v="2697"/>
        <n v="5562"/>
        <n v="4626"/>
        <n v="3375"/>
        <n v="2417"/>
        <n v="1172"/>
        <n v="2041"/>
        <n v="4259"/>
        <n v="1517"/>
        <n v="2524"/>
        <n v="3793"/>
        <n v="3044"/>
        <n v="4110"/>
        <n v="3229"/>
        <n v="938"/>
        <n v="2061"/>
        <n v="2399"/>
        <n v="2469"/>
        <n v="2318"/>
        <n v="2775"/>
        <n v="2721"/>
        <n v="2283"/>
        <n v="5284"/>
        <n v="2053"/>
        <n v="2774"/>
        <n v="5832"/>
        <n v="6085"/>
        <n v="1036"/>
        <n v="2120"/>
        <n v="2290"/>
        <n v="2433"/>
        <n v="3067"/>
        <n v="4334"/>
        <n v="4237"/>
        <n v="2238"/>
        <n v="1489"/>
        <n v="3672"/>
        <n v="2327"/>
        <n v="2490"/>
        <n v="2314"/>
        <n v="903"/>
        <n v="3495"/>
        <n v="2887"/>
        <n v="4395"/>
        <n v="2744"/>
        <n v="1817"/>
        <n v="4671"/>
        <n v="5410"/>
        <n v="2926"/>
        <n v="4041"/>
        <n v="4261"/>
        <n v="2468"/>
        <n v="2222"/>
        <n v="3971"/>
        <n v="2759"/>
        <n v="3013"/>
        <n v="2341"/>
        <n v="2680"/>
        <n v="3537"/>
        <n v="2229"/>
        <n v="1849"/>
        <n v="1677"/>
        <n v="4066"/>
        <n v="2076"/>
        <n v="3671"/>
        <n v="2189"/>
        <n v="2961"/>
        <n v="4316"/>
        <n v="2557"/>
        <n v="5319"/>
        <n v="2330"/>
        <n v="2678"/>
        <n v="2528"/>
        <n v="2591"/>
        <n v="4383"/>
        <n v="4267"/>
        <n v="1407"/>
      </sharedItems>
    </cacheField>
    <cacheField name="Satisfaction" numFmtId="3">
      <sharedItems containsSemiMixedTypes="0" containsString="0" containsNumber="1" containsInteger="1" minValue="39" maxValue="97"/>
    </cacheField>
    <cacheField name="Age Band" numFmtId="3">
      <sharedItems count="5">
        <s v="Senior"/>
        <s v="Core"/>
        <s v="Prime"/>
        <s v="Mature"/>
        <s v="Young"/>
      </sharedItems>
    </cacheField>
    <cacheField name="Satisfaction Band" numFmtId="3">
      <sharedItems count="5">
        <s v="Happy"/>
        <s v="Unimpressed"/>
        <s v="Acceptable"/>
        <s v="Delighted"/>
        <s v="Unhappy"/>
      </sharedItems>
    </cacheField>
    <cacheField name="Spending Band" numFmtId="3">
      <sharedItems count="4">
        <s v="Medium"/>
        <s v="Premium"/>
        <s v="High"/>
        <s v="Budget"/>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200">
  <r>
    <n v="1"/>
    <x v="0"/>
    <x v="0"/>
    <x v="0"/>
    <x v="0"/>
    <x v="0"/>
    <x v="0"/>
    <n v="1950"/>
    <x v="0"/>
    <n v="352"/>
    <n v="302"/>
    <n v="119"/>
    <n v="149"/>
    <n v="2872"/>
    <x v="0"/>
    <x v="0"/>
    <x v="0"/>
  </r>
  <r>
    <n v="2"/>
    <x v="1"/>
    <x v="1"/>
    <x v="1"/>
    <x v="0"/>
    <x v="1"/>
    <x v="1"/>
    <n v="2950"/>
    <x v="1"/>
    <n v="251"/>
    <n v="238"/>
    <n v="732"/>
    <n v="298"/>
    <n v="5599"/>
    <x v="1"/>
    <x v="0"/>
    <x v="1"/>
  </r>
  <r>
    <n v="3"/>
    <x v="2"/>
    <x v="2"/>
    <x v="2"/>
    <x v="1"/>
    <x v="2"/>
    <x v="2"/>
    <n v="1150"/>
    <x v="2"/>
    <n v="882"/>
    <n v="0"/>
    <n v="501"/>
    <n v="196"/>
    <n v="3025"/>
    <x v="2"/>
    <x v="1"/>
    <x v="2"/>
  </r>
  <r>
    <n v="4"/>
    <x v="3"/>
    <x v="0"/>
    <x v="3"/>
    <x v="0"/>
    <x v="3"/>
    <x v="2"/>
    <n v="1150"/>
    <x v="3"/>
    <n v="1008"/>
    <n v="302"/>
    <n v="357"/>
    <n v="392"/>
    <n v="3302"/>
    <x v="3"/>
    <x v="1"/>
    <x v="0"/>
  </r>
  <r>
    <n v="5"/>
    <x v="4"/>
    <x v="1"/>
    <x v="2"/>
    <x v="2"/>
    <x v="4"/>
    <x v="0"/>
    <n v="1950"/>
    <x v="0"/>
    <n v="528"/>
    <n v="119"/>
    <n v="0"/>
    <n v="0"/>
    <n v="2597"/>
    <x v="4"/>
    <x v="2"/>
    <x v="2"/>
  </r>
  <r>
    <n v="6"/>
    <x v="5"/>
    <x v="1"/>
    <x v="2"/>
    <x v="3"/>
    <x v="5"/>
    <x v="2"/>
    <n v="1150"/>
    <x v="2"/>
    <n v="504"/>
    <n v="238"/>
    <n v="732"/>
    <n v="604"/>
    <n v="3524"/>
    <x v="5"/>
    <x v="3"/>
    <x v="1"/>
  </r>
  <r>
    <n v="7"/>
    <x v="2"/>
    <x v="0"/>
    <x v="3"/>
    <x v="0"/>
    <x v="3"/>
    <x v="2"/>
    <n v="1150"/>
    <x v="0"/>
    <n v="1008"/>
    <n v="151"/>
    <n v="0"/>
    <n v="0"/>
    <n v="2309"/>
    <x v="6"/>
    <x v="1"/>
    <x v="1"/>
  </r>
  <r>
    <n v="8"/>
    <x v="6"/>
    <x v="1"/>
    <x v="0"/>
    <x v="0"/>
    <x v="0"/>
    <x v="2"/>
    <n v="1150"/>
    <x v="4"/>
    <n v="252"/>
    <n v="119"/>
    <n v="549"/>
    <n v="447"/>
    <n v="3213"/>
    <x v="7"/>
    <x v="2"/>
    <x v="3"/>
  </r>
  <r>
    <n v="9"/>
    <x v="4"/>
    <x v="0"/>
    <x v="0"/>
    <x v="0"/>
    <x v="0"/>
    <x v="2"/>
    <n v="1150"/>
    <x v="0"/>
    <n v="252"/>
    <n v="0"/>
    <n v="238"/>
    <n v="298"/>
    <n v="1938"/>
    <x v="8"/>
    <x v="2"/>
    <x v="3"/>
  </r>
  <r>
    <n v="10"/>
    <x v="7"/>
    <x v="0"/>
    <x v="2"/>
    <x v="4"/>
    <x v="6"/>
    <x v="2"/>
    <n v="1150"/>
    <x v="2"/>
    <n v="630"/>
    <n v="755"/>
    <n v="238"/>
    <n v="302"/>
    <n v="3371"/>
    <x v="9"/>
    <x v="3"/>
    <x v="4"/>
  </r>
  <r>
    <n v="11"/>
    <x v="8"/>
    <x v="0"/>
    <x v="3"/>
    <x v="0"/>
    <x v="4"/>
    <x v="2"/>
    <n v="1150"/>
    <x v="0"/>
    <n v="378"/>
    <n v="0"/>
    <n v="238"/>
    <n v="392"/>
    <n v="2158"/>
    <x v="10"/>
    <x v="1"/>
    <x v="3"/>
  </r>
  <r>
    <n v="12"/>
    <x v="9"/>
    <x v="0"/>
    <x v="0"/>
    <x v="0"/>
    <x v="0"/>
    <x v="0"/>
    <n v="1950"/>
    <x v="5"/>
    <n v="352"/>
    <n v="604"/>
    <n v="0"/>
    <n v="0"/>
    <n v="3254"/>
    <x v="11"/>
    <x v="0"/>
    <x v="2"/>
  </r>
  <r>
    <n v="13"/>
    <x v="2"/>
    <x v="1"/>
    <x v="1"/>
    <x v="0"/>
    <x v="1"/>
    <x v="3"/>
    <n v="500"/>
    <x v="6"/>
    <n v="84"/>
    <n v="0"/>
    <n v="915"/>
    <n v="196"/>
    <n v="2599"/>
    <x v="12"/>
    <x v="1"/>
    <x v="3"/>
  </r>
  <r>
    <n v="14"/>
    <x v="10"/>
    <x v="0"/>
    <x v="2"/>
    <x v="2"/>
    <x v="4"/>
    <x v="2"/>
    <n v="1150"/>
    <x v="7"/>
    <n v="378"/>
    <n v="302"/>
    <n v="238"/>
    <n v="0"/>
    <n v="2512"/>
    <x v="13"/>
    <x v="3"/>
    <x v="4"/>
  </r>
  <r>
    <n v="15"/>
    <x v="11"/>
    <x v="1"/>
    <x v="0"/>
    <x v="0"/>
    <x v="0"/>
    <x v="3"/>
    <n v="500"/>
    <x v="5"/>
    <n v="168"/>
    <n v="0"/>
    <n v="366"/>
    <n v="392"/>
    <n v="1774"/>
    <x v="14"/>
    <x v="1"/>
    <x v="0"/>
  </r>
  <r>
    <n v="16"/>
    <x v="12"/>
    <x v="1"/>
    <x v="0"/>
    <x v="0"/>
    <x v="0"/>
    <x v="2"/>
    <n v="1150"/>
    <x v="8"/>
    <n v="252"/>
    <n v="238"/>
    <n v="183"/>
    <n v="149"/>
    <n v="2494"/>
    <x v="15"/>
    <x v="2"/>
    <x v="2"/>
  </r>
  <r>
    <n v="17"/>
    <x v="13"/>
    <x v="1"/>
    <x v="1"/>
    <x v="0"/>
    <x v="1"/>
    <x v="2"/>
    <n v="1150"/>
    <x v="0"/>
    <n v="126"/>
    <n v="238"/>
    <n v="549"/>
    <n v="149"/>
    <n v="2212"/>
    <x v="3"/>
    <x v="2"/>
    <x v="0"/>
  </r>
  <r>
    <n v="18"/>
    <x v="14"/>
    <x v="1"/>
    <x v="2"/>
    <x v="2"/>
    <x v="4"/>
    <x v="2"/>
    <n v="1150"/>
    <x v="0"/>
    <n v="378"/>
    <n v="357"/>
    <n v="0"/>
    <n v="0"/>
    <n v="1885"/>
    <x v="16"/>
    <x v="1"/>
    <x v="1"/>
  </r>
  <r>
    <n v="19"/>
    <x v="15"/>
    <x v="0"/>
    <x v="2"/>
    <x v="4"/>
    <x v="6"/>
    <x v="2"/>
    <n v="1150"/>
    <x v="9"/>
    <n v="630"/>
    <n v="302"/>
    <n v="0"/>
    <n v="302"/>
    <n v="2532"/>
    <x v="17"/>
    <x v="3"/>
    <x v="0"/>
  </r>
  <r>
    <n v="20"/>
    <x v="16"/>
    <x v="1"/>
    <x v="0"/>
    <x v="0"/>
    <x v="0"/>
    <x v="3"/>
    <n v="500"/>
    <x v="8"/>
    <n v="168"/>
    <n v="357"/>
    <n v="732"/>
    <n v="0"/>
    <n v="2279"/>
    <x v="10"/>
    <x v="1"/>
    <x v="3"/>
  </r>
  <r>
    <n v="21"/>
    <x v="17"/>
    <x v="0"/>
    <x v="2"/>
    <x v="3"/>
    <x v="5"/>
    <x v="1"/>
    <n v="2950"/>
    <x v="10"/>
    <n v="1004"/>
    <n v="0"/>
    <n v="0"/>
    <n v="294"/>
    <n v="4840"/>
    <x v="18"/>
    <x v="4"/>
    <x v="3"/>
  </r>
  <r>
    <n v="22"/>
    <x v="17"/>
    <x v="2"/>
    <x v="0"/>
    <x v="0"/>
    <x v="0"/>
    <x v="2"/>
    <n v="1150"/>
    <x v="0"/>
    <n v="252"/>
    <n v="334"/>
    <n v="501"/>
    <n v="147"/>
    <n v="2384"/>
    <x v="19"/>
    <x v="4"/>
    <x v="4"/>
  </r>
  <r>
    <n v="23"/>
    <x v="18"/>
    <x v="1"/>
    <x v="3"/>
    <x v="0"/>
    <x v="6"/>
    <x v="2"/>
    <n v="1150"/>
    <x v="11"/>
    <n v="630"/>
    <n v="119"/>
    <n v="366"/>
    <n v="294"/>
    <n v="2745"/>
    <x v="5"/>
    <x v="4"/>
    <x v="1"/>
  </r>
  <r>
    <n v="24"/>
    <x v="19"/>
    <x v="0"/>
    <x v="2"/>
    <x v="2"/>
    <x v="4"/>
    <x v="1"/>
    <n v="2950"/>
    <x v="7"/>
    <n v="753"/>
    <n v="453"/>
    <n v="0"/>
    <n v="447"/>
    <n v="5047"/>
    <x v="20"/>
    <x v="2"/>
    <x v="1"/>
  </r>
  <r>
    <n v="25"/>
    <x v="14"/>
    <x v="0"/>
    <x v="2"/>
    <x v="5"/>
    <x v="7"/>
    <x v="0"/>
    <n v="1950"/>
    <x v="9"/>
    <n v="1056"/>
    <n v="604"/>
    <n v="357"/>
    <n v="196"/>
    <n v="4311"/>
    <x v="21"/>
    <x v="1"/>
    <x v="1"/>
  </r>
  <r>
    <n v="26"/>
    <x v="20"/>
    <x v="0"/>
    <x v="2"/>
    <x v="4"/>
    <x v="6"/>
    <x v="2"/>
    <n v="1150"/>
    <x v="9"/>
    <n v="630"/>
    <n v="0"/>
    <n v="357"/>
    <n v="447"/>
    <n v="2732"/>
    <x v="4"/>
    <x v="2"/>
    <x v="2"/>
  </r>
  <r>
    <n v="27"/>
    <x v="3"/>
    <x v="2"/>
    <x v="0"/>
    <x v="0"/>
    <x v="0"/>
    <x v="2"/>
    <n v="1150"/>
    <x v="4"/>
    <n v="252"/>
    <n v="501"/>
    <n v="501"/>
    <n v="0"/>
    <n v="3100"/>
    <x v="5"/>
    <x v="1"/>
    <x v="1"/>
  </r>
  <r>
    <n v="28"/>
    <x v="21"/>
    <x v="1"/>
    <x v="0"/>
    <x v="0"/>
    <x v="0"/>
    <x v="3"/>
    <n v="500"/>
    <x v="5"/>
    <n v="168"/>
    <n v="238"/>
    <n v="549"/>
    <n v="392"/>
    <n v="2195"/>
    <x v="3"/>
    <x v="1"/>
    <x v="0"/>
  </r>
  <r>
    <n v="29"/>
    <x v="6"/>
    <x v="0"/>
    <x v="0"/>
    <x v="0"/>
    <x v="0"/>
    <x v="2"/>
    <n v="1150"/>
    <x v="0"/>
    <n v="252"/>
    <n v="755"/>
    <n v="119"/>
    <n v="298"/>
    <n v="2574"/>
    <x v="22"/>
    <x v="2"/>
    <x v="0"/>
  </r>
  <r>
    <n v="30"/>
    <x v="17"/>
    <x v="1"/>
    <x v="3"/>
    <x v="0"/>
    <x v="4"/>
    <x v="2"/>
    <n v="1150"/>
    <x v="11"/>
    <n v="378"/>
    <n v="238"/>
    <n v="366"/>
    <n v="294"/>
    <n v="2612"/>
    <x v="23"/>
    <x v="4"/>
    <x v="3"/>
  </r>
  <r>
    <n v="31"/>
    <x v="22"/>
    <x v="1"/>
    <x v="2"/>
    <x v="6"/>
    <x v="3"/>
    <x v="2"/>
    <n v="1150"/>
    <x v="0"/>
    <n v="1008"/>
    <n v="0"/>
    <n v="915"/>
    <n v="196"/>
    <n v="3269"/>
    <x v="20"/>
    <x v="1"/>
    <x v="1"/>
  </r>
  <r>
    <n v="32"/>
    <x v="23"/>
    <x v="1"/>
    <x v="0"/>
    <x v="0"/>
    <x v="0"/>
    <x v="1"/>
    <n v="2950"/>
    <x v="0"/>
    <n v="502"/>
    <n v="238"/>
    <n v="366"/>
    <n v="447"/>
    <n v="4503"/>
    <x v="20"/>
    <x v="0"/>
    <x v="1"/>
  </r>
  <r>
    <n v="33"/>
    <x v="7"/>
    <x v="1"/>
    <x v="2"/>
    <x v="2"/>
    <x v="4"/>
    <x v="2"/>
    <n v="1150"/>
    <x v="2"/>
    <n v="378"/>
    <n v="119"/>
    <n v="183"/>
    <n v="151"/>
    <n v="2277"/>
    <x v="17"/>
    <x v="3"/>
    <x v="0"/>
  </r>
  <r>
    <n v="34"/>
    <x v="18"/>
    <x v="0"/>
    <x v="3"/>
    <x v="0"/>
    <x v="3"/>
    <x v="3"/>
    <n v="500"/>
    <x v="3"/>
    <n v="672"/>
    <n v="453"/>
    <n v="238"/>
    <n v="441"/>
    <n v="2397"/>
    <x v="24"/>
    <x v="4"/>
    <x v="4"/>
  </r>
  <r>
    <n v="35"/>
    <x v="19"/>
    <x v="0"/>
    <x v="2"/>
    <x v="5"/>
    <x v="7"/>
    <x v="1"/>
    <n v="2950"/>
    <x v="9"/>
    <n v="1506"/>
    <n v="755"/>
    <n v="238"/>
    <n v="0"/>
    <n v="5597"/>
    <x v="18"/>
    <x v="2"/>
    <x v="3"/>
  </r>
  <r>
    <n v="36"/>
    <x v="24"/>
    <x v="0"/>
    <x v="3"/>
    <x v="0"/>
    <x v="6"/>
    <x v="2"/>
    <n v="1150"/>
    <x v="3"/>
    <n v="630"/>
    <n v="755"/>
    <n v="0"/>
    <n v="0"/>
    <n v="2628"/>
    <x v="25"/>
    <x v="2"/>
    <x v="4"/>
  </r>
  <r>
    <n v="37"/>
    <x v="25"/>
    <x v="1"/>
    <x v="2"/>
    <x v="5"/>
    <x v="7"/>
    <x v="2"/>
    <n v="1150"/>
    <x v="0"/>
    <n v="756"/>
    <n v="0"/>
    <n v="0"/>
    <n v="302"/>
    <n v="2208"/>
    <x v="25"/>
    <x v="3"/>
    <x v="4"/>
  </r>
  <r>
    <n v="38"/>
    <x v="26"/>
    <x v="1"/>
    <x v="2"/>
    <x v="5"/>
    <x v="7"/>
    <x v="0"/>
    <n v="1950"/>
    <x v="10"/>
    <n v="1056"/>
    <n v="238"/>
    <n v="0"/>
    <n v="0"/>
    <n v="3836"/>
    <x v="26"/>
    <x v="1"/>
    <x v="1"/>
  </r>
  <r>
    <n v="39"/>
    <x v="21"/>
    <x v="0"/>
    <x v="1"/>
    <x v="0"/>
    <x v="1"/>
    <x v="2"/>
    <n v="1150"/>
    <x v="0"/>
    <n v="126"/>
    <n v="453"/>
    <n v="357"/>
    <n v="196"/>
    <n v="2282"/>
    <x v="27"/>
    <x v="1"/>
    <x v="2"/>
  </r>
  <r>
    <n v="40"/>
    <x v="27"/>
    <x v="1"/>
    <x v="0"/>
    <x v="0"/>
    <x v="0"/>
    <x v="3"/>
    <n v="500"/>
    <x v="8"/>
    <n v="168"/>
    <n v="238"/>
    <n v="732"/>
    <n v="392"/>
    <n v="2552"/>
    <x v="14"/>
    <x v="1"/>
    <x v="0"/>
  </r>
  <r>
    <n v="41"/>
    <x v="2"/>
    <x v="1"/>
    <x v="1"/>
    <x v="0"/>
    <x v="1"/>
    <x v="2"/>
    <n v="1150"/>
    <x v="12"/>
    <n v="126"/>
    <n v="119"/>
    <n v="366"/>
    <n v="0"/>
    <n v="2213"/>
    <x v="12"/>
    <x v="1"/>
    <x v="3"/>
  </r>
  <r>
    <n v="42"/>
    <x v="2"/>
    <x v="2"/>
    <x v="0"/>
    <x v="0"/>
    <x v="0"/>
    <x v="3"/>
    <n v="500"/>
    <x v="0"/>
    <n v="168"/>
    <n v="501"/>
    <n v="167"/>
    <n v="196"/>
    <n v="1532"/>
    <x v="28"/>
    <x v="1"/>
    <x v="0"/>
  </r>
  <r>
    <n v="43"/>
    <x v="28"/>
    <x v="0"/>
    <x v="0"/>
    <x v="0"/>
    <x v="0"/>
    <x v="2"/>
    <n v="1150"/>
    <x v="5"/>
    <n v="252"/>
    <n v="755"/>
    <n v="0"/>
    <n v="0"/>
    <n v="2505"/>
    <x v="29"/>
    <x v="3"/>
    <x v="3"/>
  </r>
  <r>
    <n v="44"/>
    <x v="29"/>
    <x v="0"/>
    <x v="0"/>
    <x v="0"/>
    <x v="0"/>
    <x v="2"/>
    <n v="1150"/>
    <x v="0"/>
    <n v="252"/>
    <n v="755"/>
    <n v="0"/>
    <n v="392"/>
    <n v="2549"/>
    <x v="27"/>
    <x v="1"/>
    <x v="2"/>
  </r>
  <r>
    <n v="45"/>
    <x v="13"/>
    <x v="0"/>
    <x v="2"/>
    <x v="2"/>
    <x v="4"/>
    <x v="2"/>
    <n v="1150"/>
    <x v="2"/>
    <n v="378"/>
    <n v="0"/>
    <n v="119"/>
    <n v="447"/>
    <n v="2390"/>
    <x v="17"/>
    <x v="2"/>
    <x v="0"/>
  </r>
  <r>
    <n v="46"/>
    <x v="30"/>
    <x v="1"/>
    <x v="2"/>
    <x v="3"/>
    <x v="5"/>
    <x v="2"/>
    <n v="1150"/>
    <x v="9"/>
    <n v="504"/>
    <n v="0"/>
    <n v="366"/>
    <n v="0"/>
    <n v="2168"/>
    <x v="30"/>
    <x v="3"/>
    <x v="2"/>
  </r>
  <r>
    <n v="47"/>
    <x v="31"/>
    <x v="1"/>
    <x v="0"/>
    <x v="0"/>
    <x v="0"/>
    <x v="0"/>
    <n v="1950"/>
    <x v="13"/>
    <n v="352"/>
    <n v="238"/>
    <n v="915"/>
    <n v="447"/>
    <n v="4076"/>
    <x v="31"/>
    <x v="0"/>
    <x v="3"/>
  </r>
  <r>
    <n v="48"/>
    <x v="9"/>
    <x v="1"/>
    <x v="1"/>
    <x v="0"/>
    <x v="1"/>
    <x v="1"/>
    <n v="2950"/>
    <x v="0"/>
    <n v="251"/>
    <n v="357"/>
    <n v="183"/>
    <n v="298"/>
    <n v="4039"/>
    <x v="7"/>
    <x v="0"/>
    <x v="3"/>
  </r>
  <r>
    <n v="49"/>
    <x v="32"/>
    <x v="0"/>
    <x v="0"/>
    <x v="0"/>
    <x v="0"/>
    <x v="2"/>
    <n v="1150"/>
    <x v="4"/>
    <n v="252"/>
    <n v="302"/>
    <n v="0"/>
    <n v="149"/>
    <n v="2549"/>
    <x v="6"/>
    <x v="2"/>
    <x v="1"/>
  </r>
  <r>
    <n v="50"/>
    <x v="2"/>
    <x v="2"/>
    <x v="3"/>
    <x v="0"/>
    <x v="4"/>
    <x v="2"/>
    <n v="1150"/>
    <x v="0"/>
    <n v="378"/>
    <n v="167"/>
    <n v="167"/>
    <n v="196"/>
    <n v="2058"/>
    <x v="0"/>
    <x v="1"/>
    <x v="0"/>
  </r>
  <r>
    <n v="51"/>
    <x v="33"/>
    <x v="1"/>
    <x v="2"/>
    <x v="2"/>
    <x v="4"/>
    <x v="3"/>
    <n v="500"/>
    <x v="0"/>
    <n v="252"/>
    <n v="0"/>
    <n v="549"/>
    <n v="298"/>
    <n v="1599"/>
    <x v="32"/>
    <x v="2"/>
    <x v="0"/>
  </r>
  <r>
    <n v="52"/>
    <x v="10"/>
    <x v="1"/>
    <x v="1"/>
    <x v="0"/>
    <x v="1"/>
    <x v="0"/>
    <n v="1950"/>
    <x v="6"/>
    <n v="176"/>
    <n v="119"/>
    <n v="0"/>
    <n v="453"/>
    <n v="3602"/>
    <x v="33"/>
    <x v="3"/>
    <x v="3"/>
  </r>
  <r>
    <n v="53"/>
    <x v="34"/>
    <x v="0"/>
    <x v="2"/>
    <x v="5"/>
    <x v="7"/>
    <x v="1"/>
    <n v="2950"/>
    <x v="10"/>
    <n v="1506"/>
    <n v="453"/>
    <n v="0"/>
    <n v="604"/>
    <n v="6105"/>
    <x v="34"/>
    <x v="3"/>
    <x v="2"/>
  </r>
  <r>
    <n v="54"/>
    <x v="2"/>
    <x v="0"/>
    <x v="2"/>
    <x v="2"/>
    <x v="4"/>
    <x v="0"/>
    <n v="1950"/>
    <x v="2"/>
    <n v="528"/>
    <n v="755"/>
    <n v="119"/>
    <n v="196"/>
    <n v="3844"/>
    <x v="14"/>
    <x v="1"/>
    <x v="0"/>
  </r>
  <r>
    <n v="55"/>
    <x v="20"/>
    <x v="1"/>
    <x v="2"/>
    <x v="3"/>
    <x v="5"/>
    <x v="0"/>
    <n v="1950"/>
    <x v="7"/>
    <n v="704"/>
    <n v="0"/>
    <n v="915"/>
    <n v="298"/>
    <n v="4311"/>
    <x v="35"/>
    <x v="2"/>
    <x v="2"/>
  </r>
  <r>
    <n v="56"/>
    <x v="35"/>
    <x v="1"/>
    <x v="2"/>
    <x v="5"/>
    <x v="7"/>
    <x v="3"/>
    <n v="500"/>
    <x v="9"/>
    <n v="504"/>
    <n v="238"/>
    <n v="366"/>
    <n v="149"/>
    <n v="1905"/>
    <x v="3"/>
    <x v="2"/>
    <x v="0"/>
  </r>
  <r>
    <n v="57"/>
    <x v="24"/>
    <x v="1"/>
    <x v="2"/>
    <x v="4"/>
    <x v="6"/>
    <x v="3"/>
    <n v="500"/>
    <x v="0"/>
    <n v="420"/>
    <n v="238"/>
    <n v="366"/>
    <n v="149"/>
    <n v="1673"/>
    <x v="4"/>
    <x v="2"/>
    <x v="2"/>
  </r>
  <r>
    <n v="58"/>
    <x v="28"/>
    <x v="0"/>
    <x v="2"/>
    <x v="2"/>
    <x v="4"/>
    <x v="2"/>
    <n v="1150"/>
    <x v="2"/>
    <n v="378"/>
    <n v="0"/>
    <n v="119"/>
    <n v="151"/>
    <n v="2094"/>
    <x v="36"/>
    <x v="3"/>
    <x v="0"/>
  </r>
  <r>
    <n v="59"/>
    <x v="36"/>
    <x v="2"/>
    <x v="3"/>
    <x v="0"/>
    <x v="5"/>
    <x v="2"/>
    <n v="1150"/>
    <x v="3"/>
    <n v="504"/>
    <n v="167"/>
    <n v="167"/>
    <n v="441"/>
    <n v="2522"/>
    <x v="37"/>
    <x v="4"/>
    <x v="3"/>
  </r>
  <r>
    <n v="60"/>
    <x v="16"/>
    <x v="0"/>
    <x v="3"/>
    <x v="0"/>
    <x v="6"/>
    <x v="2"/>
    <n v="1150"/>
    <x v="11"/>
    <n v="630"/>
    <n v="453"/>
    <n v="357"/>
    <n v="0"/>
    <n v="2776"/>
    <x v="34"/>
    <x v="1"/>
    <x v="2"/>
  </r>
  <r>
    <n v="61"/>
    <x v="30"/>
    <x v="0"/>
    <x v="2"/>
    <x v="4"/>
    <x v="6"/>
    <x v="2"/>
    <n v="1150"/>
    <x v="0"/>
    <n v="630"/>
    <n v="604"/>
    <n v="357"/>
    <n v="453"/>
    <n v="3194"/>
    <x v="36"/>
    <x v="3"/>
    <x v="0"/>
  </r>
  <r>
    <n v="62"/>
    <x v="35"/>
    <x v="1"/>
    <x v="2"/>
    <x v="3"/>
    <x v="5"/>
    <x v="0"/>
    <n v="1950"/>
    <x v="7"/>
    <n v="704"/>
    <n v="0"/>
    <n v="366"/>
    <n v="0"/>
    <n v="3464"/>
    <x v="33"/>
    <x v="2"/>
    <x v="3"/>
  </r>
  <r>
    <n v="63"/>
    <x v="35"/>
    <x v="1"/>
    <x v="0"/>
    <x v="0"/>
    <x v="0"/>
    <x v="2"/>
    <n v="1150"/>
    <x v="0"/>
    <n v="252"/>
    <n v="238"/>
    <n v="366"/>
    <n v="149"/>
    <n v="2155"/>
    <x v="38"/>
    <x v="2"/>
    <x v="4"/>
  </r>
  <r>
    <n v="64"/>
    <x v="37"/>
    <x v="0"/>
    <x v="2"/>
    <x v="5"/>
    <x v="7"/>
    <x v="0"/>
    <n v="1950"/>
    <x v="0"/>
    <n v="1056"/>
    <n v="755"/>
    <n v="238"/>
    <n v="0"/>
    <n v="3999"/>
    <x v="21"/>
    <x v="2"/>
    <x v="1"/>
  </r>
  <r>
    <n v="65"/>
    <x v="38"/>
    <x v="1"/>
    <x v="2"/>
    <x v="1"/>
    <x v="2"/>
    <x v="0"/>
    <n v="1950"/>
    <x v="9"/>
    <n v="1232"/>
    <n v="238"/>
    <n v="183"/>
    <n v="0"/>
    <n v="3751"/>
    <x v="33"/>
    <x v="1"/>
    <x v="3"/>
  </r>
  <r>
    <n v="66"/>
    <x v="10"/>
    <x v="1"/>
    <x v="2"/>
    <x v="2"/>
    <x v="4"/>
    <x v="1"/>
    <n v="2950"/>
    <x v="7"/>
    <n v="753"/>
    <n v="238"/>
    <n v="183"/>
    <n v="151"/>
    <n v="4719"/>
    <x v="23"/>
    <x v="3"/>
    <x v="3"/>
  </r>
  <r>
    <n v="67"/>
    <x v="6"/>
    <x v="1"/>
    <x v="1"/>
    <x v="0"/>
    <x v="1"/>
    <x v="0"/>
    <n v="1950"/>
    <x v="14"/>
    <n v="176"/>
    <n v="0"/>
    <n v="915"/>
    <n v="447"/>
    <n v="4166"/>
    <x v="36"/>
    <x v="2"/>
    <x v="0"/>
  </r>
  <r>
    <n v="68"/>
    <x v="39"/>
    <x v="1"/>
    <x v="2"/>
    <x v="5"/>
    <x v="7"/>
    <x v="2"/>
    <n v="1150"/>
    <x v="0"/>
    <n v="756"/>
    <n v="357"/>
    <n v="915"/>
    <n v="196"/>
    <n v="3374"/>
    <x v="34"/>
    <x v="1"/>
    <x v="2"/>
  </r>
  <r>
    <n v="69"/>
    <x v="25"/>
    <x v="1"/>
    <x v="3"/>
    <x v="0"/>
    <x v="5"/>
    <x v="3"/>
    <n v="500"/>
    <x v="0"/>
    <n v="336"/>
    <n v="357"/>
    <n v="183"/>
    <n v="0"/>
    <n v="1376"/>
    <x v="2"/>
    <x v="3"/>
    <x v="2"/>
  </r>
  <r>
    <n v="70"/>
    <x v="24"/>
    <x v="1"/>
    <x v="3"/>
    <x v="0"/>
    <x v="3"/>
    <x v="3"/>
    <n v="500"/>
    <x v="3"/>
    <n v="672"/>
    <n v="119"/>
    <n v="0"/>
    <n v="447"/>
    <n v="1831"/>
    <x v="28"/>
    <x v="2"/>
    <x v="0"/>
  </r>
  <r>
    <n v="71"/>
    <x v="3"/>
    <x v="1"/>
    <x v="1"/>
    <x v="0"/>
    <x v="1"/>
    <x v="2"/>
    <n v="1150"/>
    <x v="6"/>
    <n v="126"/>
    <n v="0"/>
    <n v="549"/>
    <n v="196"/>
    <n v="2925"/>
    <x v="4"/>
    <x v="1"/>
    <x v="2"/>
  </r>
  <r>
    <n v="72"/>
    <x v="8"/>
    <x v="0"/>
    <x v="2"/>
    <x v="5"/>
    <x v="7"/>
    <x v="2"/>
    <n v="1150"/>
    <x v="7"/>
    <n v="756"/>
    <n v="302"/>
    <n v="119"/>
    <n v="0"/>
    <n v="2771"/>
    <x v="10"/>
    <x v="1"/>
    <x v="3"/>
  </r>
  <r>
    <n v="73"/>
    <x v="39"/>
    <x v="1"/>
    <x v="2"/>
    <x v="2"/>
    <x v="4"/>
    <x v="0"/>
    <n v="1950"/>
    <x v="0"/>
    <n v="528"/>
    <n v="0"/>
    <n v="366"/>
    <n v="392"/>
    <n v="3236"/>
    <x v="39"/>
    <x v="1"/>
    <x v="3"/>
  </r>
  <r>
    <n v="74"/>
    <x v="40"/>
    <x v="1"/>
    <x v="0"/>
    <x v="0"/>
    <x v="0"/>
    <x v="3"/>
    <n v="500"/>
    <x v="5"/>
    <n v="168"/>
    <n v="0"/>
    <n v="366"/>
    <n v="441"/>
    <n v="1823"/>
    <x v="31"/>
    <x v="4"/>
    <x v="3"/>
  </r>
  <r>
    <n v="75"/>
    <x v="41"/>
    <x v="2"/>
    <x v="0"/>
    <x v="0"/>
    <x v="0"/>
    <x v="3"/>
    <n v="500"/>
    <x v="13"/>
    <n v="168"/>
    <n v="501"/>
    <n v="334"/>
    <n v="196"/>
    <n v="1873"/>
    <x v="17"/>
    <x v="1"/>
    <x v="0"/>
  </r>
  <r>
    <n v="76"/>
    <x v="42"/>
    <x v="1"/>
    <x v="0"/>
    <x v="0"/>
    <x v="0"/>
    <x v="0"/>
    <n v="1950"/>
    <x v="8"/>
    <n v="352"/>
    <n v="357"/>
    <n v="183"/>
    <n v="447"/>
    <n v="3811"/>
    <x v="15"/>
    <x v="0"/>
    <x v="2"/>
  </r>
  <r>
    <n v="77"/>
    <x v="37"/>
    <x v="0"/>
    <x v="2"/>
    <x v="4"/>
    <x v="6"/>
    <x v="0"/>
    <n v="1950"/>
    <x v="7"/>
    <n v="880"/>
    <n v="755"/>
    <n v="119"/>
    <n v="447"/>
    <n v="4595"/>
    <x v="26"/>
    <x v="2"/>
    <x v="1"/>
  </r>
  <r>
    <n v="78"/>
    <x v="5"/>
    <x v="1"/>
    <x v="0"/>
    <x v="0"/>
    <x v="0"/>
    <x v="1"/>
    <n v="2950"/>
    <x v="13"/>
    <n v="502"/>
    <n v="0"/>
    <n v="183"/>
    <n v="0"/>
    <n v="3809"/>
    <x v="40"/>
    <x v="3"/>
    <x v="0"/>
  </r>
  <r>
    <n v="79"/>
    <x v="43"/>
    <x v="1"/>
    <x v="2"/>
    <x v="3"/>
    <x v="5"/>
    <x v="0"/>
    <n v="1950"/>
    <x v="10"/>
    <n v="704"/>
    <n v="357"/>
    <n v="732"/>
    <n v="298"/>
    <n v="4633"/>
    <x v="34"/>
    <x v="2"/>
    <x v="2"/>
  </r>
  <r>
    <n v="80"/>
    <x v="35"/>
    <x v="1"/>
    <x v="2"/>
    <x v="5"/>
    <x v="7"/>
    <x v="0"/>
    <n v="1950"/>
    <x v="2"/>
    <n v="1056"/>
    <n v="119"/>
    <n v="366"/>
    <n v="298"/>
    <n v="4085"/>
    <x v="22"/>
    <x v="2"/>
    <x v="0"/>
  </r>
  <r>
    <n v="81"/>
    <x v="22"/>
    <x v="1"/>
    <x v="2"/>
    <x v="5"/>
    <x v="7"/>
    <x v="2"/>
    <n v="1150"/>
    <x v="9"/>
    <n v="756"/>
    <n v="119"/>
    <n v="183"/>
    <n v="0"/>
    <n v="2356"/>
    <x v="26"/>
    <x v="1"/>
    <x v="1"/>
  </r>
  <r>
    <n v="82"/>
    <x v="6"/>
    <x v="1"/>
    <x v="2"/>
    <x v="2"/>
    <x v="4"/>
    <x v="0"/>
    <n v="1950"/>
    <x v="10"/>
    <n v="528"/>
    <n v="238"/>
    <n v="549"/>
    <n v="149"/>
    <n v="4006"/>
    <x v="30"/>
    <x v="2"/>
    <x v="2"/>
  </r>
  <r>
    <n v="83"/>
    <x v="44"/>
    <x v="1"/>
    <x v="0"/>
    <x v="0"/>
    <x v="0"/>
    <x v="3"/>
    <n v="500"/>
    <x v="4"/>
    <n v="168"/>
    <n v="119"/>
    <n v="915"/>
    <n v="441"/>
    <n v="2839"/>
    <x v="41"/>
    <x v="4"/>
    <x v="1"/>
  </r>
  <r>
    <n v="84"/>
    <x v="44"/>
    <x v="1"/>
    <x v="0"/>
    <x v="0"/>
    <x v="0"/>
    <x v="3"/>
    <n v="500"/>
    <x v="0"/>
    <n v="168"/>
    <n v="238"/>
    <n v="915"/>
    <n v="441"/>
    <n v="2262"/>
    <x v="33"/>
    <x v="4"/>
    <x v="3"/>
  </r>
  <r>
    <n v="85"/>
    <x v="45"/>
    <x v="0"/>
    <x v="3"/>
    <x v="0"/>
    <x v="2"/>
    <x v="3"/>
    <n v="500"/>
    <x v="0"/>
    <n v="588"/>
    <n v="755"/>
    <n v="238"/>
    <n v="149"/>
    <n v="2230"/>
    <x v="8"/>
    <x v="0"/>
    <x v="3"/>
  </r>
  <r>
    <n v="86"/>
    <x v="15"/>
    <x v="1"/>
    <x v="0"/>
    <x v="0"/>
    <x v="0"/>
    <x v="1"/>
    <n v="2950"/>
    <x v="4"/>
    <n v="502"/>
    <n v="119"/>
    <n v="366"/>
    <n v="0"/>
    <n v="4633"/>
    <x v="42"/>
    <x v="3"/>
    <x v="1"/>
  </r>
  <r>
    <n v="87"/>
    <x v="29"/>
    <x v="0"/>
    <x v="2"/>
    <x v="4"/>
    <x v="6"/>
    <x v="2"/>
    <n v="1150"/>
    <x v="10"/>
    <n v="630"/>
    <n v="0"/>
    <n v="238"/>
    <n v="392"/>
    <n v="3002"/>
    <x v="43"/>
    <x v="1"/>
    <x v="3"/>
  </r>
  <r>
    <n v="88"/>
    <x v="46"/>
    <x v="0"/>
    <x v="1"/>
    <x v="0"/>
    <x v="1"/>
    <x v="3"/>
    <n v="500"/>
    <x v="6"/>
    <n v="84"/>
    <n v="453"/>
    <n v="357"/>
    <n v="441"/>
    <n v="2739"/>
    <x v="18"/>
    <x v="4"/>
    <x v="3"/>
  </r>
  <r>
    <n v="89"/>
    <x v="47"/>
    <x v="0"/>
    <x v="1"/>
    <x v="0"/>
    <x v="1"/>
    <x v="3"/>
    <n v="500"/>
    <x v="0"/>
    <n v="84"/>
    <n v="151"/>
    <n v="238"/>
    <n v="441"/>
    <n v="1414"/>
    <x v="42"/>
    <x v="4"/>
    <x v="1"/>
  </r>
  <r>
    <n v="90"/>
    <x v="10"/>
    <x v="0"/>
    <x v="1"/>
    <x v="0"/>
    <x v="1"/>
    <x v="0"/>
    <n v="1950"/>
    <x v="0"/>
    <n v="176"/>
    <n v="604"/>
    <n v="238"/>
    <n v="604"/>
    <n v="3572"/>
    <x v="24"/>
    <x v="3"/>
    <x v="4"/>
  </r>
  <r>
    <n v="91"/>
    <x v="4"/>
    <x v="0"/>
    <x v="2"/>
    <x v="3"/>
    <x v="5"/>
    <x v="3"/>
    <n v="500"/>
    <x v="0"/>
    <n v="336"/>
    <n v="0"/>
    <n v="0"/>
    <n v="447"/>
    <n v="1283"/>
    <x v="4"/>
    <x v="2"/>
    <x v="2"/>
  </r>
  <r>
    <n v="92"/>
    <x v="5"/>
    <x v="1"/>
    <x v="3"/>
    <x v="0"/>
    <x v="7"/>
    <x v="3"/>
    <n v="500"/>
    <x v="11"/>
    <n v="504"/>
    <n v="119"/>
    <n v="366"/>
    <n v="151"/>
    <n v="1826"/>
    <x v="6"/>
    <x v="3"/>
    <x v="1"/>
  </r>
  <r>
    <n v="93"/>
    <x v="48"/>
    <x v="1"/>
    <x v="0"/>
    <x v="0"/>
    <x v="0"/>
    <x v="1"/>
    <n v="2950"/>
    <x v="0"/>
    <n v="502"/>
    <n v="238"/>
    <n v="366"/>
    <n v="149"/>
    <n v="4205"/>
    <x v="17"/>
    <x v="0"/>
    <x v="0"/>
  </r>
  <r>
    <n v="94"/>
    <x v="15"/>
    <x v="1"/>
    <x v="1"/>
    <x v="0"/>
    <x v="1"/>
    <x v="0"/>
    <n v="1950"/>
    <x v="14"/>
    <n v="176"/>
    <n v="357"/>
    <n v="549"/>
    <n v="0"/>
    <n v="3710"/>
    <x v="44"/>
    <x v="3"/>
    <x v="0"/>
  </r>
  <r>
    <n v="95"/>
    <x v="49"/>
    <x v="1"/>
    <x v="0"/>
    <x v="0"/>
    <x v="0"/>
    <x v="0"/>
    <n v="1950"/>
    <x v="8"/>
    <n v="352"/>
    <n v="119"/>
    <n v="0"/>
    <n v="0"/>
    <n v="2943"/>
    <x v="27"/>
    <x v="0"/>
    <x v="2"/>
  </r>
  <r>
    <n v="96"/>
    <x v="50"/>
    <x v="1"/>
    <x v="1"/>
    <x v="0"/>
    <x v="1"/>
    <x v="0"/>
    <n v="1950"/>
    <x v="14"/>
    <n v="176"/>
    <n v="238"/>
    <n v="915"/>
    <n v="453"/>
    <n v="4410"/>
    <x v="1"/>
    <x v="3"/>
    <x v="1"/>
  </r>
  <r>
    <n v="97"/>
    <x v="51"/>
    <x v="0"/>
    <x v="2"/>
    <x v="3"/>
    <x v="5"/>
    <x v="0"/>
    <n v="1950"/>
    <x v="9"/>
    <n v="704"/>
    <n v="755"/>
    <n v="0"/>
    <n v="392"/>
    <n v="3949"/>
    <x v="11"/>
    <x v="1"/>
    <x v="2"/>
  </r>
  <r>
    <n v="98"/>
    <x v="52"/>
    <x v="2"/>
    <x v="2"/>
    <x v="4"/>
    <x v="6"/>
    <x v="0"/>
    <n v="1950"/>
    <x v="10"/>
    <n v="880"/>
    <n v="167"/>
    <n v="0"/>
    <n v="0"/>
    <n v="3589"/>
    <x v="45"/>
    <x v="2"/>
    <x v="2"/>
  </r>
  <r>
    <n v="99"/>
    <x v="35"/>
    <x v="0"/>
    <x v="2"/>
    <x v="3"/>
    <x v="5"/>
    <x v="1"/>
    <n v="2950"/>
    <x v="2"/>
    <n v="1004"/>
    <n v="755"/>
    <n v="119"/>
    <n v="149"/>
    <n v="5273"/>
    <x v="16"/>
    <x v="2"/>
    <x v="1"/>
  </r>
  <r>
    <n v="100"/>
    <x v="16"/>
    <x v="1"/>
    <x v="2"/>
    <x v="4"/>
    <x v="6"/>
    <x v="1"/>
    <n v="2950"/>
    <x v="9"/>
    <n v="1255"/>
    <n v="119"/>
    <n v="915"/>
    <n v="392"/>
    <n v="5779"/>
    <x v="46"/>
    <x v="1"/>
    <x v="1"/>
  </r>
  <r>
    <n v="101"/>
    <x v="15"/>
    <x v="1"/>
    <x v="0"/>
    <x v="0"/>
    <x v="0"/>
    <x v="1"/>
    <n v="2950"/>
    <x v="4"/>
    <n v="502"/>
    <n v="0"/>
    <n v="0"/>
    <n v="604"/>
    <n v="4752"/>
    <x v="27"/>
    <x v="3"/>
    <x v="2"/>
  </r>
  <r>
    <n v="102"/>
    <x v="53"/>
    <x v="1"/>
    <x v="2"/>
    <x v="2"/>
    <x v="4"/>
    <x v="0"/>
    <n v="1950"/>
    <x v="7"/>
    <n v="528"/>
    <n v="238"/>
    <n v="183"/>
    <n v="298"/>
    <n v="3641"/>
    <x v="44"/>
    <x v="2"/>
    <x v="0"/>
  </r>
  <r>
    <n v="103"/>
    <x v="34"/>
    <x v="0"/>
    <x v="2"/>
    <x v="2"/>
    <x v="4"/>
    <x v="2"/>
    <n v="1150"/>
    <x v="9"/>
    <n v="378"/>
    <n v="604"/>
    <n v="357"/>
    <n v="0"/>
    <n v="2637"/>
    <x v="6"/>
    <x v="3"/>
    <x v="1"/>
  </r>
  <r>
    <n v="104"/>
    <x v="41"/>
    <x v="1"/>
    <x v="2"/>
    <x v="4"/>
    <x v="6"/>
    <x v="2"/>
    <n v="1150"/>
    <x v="9"/>
    <n v="630"/>
    <n v="238"/>
    <n v="0"/>
    <n v="392"/>
    <n v="2558"/>
    <x v="7"/>
    <x v="1"/>
    <x v="3"/>
  </r>
  <r>
    <n v="105"/>
    <x v="30"/>
    <x v="0"/>
    <x v="2"/>
    <x v="3"/>
    <x v="5"/>
    <x v="1"/>
    <n v="2950"/>
    <x v="7"/>
    <n v="1004"/>
    <n v="151"/>
    <n v="238"/>
    <n v="453"/>
    <n v="5240"/>
    <x v="34"/>
    <x v="3"/>
    <x v="2"/>
  </r>
  <r>
    <n v="106"/>
    <x v="26"/>
    <x v="1"/>
    <x v="3"/>
    <x v="0"/>
    <x v="4"/>
    <x v="2"/>
    <n v="1150"/>
    <x v="0"/>
    <n v="378"/>
    <n v="0"/>
    <n v="549"/>
    <n v="196"/>
    <n v="2273"/>
    <x v="8"/>
    <x v="1"/>
    <x v="3"/>
  </r>
  <r>
    <n v="107"/>
    <x v="32"/>
    <x v="0"/>
    <x v="2"/>
    <x v="4"/>
    <x v="6"/>
    <x v="0"/>
    <n v="1950"/>
    <x v="10"/>
    <n v="880"/>
    <n v="302"/>
    <n v="119"/>
    <n v="447"/>
    <n v="4290"/>
    <x v="47"/>
    <x v="2"/>
    <x v="3"/>
  </r>
  <r>
    <n v="108"/>
    <x v="50"/>
    <x v="1"/>
    <x v="0"/>
    <x v="0"/>
    <x v="0"/>
    <x v="1"/>
    <n v="2950"/>
    <x v="5"/>
    <n v="502"/>
    <n v="357"/>
    <n v="0"/>
    <n v="0"/>
    <n v="4157"/>
    <x v="4"/>
    <x v="3"/>
    <x v="2"/>
  </r>
  <r>
    <n v="109"/>
    <x v="2"/>
    <x v="1"/>
    <x v="0"/>
    <x v="0"/>
    <x v="0"/>
    <x v="2"/>
    <n v="1150"/>
    <x v="0"/>
    <n v="252"/>
    <n v="0"/>
    <n v="732"/>
    <n v="0"/>
    <n v="2134"/>
    <x v="4"/>
    <x v="1"/>
    <x v="2"/>
  </r>
  <r>
    <n v="110"/>
    <x v="34"/>
    <x v="1"/>
    <x v="3"/>
    <x v="0"/>
    <x v="3"/>
    <x v="3"/>
    <n v="500"/>
    <x v="11"/>
    <n v="672"/>
    <n v="0"/>
    <n v="732"/>
    <n v="453"/>
    <n v="2543"/>
    <x v="1"/>
    <x v="3"/>
    <x v="1"/>
  </r>
  <r>
    <n v="111"/>
    <x v="38"/>
    <x v="0"/>
    <x v="0"/>
    <x v="0"/>
    <x v="0"/>
    <x v="2"/>
    <n v="1150"/>
    <x v="8"/>
    <n v="252"/>
    <n v="151"/>
    <n v="238"/>
    <n v="392"/>
    <n v="2705"/>
    <x v="48"/>
    <x v="1"/>
    <x v="3"/>
  </r>
  <r>
    <n v="112"/>
    <x v="19"/>
    <x v="0"/>
    <x v="3"/>
    <x v="0"/>
    <x v="7"/>
    <x v="3"/>
    <n v="500"/>
    <x v="3"/>
    <n v="504"/>
    <n v="151"/>
    <n v="238"/>
    <n v="298"/>
    <n v="1784"/>
    <x v="8"/>
    <x v="2"/>
    <x v="3"/>
  </r>
  <r>
    <n v="113"/>
    <x v="40"/>
    <x v="1"/>
    <x v="3"/>
    <x v="0"/>
    <x v="7"/>
    <x v="3"/>
    <n v="500"/>
    <x v="0"/>
    <n v="504"/>
    <n v="238"/>
    <n v="366"/>
    <n v="147"/>
    <n v="1755"/>
    <x v="37"/>
    <x v="4"/>
    <x v="3"/>
  </r>
  <r>
    <n v="114"/>
    <x v="15"/>
    <x v="1"/>
    <x v="0"/>
    <x v="0"/>
    <x v="0"/>
    <x v="1"/>
    <n v="2950"/>
    <x v="8"/>
    <n v="502"/>
    <n v="0"/>
    <n v="366"/>
    <n v="604"/>
    <n v="4944"/>
    <x v="23"/>
    <x v="3"/>
    <x v="3"/>
  </r>
  <r>
    <n v="115"/>
    <x v="39"/>
    <x v="1"/>
    <x v="3"/>
    <x v="0"/>
    <x v="7"/>
    <x v="2"/>
    <n v="1150"/>
    <x v="0"/>
    <n v="756"/>
    <n v="0"/>
    <n v="183"/>
    <n v="392"/>
    <n v="2481"/>
    <x v="18"/>
    <x v="1"/>
    <x v="3"/>
  </r>
  <r>
    <n v="116"/>
    <x v="2"/>
    <x v="1"/>
    <x v="3"/>
    <x v="0"/>
    <x v="3"/>
    <x v="2"/>
    <n v="1150"/>
    <x v="0"/>
    <n v="1008"/>
    <n v="0"/>
    <n v="366"/>
    <n v="196"/>
    <n v="2720"/>
    <x v="39"/>
    <x v="1"/>
    <x v="3"/>
  </r>
  <r>
    <n v="117"/>
    <x v="37"/>
    <x v="1"/>
    <x v="2"/>
    <x v="3"/>
    <x v="5"/>
    <x v="3"/>
    <n v="500"/>
    <x v="7"/>
    <n v="336"/>
    <n v="238"/>
    <n v="732"/>
    <n v="447"/>
    <n v="2697"/>
    <x v="42"/>
    <x v="2"/>
    <x v="1"/>
  </r>
  <r>
    <n v="118"/>
    <x v="30"/>
    <x v="0"/>
    <x v="0"/>
    <x v="0"/>
    <x v="0"/>
    <x v="1"/>
    <n v="2950"/>
    <x v="4"/>
    <n v="502"/>
    <n v="604"/>
    <n v="357"/>
    <n v="453"/>
    <n v="5562"/>
    <x v="7"/>
    <x v="3"/>
    <x v="3"/>
  </r>
  <r>
    <n v="119"/>
    <x v="30"/>
    <x v="1"/>
    <x v="2"/>
    <x v="4"/>
    <x v="6"/>
    <x v="1"/>
    <n v="2950"/>
    <x v="0"/>
    <n v="1255"/>
    <n v="119"/>
    <n v="0"/>
    <n v="302"/>
    <n v="4626"/>
    <x v="7"/>
    <x v="3"/>
    <x v="3"/>
  </r>
  <r>
    <n v="120"/>
    <x v="27"/>
    <x v="1"/>
    <x v="2"/>
    <x v="5"/>
    <x v="7"/>
    <x v="2"/>
    <n v="1150"/>
    <x v="10"/>
    <n v="756"/>
    <n v="119"/>
    <n v="366"/>
    <n v="392"/>
    <n v="3375"/>
    <x v="49"/>
    <x v="1"/>
    <x v="3"/>
  </r>
  <r>
    <n v="121"/>
    <x v="12"/>
    <x v="1"/>
    <x v="1"/>
    <x v="0"/>
    <x v="1"/>
    <x v="2"/>
    <n v="1150"/>
    <x v="15"/>
    <n v="126"/>
    <n v="0"/>
    <n v="915"/>
    <n v="0"/>
    <n v="2417"/>
    <x v="8"/>
    <x v="2"/>
    <x v="3"/>
  </r>
  <r>
    <n v="122"/>
    <x v="47"/>
    <x v="1"/>
    <x v="0"/>
    <x v="0"/>
    <x v="0"/>
    <x v="3"/>
    <n v="500"/>
    <x v="0"/>
    <n v="168"/>
    <n v="357"/>
    <n v="0"/>
    <n v="147"/>
    <n v="1172"/>
    <x v="10"/>
    <x v="4"/>
    <x v="3"/>
  </r>
  <r>
    <n v="123"/>
    <x v="31"/>
    <x v="0"/>
    <x v="3"/>
    <x v="0"/>
    <x v="5"/>
    <x v="3"/>
    <n v="500"/>
    <x v="3"/>
    <n v="336"/>
    <n v="755"/>
    <n v="357"/>
    <n v="0"/>
    <n v="2041"/>
    <x v="2"/>
    <x v="0"/>
    <x v="2"/>
  </r>
  <r>
    <n v="124"/>
    <x v="51"/>
    <x v="0"/>
    <x v="2"/>
    <x v="4"/>
    <x v="6"/>
    <x v="2"/>
    <n v="1150"/>
    <x v="9"/>
    <n v="630"/>
    <n v="302"/>
    <n v="0"/>
    <n v="0"/>
    <n v="2230"/>
    <x v="11"/>
    <x v="1"/>
    <x v="2"/>
  </r>
  <r>
    <n v="125"/>
    <x v="54"/>
    <x v="1"/>
    <x v="1"/>
    <x v="0"/>
    <x v="1"/>
    <x v="0"/>
    <n v="1950"/>
    <x v="14"/>
    <n v="176"/>
    <n v="119"/>
    <n v="732"/>
    <n v="604"/>
    <n v="4259"/>
    <x v="17"/>
    <x v="3"/>
    <x v="0"/>
  </r>
  <r>
    <n v="126"/>
    <x v="51"/>
    <x v="2"/>
    <x v="0"/>
    <x v="0"/>
    <x v="0"/>
    <x v="3"/>
    <n v="500"/>
    <x v="5"/>
    <n v="168"/>
    <n v="501"/>
    <n v="0"/>
    <n v="0"/>
    <n v="1517"/>
    <x v="20"/>
    <x v="1"/>
    <x v="1"/>
  </r>
  <r>
    <n v="127"/>
    <x v="33"/>
    <x v="0"/>
    <x v="0"/>
    <x v="0"/>
    <x v="0"/>
    <x v="2"/>
    <n v="1150"/>
    <x v="8"/>
    <n v="252"/>
    <n v="302"/>
    <n v="0"/>
    <n v="298"/>
    <n v="2524"/>
    <x v="22"/>
    <x v="2"/>
    <x v="0"/>
  </r>
  <r>
    <n v="128"/>
    <x v="15"/>
    <x v="0"/>
    <x v="2"/>
    <x v="5"/>
    <x v="7"/>
    <x v="2"/>
    <n v="1150"/>
    <x v="10"/>
    <n v="756"/>
    <n v="755"/>
    <n v="238"/>
    <n v="302"/>
    <n v="3793"/>
    <x v="32"/>
    <x v="3"/>
    <x v="0"/>
  </r>
  <r>
    <n v="129"/>
    <x v="16"/>
    <x v="1"/>
    <x v="3"/>
    <x v="0"/>
    <x v="2"/>
    <x v="2"/>
    <n v="1150"/>
    <x v="3"/>
    <n v="882"/>
    <n v="357"/>
    <n v="366"/>
    <n v="196"/>
    <n v="3044"/>
    <x v="30"/>
    <x v="1"/>
    <x v="2"/>
  </r>
  <r>
    <n v="130"/>
    <x v="7"/>
    <x v="1"/>
    <x v="2"/>
    <x v="3"/>
    <x v="5"/>
    <x v="2"/>
    <n v="1150"/>
    <x v="0"/>
    <n v="504"/>
    <n v="119"/>
    <n v="915"/>
    <n v="151"/>
    <n v="2839"/>
    <x v="23"/>
    <x v="3"/>
    <x v="3"/>
  </r>
  <r>
    <n v="131"/>
    <x v="15"/>
    <x v="0"/>
    <x v="0"/>
    <x v="0"/>
    <x v="0"/>
    <x v="0"/>
    <n v="1950"/>
    <x v="4"/>
    <n v="352"/>
    <n v="302"/>
    <n v="357"/>
    <n v="453"/>
    <n v="4110"/>
    <x v="6"/>
    <x v="3"/>
    <x v="1"/>
  </r>
  <r>
    <n v="132"/>
    <x v="55"/>
    <x v="0"/>
    <x v="0"/>
    <x v="0"/>
    <x v="0"/>
    <x v="0"/>
    <n v="1950"/>
    <x v="13"/>
    <n v="352"/>
    <n v="604"/>
    <n v="0"/>
    <n v="149"/>
    <n v="3229"/>
    <x v="26"/>
    <x v="0"/>
    <x v="1"/>
  </r>
  <r>
    <n v="133"/>
    <x v="10"/>
    <x v="1"/>
    <x v="3"/>
    <x v="0"/>
    <x v="4"/>
    <x v="3"/>
    <n v="500"/>
    <x v="11"/>
    <n v="252"/>
    <n v="0"/>
    <n v="0"/>
    <n v="0"/>
    <n v="938"/>
    <x v="41"/>
    <x v="3"/>
    <x v="1"/>
  </r>
  <r>
    <n v="134"/>
    <x v="35"/>
    <x v="1"/>
    <x v="0"/>
    <x v="0"/>
    <x v="0"/>
    <x v="2"/>
    <n v="1150"/>
    <x v="13"/>
    <n v="252"/>
    <n v="119"/>
    <n v="366"/>
    <n v="0"/>
    <n v="2061"/>
    <x v="6"/>
    <x v="2"/>
    <x v="1"/>
  </r>
  <r>
    <n v="135"/>
    <x v="56"/>
    <x v="1"/>
    <x v="2"/>
    <x v="2"/>
    <x v="4"/>
    <x v="2"/>
    <n v="1150"/>
    <x v="9"/>
    <n v="378"/>
    <n v="357"/>
    <n v="366"/>
    <n v="0"/>
    <n v="2399"/>
    <x v="43"/>
    <x v="0"/>
    <x v="3"/>
  </r>
  <r>
    <n v="136"/>
    <x v="47"/>
    <x v="0"/>
    <x v="1"/>
    <x v="0"/>
    <x v="1"/>
    <x v="3"/>
    <n v="500"/>
    <x v="1"/>
    <n v="84"/>
    <n v="755"/>
    <n v="0"/>
    <n v="0"/>
    <n v="2469"/>
    <x v="50"/>
    <x v="4"/>
    <x v="2"/>
  </r>
  <r>
    <n v="137"/>
    <x v="12"/>
    <x v="0"/>
    <x v="0"/>
    <x v="0"/>
    <x v="0"/>
    <x v="2"/>
    <n v="1150"/>
    <x v="5"/>
    <n v="252"/>
    <n v="151"/>
    <n v="119"/>
    <n v="298"/>
    <n v="2318"/>
    <x v="8"/>
    <x v="2"/>
    <x v="3"/>
  </r>
  <r>
    <n v="138"/>
    <x v="54"/>
    <x v="1"/>
    <x v="2"/>
    <x v="3"/>
    <x v="5"/>
    <x v="2"/>
    <n v="1150"/>
    <x v="0"/>
    <n v="504"/>
    <n v="119"/>
    <n v="549"/>
    <n v="453"/>
    <n v="2775"/>
    <x v="4"/>
    <x v="3"/>
    <x v="2"/>
  </r>
  <r>
    <n v="139"/>
    <x v="43"/>
    <x v="1"/>
    <x v="2"/>
    <x v="2"/>
    <x v="4"/>
    <x v="2"/>
    <n v="1150"/>
    <x v="7"/>
    <n v="378"/>
    <n v="119"/>
    <n v="183"/>
    <n v="447"/>
    <n v="2721"/>
    <x v="14"/>
    <x v="2"/>
    <x v="0"/>
  </r>
  <r>
    <n v="140"/>
    <x v="10"/>
    <x v="0"/>
    <x v="2"/>
    <x v="2"/>
    <x v="4"/>
    <x v="2"/>
    <n v="1150"/>
    <x v="0"/>
    <n v="378"/>
    <n v="755"/>
    <n v="0"/>
    <n v="0"/>
    <n v="2283"/>
    <x v="51"/>
    <x v="3"/>
    <x v="4"/>
  </r>
  <r>
    <n v="141"/>
    <x v="15"/>
    <x v="2"/>
    <x v="2"/>
    <x v="2"/>
    <x v="4"/>
    <x v="1"/>
    <n v="2950"/>
    <x v="7"/>
    <n v="753"/>
    <n v="334"/>
    <n v="501"/>
    <n v="302"/>
    <n v="5284"/>
    <x v="52"/>
    <x v="3"/>
    <x v="4"/>
  </r>
  <r>
    <n v="142"/>
    <x v="5"/>
    <x v="1"/>
    <x v="3"/>
    <x v="0"/>
    <x v="4"/>
    <x v="3"/>
    <n v="500"/>
    <x v="3"/>
    <n v="252"/>
    <n v="357"/>
    <n v="549"/>
    <n v="302"/>
    <n v="2053"/>
    <x v="36"/>
    <x v="3"/>
    <x v="0"/>
  </r>
  <r>
    <n v="143"/>
    <x v="20"/>
    <x v="1"/>
    <x v="3"/>
    <x v="0"/>
    <x v="4"/>
    <x v="2"/>
    <n v="1150"/>
    <x v="3"/>
    <n v="378"/>
    <n v="238"/>
    <n v="915"/>
    <n v="0"/>
    <n v="2774"/>
    <x v="52"/>
    <x v="2"/>
    <x v="4"/>
  </r>
  <r>
    <n v="144"/>
    <x v="29"/>
    <x v="0"/>
    <x v="2"/>
    <x v="5"/>
    <x v="7"/>
    <x v="1"/>
    <n v="2950"/>
    <x v="7"/>
    <n v="1506"/>
    <n v="302"/>
    <n v="238"/>
    <n v="392"/>
    <n v="5832"/>
    <x v="43"/>
    <x v="1"/>
    <x v="3"/>
  </r>
  <r>
    <n v="145"/>
    <x v="3"/>
    <x v="1"/>
    <x v="2"/>
    <x v="5"/>
    <x v="7"/>
    <x v="1"/>
    <n v="2950"/>
    <x v="9"/>
    <n v="1506"/>
    <n v="357"/>
    <n v="732"/>
    <n v="392"/>
    <n v="6085"/>
    <x v="24"/>
    <x v="1"/>
    <x v="4"/>
  </r>
  <r>
    <n v="146"/>
    <x v="44"/>
    <x v="0"/>
    <x v="1"/>
    <x v="0"/>
    <x v="1"/>
    <x v="3"/>
    <n v="500"/>
    <x v="12"/>
    <n v="84"/>
    <n v="0"/>
    <n v="0"/>
    <n v="0"/>
    <n v="1036"/>
    <x v="2"/>
    <x v="4"/>
    <x v="2"/>
  </r>
  <r>
    <n v="147"/>
    <x v="48"/>
    <x v="1"/>
    <x v="2"/>
    <x v="2"/>
    <x v="4"/>
    <x v="2"/>
    <n v="1150"/>
    <x v="10"/>
    <n v="378"/>
    <n v="0"/>
    <n v="0"/>
    <n v="0"/>
    <n v="2120"/>
    <x v="43"/>
    <x v="0"/>
    <x v="3"/>
  </r>
  <r>
    <n v="148"/>
    <x v="50"/>
    <x v="1"/>
    <x v="0"/>
    <x v="0"/>
    <x v="0"/>
    <x v="2"/>
    <n v="1150"/>
    <x v="8"/>
    <n v="252"/>
    <n v="0"/>
    <n v="366"/>
    <n v="0"/>
    <n v="2290"/>
    <x v="1"/>
    <x v="3"/>
    <x v="1"/>
  </r>
  <r>
    <n v="149"/>
    <x v="57"/>
    <x v="0"/>
    <x v="3"/>
    <x v="0"/>
    <x v="7"/>
    <x v="2"/>
    <n v="1150"/>
    <x v="3"/>
    <n v="756"/>
    <n v="0"/>
    <n v="238"/>
    <n v="196"/>
    <n v="2433"/>
    <x v="10"/>
    <x v="1"/>
    <x v="3"/>
  </r>
  <r>
    <n v="150"/>
    <x v="58"/>
    <x v="0"/>
    <x v="0"/>
    <x v="0"/>
    <x v="0"/>
    <x v="0"/>
    <n v="1950"/>
    <x v="5"/>
    <n v="352"/>
    <n v="0"/>
    <n v="119"/>
    <n v="298"/>
    <n v="3067"/>
    <x v="8"/>
    <x v="0"/>
    <x v="3"/>
  </r>
  <r>
    <n v="151"/>
    <x v="30"/>
    <x v="1"/>
    <x v="1"/>
    <x v="0"/>
    <x v="1"/>
    <x v="0"/>
    <n v="1950"/>
    <x v="6"/>
    <n v="176"/>
    <n v="119"/>
    <n v="732"/>
    <n v="453"/>
    <n v="4334"/>
    <x v="19"/>
    <x v="3"/>
    <x v="4"/>
  </r>
  <r>
    <n v="152"/>
    <x v="46"/>
    <x v="2"/>
    <x v="3"/>
    <x v="0"/>
    <x v="2"/>
    <x v="0"/>
    <n v="1950"/>
    <x v="3"/>
    <n v="1232"/>
    <n v="167"/>
    <n v="501"/>
    <n v="294"/>
    <n v="4237"/>
    <x v="18"/>
    <x v="4"/>
    <x v="3"/>
  </r>
  <r>
    <n v="153"/>
    <x v="6"/>
    <x v="1"/>
    <x v="0"/>
    <x v="0"/>
    <x v="0"/>
    <x v="2"/>
    <n v="1150"/>
    <x v="0"/>
    <n v="252"/>
    <n v="238"/>
    <n v="183"/>
    <n v="0"/>
    <n v="1823"/>
    <x v="53"/>
    <x v="2"/>
    <x v="4"/>
  </r>
  <r>
    <n v="154"/>
    <x v="32"/>
    <x v="1"/>
    <x v="3"/>
    <x v="0"/>
    <x v="7"/>
    <x v="2"/>
    <n v="1150"/>
    <x v="0"/>
    <n v="756"/>
    <n v="0"/>
    <n v="183"/>
    <n v="149"/>
    <n v="2238"/>
    <x v="44"/>
    <x v="2"/>
    <x v="0"/>
  </r>
  <r>
    <n v="155"/>
    <x v="2"/>
    <x v="0"/>
    <x v="1"/>
    <x v="0"/>
    <x v="1"/>
    <x v="3"/>
    <n v="500"/>
    <x v="12"/>
    <n v="84"/>
    <n v="453"/>
    <n v="0"/>
    <n v="0"/>
    <n v="1489"/>
    <x v="35"/>
    <x v="1"/>
    <x v="2"/>
  </r>
  <r>
    <n v="156"/>
    <x v="38"/>
    <x v="1"/>
    <x v="2"/>
    <x v="3"/>
    <x v="5"/>
    <x v="2"/>
    <n v="1150"/>
    <x v="10"/>
    <n v="504"/>
    <n v="119"/>
    <n v="915"/>
    <n v="392"/>
    <n v="3672"/>
    <x v="41"/>
    <x v="1"/>
    <x v="1"/>
  </r>
  <r>
    <n v="157"/>
    <x v="25"/>
    <x v="1"/>
    <x v="2"/>
    <x v="5"/>
    <x v="7"/>
    <x v="2"/>
    <n v="1150"/>
    <x v="0"/>
    <n v="756"/>
    <n v="238"/>
    <n v="183"/>
    <n v="0"/>
    <n v="2327"/>
    <x v="14"/>
    <x v="3"/>
    <x v="0"/>
  </r>
  <r>
    <n v="158"/>
    <x v="10"/>
    <x v="0"/>
    <x v="2"/>
    <x v="3"/>
    <x v="5"/>
    <x v="2"/>
    <n v="1150"/>
    <x v="2"/>
    <n v="504"/>
    <n v="151"/>
    <n v="238"/>
    <n v="151"/>
    <n v="2490"/>
    <x v="33"/>
    <x v="3"/>
    <x v="3"/>
  </r>
  <r>
    <n v="159"/>
    <x v="36"/>
    <x v="0"/>
    <x v="3"/>
    <x v="0"/>
    <x v="3"/>
    <x v="3"/>
    <n v="500"/>
    <x v="3"/>
    <n v="672"/>
    <n v="755"/>
    <n v="0"/>
    <n v="294"/>
    <n v="2314"/>
    <x v="14"/>
    <x v="4"/>
    <x v="0"/>
  </r>
  <r>
    <n v="160"/>
    <x v="17"/>
    <x v="0"/>
    <x v="3"/>
    <x v="0"/>
    <x v="4"/>
    <x v="3"/>
    <n v="500"/>
    <x v="0"/>
    <n v="252"/>
    <n v="151"/>
    <n v="0"/>
    <n v="0"/>
    <n v="903"/>
    <x v="54"/>
    <x v="4"/>
    <x v="3"/>
  </r>
  <r>
    <n v="161"/>
    <x v="13"/>
    <x v="1"/>
    <x v="1"/>
    <x v="0"/>
    <x v="1"/>
    <x v="2"/>
    <n v="1150"/>
    <x v="1"/>
    <n v="126"/>
    <n v="357"/>
    <n v="732"/>
    <n v="0"/>
    <n v="3495"/>
    <x v="16"/>
    <x v="2"/>
    <x v="1"/>
  </r>
  <r>
    <n v="162"/>
    <x v="27"/>
    <x v="0"/>
    <x v="3"/>
    <x v="0"/>
    <x v="2"/>
    <x v="2"/>
    <n v="1150"/>
    <x v="0"/>
    <n v="882"/>
    <n v="302"/>
    <n v="357"/>
    <n v="196"/>
    <n v="2887"/>
    <x v="12"/>
    <x v="1"/>
    <x v="3"/>
  </r>
  <r>
    <n v="163"/>
    <x v="4"/>
    <x v="1"/>
    <x v="2"/>
    <x v="4"/>
    <x v="6"/>
    <x v="0"/>
    <n v="1950"/>
    <x v="9"/>
    <n v="880"/>
    <n v="238"/>
    <n v="732"/>
    <n v="447"/>
    <n v="4395"/>
    <x v="42"/>
    <x v="2"/>
    <x v="1"/>
  </r>
  <r>
    <n v="164"/>
    <x v="26"/>
    <x v="1"/>
    <x v="1"/>
    <x v="0"/>
    <x v="1"/>
    <x v="2"/>
    <n v="1150"/>
    <x v="0"/>
    <n v="126"/>
    <n v="357"/>
    <n v="915"/>
    <n v="196"/>
    <n v="2744"/>
    <x v="41"/>
    <x v="1"/>
    <x v="1"/>
  </r>
  <r>
    <n v="165"/>
    <x v="27"/>
    <x v="1"/>
    <x v="1"/>
    <x v="0"/>
    <x v="1"/>
    <x v="2"/>
    <n v="1150"/>
    <x v="15"/>
    <n v="126"/>
    <n v="119"/>
    <n v="0"/>
    <n v="196"/>
    <n v="1817"/>
    <x v="3"/>
    <x v="1"/>
    <x v="0"/>
  </r>
  <r>
    <n v="166"/>
    <x v="29"/>
    <x v="0"/>
    <x v="0"/>
    <x v="0"/>
    <x v="0"/>
    <x v="2"/>
    <n v="1150"/>
    <x v="5"/>
    <n v="252"/>
    <n v="755"/>
    <n v="357"/>
    <n v="392"/>
    <n v="3254"/>
    <x v="36"/>
    <x v="1"/>
    <x v="0"/>
  </r>
  <r>
    <n v="167"/>
    <x v="23"/>
    <x v="1"/>
    <x v="1"/>
    <x v="0"/>
    <x v="1"/>
    <x v="1"/>
    <n v="2950"/>
    <x v="6"/>
    <n v="251"/>
    <n v="119"/>
    <n v="0"/>
    <n v="447"/>
    <n v="4671"/>
    <x v="28"/>
    <x v="0"/>
    <x v="0"/>
  </r>
  <r>
    <n v="168"/>
    <x v="57"/>
    <x v="1"/>
    <x v="2"/>
    <x v="2"/>
    <x v="4"/>
    <x v="1"/>
    <n v="2950"/>
    <x v="10"/>
    <n v="753"/>
    <n v="357"/>
    <n v="366"/>
    <n v="392"/>
    <n v="5410"/>
    <x v="1"/>
    <x v="1"/>
    <x v="1"/>
  </r>
  <r>
    <n v="169"/>
    <x v="34"/>
    <x v="1"/>
    <x v="2"/>
    <x v="3"/>
    <x v="5"/>
    <x v="2"/>
    <n v="1150"/>
    <x v="0"/>
    <n v="504"/>
    <n v="238"/>
    <n v="732"/>
    <n v="302"/>
    <n v="2926"/>
    <x v="13"/>
    <x v="3"/>
    <x v="4"/>
  </r>
  <r>
    <n v="170"/>
    <x v="28"/>
    <x v="0"/>
    <x v="0"/>
    <x v="0"/>
    <x v="0"/>
    <x v="0"/>
    <n v="1950"/>
    <x v="13"/>
    <n v="352"/>
    <n v="755"/>
    <n v="357"/>
    <n v="453"/>
    <n v="4041"/>
    <x v="22"/>
    <x v="3"/>
    <x v="0"/>
  </r>
  <r>
    <n v="171"/>
    <x v="28"/>
    <x v="0"/>
    <x v="0"/>
    <x v="0"/>
    <x v="0"/>
    <x v="0"/>
    <n v="1950"/>
    <x v="4"/>
    <n v="352"/>
    <n v="302"/>
    <n v="357"/>
    <n v="604"/>
    <n v="4261"/>
    <x v="34"/>
    <x v="3"/>
    <x v="2"/>
  </r>
  <r>
    <n v="172"/>
    <x v="35"/>
    <x v="1"/>
    <x v="3"/>
    <x v="0"/>
    <x v="6"/>
    <x v="2"/>
    <n v="1150"/>
    <x v="3"/>
    <n v="630"/>
    <n v="357"/>
    <n v="0"/>
    <n v="0"/>
    <n v="2230"/>
    <x v="27"/>
    <x v="2"/>
    <x v="2"/>
  </r>
  <r>
    <n v="173"/>
    <x v="58"/>
    <x v="0"/>
    <x v="2"/>
    <x v="4"/>
    <x v="6"/>
    <x v="2"/>
    <n v="1150"/>
    <x v="9"/>
    <n v="630"/>
    <n v="302"/>
    <n v="238"/>
    <n v="0"/>
    <n v="2468"/>
    <x v="31"/>
    <x v="0"/>
    <x v="3"/>
  </r>
  <r>
    <n v="174"/>
    <x v="3"/>
    <x v="0"/>
    <x v="2"/>
    <x v="2"/>
    <x v="4"/>
    <x v="2"/>
    <n v="1150"/>
    <x v="0"/>
    <n v="378"/>
    <n v="302"/>
    <n v="0"/>
    <n v="392"/>
    <n v="2222"/>
    <x v="0"/>
    <x v="1"/>
    <x v="0"/>
  </r>
  <r>
    <n v="175"/>
    <x v="59"/>
    <x v="1"/>
    <x v="2"/>
    <x v="3"/>
    <x v="5"/>
    <x v="2"/>
    <n v="1150"/>
    <x v="10"/>
    <n v="504"/>
    <n v="119"/>
    <n v="183"/>
    <n v="149"/>
    <n v="2697"/>
    <x v="6"/>
    <x v="0"/>
    <x v="1"/>
  </r>
  <r>
    <n v="176"/>
    <x v="21"/>
    <x v="0"/>
    <x v="2"/>
    <x v="4"/>
    <x v="6"/>
    <x v="0"/>
    <n v="1950"/>
    <x v="2"/>
    <n v="880"/>
    <n v="453"/>
    <n v="0"/>
    <n v="392"/>
    <n v="3971"/>
    <x v="7"/>
    <x v="1"/>
    <x v="3"/>
  </r>
  <r>
    <n v="177"/>
    <x v="37"/>
    <x v="1"/>
    <x v="0"/>
    <x v="0"/>
    <x v="0"/>
    <x v="2"/>
    <n v="1150"/>
    <x v="13"/>
    <n v="252"/>
    <n v="119"/>
    <n v="915"/>
    <n v="149"/>
    <n v="2759"/>
    <x v="47"/>
    <x v="2"/>
    <x v="3"/>
  </r>
  <r>
    <n v="178"/>
    <x v="4"/>
    <x v="1"/>
    <x v="2"/>
    <x v="3"/>
    <x v="5"/>
    <x v="2"/>
    <n v="1150"/>
    <x v="7"/>
    <n v="504"/>
    <n v="0"/>
    <n v="915"/>
    <n v="0"/>
    <n v="3013"/>
    <x v="7"/>
    <x v="2"/>
    <x v="3"/>
  </r>
  <r>
    <n v="179"/>
    <x v="53"/>
    <x v="0"/>
    <x v="0"/>
    <x v="0"/>
    <x v="0"/>
    <x v="2"/>
    <n v="1150"/>
    <x v="8"/>
    <n v="252"/>
    <n v="0"/>
    <n v="119"/>
    <n v="298"/>
    <n v="2341"/>
    <x v="16"/>
    <x v="2"/>
    <x v="1"/>
  </r>
  <r>
    <n v="180"/>
    <x v="4"/>
    <x v="1"/>
    <x v="2"/>
    <x v="4"/>
    <x v="6"/>
    <x v="2"/>
    <n v="1150"/>
    <x v="2"/>
    <n v="630"/>
    <n v="238"/>
    <n v="366"/>
    <n v="0"/>
    <n v="2680"/>
    <x v="55"/>
    <x v="2"/>
    <x v="4"/>
  </r>
  <r>
    <n v="181"/>
    <x v="57"/>
    <x v="1"/>
    <x v="3"/>
    <x v="0"/>
    <x v="6"/>
    <x v="2"/>
    <n v="1150"/>
    <x v="3"/>
    <n v="630"/>
    <n v="357"/>
    <n v="915"/>
    <n v="392"/>
    <n v="3537"/>
    <x v="41"/>
    <x v="1"/>
    <x v="1"/>
  </r>
  <r>
    <n v="182"/>
    <x v="46"/>
    <x v="1"/>
    <x v="1"/>
    <x v="0"/>
    <x v="1"/>
    <x v="3"/>
    <n v="500"/>
    <x v="15"/>
    <n v="84"/>
    <n v="357"/>
    <n v="915"/>
    <n v="147"/>
    <n v="2229"/>
    <x v="23"/>
    <x v="4"/>
    <x v="3"/>
  </r>
  <r>
    <n v="183"/>
    <x v="29"/>
    <x v="0"/>
    <x v="0"/>
    <x v="0"/>
    <x v="0"/>
    <x v="3"/>
    <n v="500"/>
    <x v="8"/>
    <n v="168"/>
    <n v="302"/>
    <n v="357"/>
    <n v="0"/>
    <n v="1849"/>
    <x v="21"/>
    <x v="1"/>
    <x v="1"/>
  </r>
  <r>
    <n v="184"/>
    <x v="40"/>
    <x v="2"/>
    <x v="0"/>
    <x v="0"/>
    <x v="0"/>
    <x v="3"/>
    <n v="500"/>
    <x v="13"/>
    <n v="168"/>
    <n v="501"/>
    <n v="334"/>
    <n v="0"/>
    <n v="1677"/>
    <x v="39"/>
    <x v="4"/>
    <x v="3"/>
  </r>
  <r>
    <n v="185"/>
    <x v="8"/>
    <x v="1"/>
    <x v="2"/>
    <x v="2"/>
    <x v="4"/>
    <x v="0"/>
    <n v="1950"/>
    <x v="10"/>
    <n v="528"/>
    <n v="238"/>
    <n v="366"/>
    <n v="392"/>
    <n v="4066"/>
    <x v="43"/>
    <x v="1"/>
    <x v="3"/>
  </r>
  <r>
    <n v="186"/>
    <x v="3"/>
    <x v="0"/>
    <x v="0"/>
    <x v="0"/>
    <x v="0"/>
    <x v="3"/>
    <n v="500"/>
    <x v="13"/>
    <n v="168"/>
    <n v="604"/>
    <n v="238"/>
    <n v="392"/>
    <n v="2076"/>
    <x v="19"/>
    <x v="1"/>
    <x v="4"/>
  </r>
  <r>
    <n v="187"/>
    <x v="18"/>
    <x v="1"/>
    <x v="2"/>
    <x v="3"/>
    <x v="5"/>
    <x v="0"/>
    <n v="1950"/>
    <x v="0"/>
    <n v="704"/>
    <n v="357"/>
    <n v="366"/>
    <n v="294"/>
    <n v="3671"/>
    <x v="54"/>
    <x v="4"/>
    <x v="3"/>
  </r>
  <r>
    <n v="188"/>
    <x v="33"/>
    <x v="0"/>
    <x v="2"/>
    <x v="2"/>
    <x v="4"/>
    <x v="3"/>
    <n v="500"/>
    <x v="7"/>
    <n v="252"/>
    <n v="755"/>
    <n v="238"/>
    <n v="0"/>
    <n v="2189"/>
    <x v="42"/>
    <x v="2"/>
    <x v="1"/>
  </r>
  <r>
    <n v="189"/>
    <x v="20"/>
    <x v="1"/>
    <x v="2"/>
    <x v="5"/>
    <x v="7"/>
    <x v="2"/>
    <n v="1150"/>
    <x v="0"/>
    <n v="756"/>
    <n v="357"/>
    <n v="549"/>
    <n v="149"/>
    <n v="2961"/>
    <x v="6"/>
    <x v="2"/>
    <x v="1"/>
  </r>
  <r>
    <n v="190"/>
    <x v="60"/>
    <x v="1"/>
    <x v="1"/>
    <x v="0"/>
    <x v="1"/>
    <x v="1"/>
    <n v="2950"/>
    <x v="0"/>
    <n v="251"/>
    <n v="119"/>
    <n v="549"/>
    <n v="447"/>
    <n v="4316"/>
    <x v="6"/>
    <x v="0"/>
    <x v="1"/>
  </r>
  <r>
    <n v="191"/>
    <x v="43"/>
    <x v="1"/>
    <x v="1"/>
    <x v="0"/>
    <x v="1"/>
    <x v="2"/>
    <n v="1150"/>
    <x v="15"/>
    <n v="126"/>
    <n v="357"/>
    <n v="549"/>
    <n v="149"/>
    <n v="2557"/>
    <x v="15"/>
    <x v="2"/>
    <x v="2"/>
  </r>
  <r>
    <n v="192"/>
    <x v="26"/>
    <x v="1"/>
    <x v="2"/>
    <x v="2"/>
    <x v="4"/>
    <x v="1"/>
    <n v="2950"/>
    <x v="9"/>
    <n v="753"/>
    <n v="357"/>
    <n v="915"/>
    <n v="196"/>
    <n v="5319"/>
    <x v="33"/>
    <x v="1"/>
    <x v="3"/>
  </r>
  <r>
    <n v="193"/>
    <x v="29"/>
    <x v="0"/>
    <x v="1"/>
    <x v="0"/>
    <x v="1"/>
    <x v="3"/>
    <n v="500"/>
    <x v="6"/>
    <n v="84"/>
    <n v="604"/>
    <n v="238"/>
    <n v="0"/>
    <n v="2330"/>
    <x v="17"/>
    <x v="1"/>
    <x v="0"/>
  </r>
  <r>
    <n v="194"/>
    <x v="43"/>
    <x v="1"/>
    <x v="3"/>
    <x v="0"/>
    <x v="7"/>
    <x v="2"/>
    <n v="1150"/>
    <x v="11"/>
    <n v="756"/>
    <n v="119"/>
    <n v="732"/>
    <n v="0"/>
    <n v="2943"/>
    <x v="41"/>
    <x v="2"/>
    <x v="1"/>
  </r>
  <r>
    <n v="195"/>
    <x v="22"/>
    <x v="1"/>
    <x v="0"/>
    <x v="0"/>
    <x v="0"/>
    <x v="2"/>
    <n v="1150"/>
    <x v="13"/>
    <n v="252"/>
    <n v="357"/>
    <n v="549"/>
    <n v="196"/>
    <n v="2678"/>
    <x v="47"/>
    <x v="1"/>
    <x v="3"/>
  </r>
  <r>
    <n v="196"/>
    <x v="19"/>
    <x v="1"/>
    <x v="2"/>
    <x v="4"/>
    <x v="6"/>
    <x v="2"/>
    <n v="1150"/>
    <x v="9"/>
    <n v="630"/>
    <n v="119"/>
    <n v="183"/>
    <n v="298"/>
    <n v="2528"/>
    <x v="34"/>
    <x v="2"/>
    <x v="2"/>
  </r>
  <r>
    <n v="197"/>
    <x v="41"/>
    <x v="1"/>
    <x v="3"/>
    <x v="0"/>
    <x v="4"/>
    <x v="2"/>
    <n v="1150"/>
    <x v="11"/>
    <n v="378"/>
    <n v="119"/>
    <n v="366"/>
    <n v="392"/>
    <n v="2591"/>
    <x v="0"/>
    <x v="1"/>
    <x v="0"/>
  </r>
  <r>
    <n v="198"/>
    <x v="24"/>
    <x v="0"/>
    <x v="2"/>
    <x v="4"/>
    <x v="6"/>
    <x v="0"/>
    <n v="1950"/>
    <x v="10"/>
    <n v="880"/>
    <n v="604"/>
    <n v="357"/>
    <n v="0"/>
    <n v="4383"/>
    <x v="11"/>
    <x v="2"/>
    <x v="2"/>
  </r>
  <r>
    <n v="199"/>
    <x v="35"/>
    <x v="0"/>
    <x v="2"/>
    <x v="4"/>
    <x v="6"/>
    <x v="0"/>
    <n v="1950"/>
    <x v="7"/>
    <n v="880"/>
    <n v="755"/>
    <n v="238"/>
    <n v="0"/>
    <n v="4267"/>
    <x v="53"/>
    <x v="2"/>
    <x v="4"/>
  </r>
  <r>
    <n v="200"/>
    <x v="25"/>
    <x v="2"/>
    <x v="3"/>
    <x v="0"/>
    <x v="4"/>
    <x v="3"/>
    <n v="500"/>
    <x v="11"/>
    <n v="252"/>
    <n v="0"/>
    <n v="167"/>
    <n v="302"/>
    <n v="1407"/>
    <x v="4"/>
    <x v="3"/>
    <x v="2"/>
  </r>
</pivotCacheRecords>
</file>

<file path=xl/pivotCache/pivotCacheRecords2.xml><?xml version="1.0" encoding="utf-8"?>
<pivotCacheRecords xmlns="http://schemas.openxmlformats.org/spreadsheetml/2006/main" xmlns:r="http://schemas.openxmlformats.org/officeDocument/2006/relationships" count="200">
  <r>
    <n v="1"/>
    <n v="90"/>
    <x v="0"/>
    <x v="0"/>
    <n v="0"/>
    <n v="2"/>
    <s v="Luxury"/>
    <n v="1950"/>
    <n v="0"/>
    <n v="352"/>
    <n v="302"/>
    <n v="119"/>
    <n v="149"/>
    <x v="0"/>
    <n v="75"/>
    <x v="0"/>
    <x v="0"/>
    <x v="0"/>
  </r>
  <r>
    <n v="2"/>
    <n v="81"/>
    <x v="1"/>
    <x v="1"/>
    <n v="0"/>
    <n v="1"/>
    <s v="Suite"/>
    <n v="2950"/>
    <n v="1130"/>
    <n v="251"/>
    <n v="238"/>
    <n v="732"/>
    <n v="298"/>
    <x v="1"/>
    <n v="51"/>
    <x v="0"/>
    <x v="1"/>
    <x v="1"/>
  </r>
  <r>
    <n v="3"/>
    <n v="39"/>
    <x v="2"/>
    <x v="2"/>
    <n v="5"/>
    <n v="7"/>
    <s v="Porthole"/>
    <n v="1150"/>
    <n v="296"/>
    <n v="882"/>
    <n v="0"/>
    <n v="501"/>
    <n v="196"/>
    <x v="2"/>
    <n v="60"/>
    <x v="1"/>
    <x v="2"/>
    <x v="0"/>
  </r>
  <r>
    <n v="4"/>
    <n v="42"/>
    <x v="0"/>
    <x v="3"/>
    <n v="0"/>
    <n v="8"/>
    <s v="Porthole"/>
    <n v="1150"/>
    <n v="93"/>
    <n v="1008"/>
    <n v="302"/>
    <n v="357"/>
    <n v="392"/>
    <x v="3"/>
    <n v="73"/>
    <x v="1"/>
    <x v="0"/>
    <x v="0"/>
  </r>
  <r>
    <n v="5"/>
    <n v="57"/>
    <x v="1"/>
    <x v="2"/>
    <n v="1"/>
    <n v="3"/>
    <s v="Luxury"/>
    <n v="1950"/>
    <n v="0"/>
    <n v="528"/>
    <n v="119"/>
    <n v="0"/>
    <n v="0"/>
    <x v="4"/>
    <n v="68"/>
    <x v="2"/>
    <x v="2"/>
    <x v="0"/>
  </r>
  <r>
    <n v="6"/>
    <n v="60"/>
    <x v="1"/>
    <x v="2"/>
    <n v="2"/>
    <n v="4"/>
    <s v="Porthole"/>
    <n v="1150"/>
    <n v="296"/>
    <n v="504"/>
    <n v="238"/>
    <n v="732"/>
    <n v="604"/>
    <x v="5"/>
    <n v="54"/>
    <x v="3"/>
    <x v="1"/>
    <x v="2"/>
  </r>
  <r>
    <n v="7"/>
    <n v="39"/>
    <x v="0"/>
    <x v="3"/>
    <n v="0"/>
    <n v="8"/>
    <s v="Porthole"/>
    <n v="1150"/>
    <n v="0"/>
    <n v="1008"/>
    <n v="151"/>
    <n v="0"/>
    <n v="0"/>
    <x v="6"/>
    <n v="58"/>
    <x v="1"/>
    <x v="1"/>
    <x v="3"/>
  </r>
  <r>
    <n v="8"/>
    <n v="54"/>
    <x v="1"/>
    <x v="0"/>
    <n v="0"/>
    <n v="2"/>
    <s v="Porthole"/>
    <n v="1150"/>
    <n v="696"/>
    <n v="252"/>
    <n v="119"/>
    <n v="549"/>
    <n v="447"/>
    <x v="7"/>
    <n v="80"/>
    <x v="2"/>
    <x v="3"/>
    <x v="0"/>
  </r>
  <r>
    <n v="9"/>
    <n v="57"/>
    <x v="0"/>
    <x v="0"/>
    <n v="0"/>
    <n v="2"/>
    <s v="Porthole"/>
    <n v="1150"/>
    <n v="0"/>
    <n v="252"/>
    <n v="0"/>
    <n v="238"/>
    <n v="298"/>
    <x v="8"/>
    <n v="89"/>
    <x v="2"/>
    <x v="3"/>
    <x v="3"/>
  </r>
  <r>
    <n v="10"/>
    <n v="66"/>
    <x v="0"/>
    <x v="2"/>
    <n v="3"/>
    <n v="5"/>
    <s v="Porthole"/>
    <n v="1150"/>
    <n v="296"/>
    <n v="630"/>
    <n v="755"/>
    <n v="238"/>
    <n v="302"/>
    <x v="9"/>
    <n v="45"/>
    <x v="3"/>
    <x v="4"/>
    <x v="0"/>
  </r>
  <r>
    <n v="11"/>
    <n v="34"/>
    <x v="0"/>
    <x v="3"/>
    <n v="0"/>
    <n v="3"/>
    <s v="Porthole"/>
    <n v="1150"/>
    <n v="0"/>
    <n v="378"/>
    <n v="0"/>
    <n v="238"/>
    <n v="392"/>
    <x v="10"/>
    <n v="85"/>
    <x v="1"/>
    <x v="3"/>
    <x v="3"/>
  </r>
  <r>
    <n v="12"/>
    <n v="76"/>
    <x v="0"/>
    <x v="0"/>
    <n v="0"/>
    <n v="2"/>
    <s v="Luxury"/>
    <n v="1950"/>
    <n v="348"/>
    <n v="352"/>
    <n v="604"/>
    <n v="0"/>
    <n v="0"/>
    <x v="11"/>
    <n v="66"/>
    <x v="0"/>
    <x v="2"/>
    <x v="0"/>
  </r>
  <r>
    <n v="13"/>
    <n v="39"/>
    <x v="1"/>
    <x v="1"/>
    <n v="0"/>
    <n v="1"/>
    <s v="Internal"/>
    <n v="500"/>
    <n v="904"/>
    <n v="84"/>
    <n v="0"/>
    <n v="915"/>
    <n v="196"/>
    <x v="12"/>
    <n v="93"/>
    <x v="1"/>
    <x v="3"/>
    <x v="0"/>
  </r>
  <r>
    <n v="14"/>
    <n v="65"/>
    <x v="0"/>
    <x v="2"/>
    <n v="1"/>
    <n v="3"/>
    <s v="Porthole"/>
    <n v="1150"/>
    <n v="444"/>
    <n v="378"/>
    <n v="302"/>
    <n v="238"/>
    <n v="0"/>
    <x v="13"/>
    <n v="39"/>
    <x v="3"/>
    <x v="4"/>
    <x v="0"/>
  </r>
  <r>
    <n v="15"/>
    <n v="33"/>
    <x v="1"/>
    <x v="0"/>
    <n v="0"/>
    <n v="2"/>
    <s v="Internal"/>
    <n v="500"/>
    <n v="348"/>
    <n v="168"/>
    <n v="0"/>
    <n v="366"/>
    <n v="392"/>
    <x v="14"/>
    <n v="79"/>
    <x v="1"/>
    <x v="0"/>
    <x v="3"/>
  </r>
  <r>
    <n v="16"/>
    <n v="58"/>
    <x v="1"/>
    <x v="0"/>
    <n v="0"/>
    <n v="2"/>
    <s v="Porthole"/>
    <n v="1150"/>
    <n v="522"/>
    <n v="252"/>
    <n v="238"/>
    <n v="183"/>
    <n v="149"/>
    <x v="15"/>
    <n v="61"/>
    <x v="2"/>
    <x v="2"/>
    <x v="3"/>
  </r>
  <r>
    <n v="17"/>
    <n v="46"/>
    <x v="1"/>
    <x v="1"/>
    <n v="0"/>
    <n v="1"/>
    <s v="Porthole"/>
    <n v="1150"/>
    <n v="0"/>
    <n v="126"/>
    <n v="238"/>
    <n v="549"/>
    <n v="149"/>
    <x v="16"/>
    <n v="73"/>
    <x v="2"/>
    <x v="0"/>
    <x v="3"/>
  </r>
  <r>
    <n v="18"/>
    <n v="36"/>
    <x v="1"/>
    <x v="2"/>
    <n v="1"/>
    <n v="3"/>
    <s v="Porthole"/>
    <n v="1150"/>
    <n v="0"/>
    <n v="378"/>
    <n v="357"/>
    <n v="0"/>
    <n v="0"/>
    <x v="17"/>
    <n v="55"/>
    <x v="1"/>
    <x v="1"/>
    <x v="3"/>
  </r>
  <r>
    <n v="19"/>
    <n v="63"/>
    <x v="0"/>
    <x v="2"/>
    <n v="3"/>
    <n v="5"/>
    <s v="Porthole"/>
    <n v="1150"/>
    <n v="148"/>
    <n v="630"/>
    <n v="302"/>
    <n v="0"/>
    <n v="302"/>
    <x v="18"/>
    <n v="71"/>
    <x v="3"/>
    <x v="0"/>
    <x v="0"/>
  </r>
  <r>
    <n v="20"/>
    <n v="38"/>
    <x v="1"/>
    <x v="0"/>
    <n v="0"/>
    <n v="2"/>
    <s v="Internal"/>
    <n v="500"/>
    <n v="522"/>
    <n v="168"/>
    <n v="357"/>
    <n v="732"/>
    <n v="0"/>
    <x v="19"/>
    <n v="85"/>
    <x v="1"/>
    <x v="3"/>
    <x v="3"/>
  </r>
  <r>
    <n v="21"/>
    <n v="27"/>
    <x v="0"/>
    <x v="2"/>
    <n v="2"/>
    <n v="4"/>
    <s v="Suite"/>
    <n v="2950"/>
    <n v="592"/>
    <n v="1004"/>
    <n v="0"/>
    <n v="0"/>
    <n v="294"/>
    <x v="20"/>
    <n v="81"/>
    <x v="4"/>
    <x v="3"/>
    <x v="1"/>
  </r>
  <r>
    <n v="22"/>
    <n v="27"/>
    <x v="2"/>
    <x v="0"/>
    <n v="0"/>
    <n v="2"/>
    <s v="Porthole"/>
    <n v="1150"/>
    <n v="0"/>
    <n v="252"/>
    <n v="334"/>
    <n v="501"/>
    <n v="147"/>
    <x v="21"/>
    <n v="49"/>
    <x v="4"/>
    <x v="4"/>
    <x v="3"/>
  </r>
  <r>
    <n v="23"/>
    <n v="21"/>
    <x v="1"/>
    <x v="3"/>
    <n v="0"/>
    <n v="5"/>
    <s v="Porthole"/>
    <n v="1150"/>
    <n v="186"/>
    <n v="630"/>
    <n v="119"/>
    <n v="366"/>
    <n v="294"/>
    <x v="22"/>
    <n v="54"/>
    <x v="4"/>
    <x v="1"/>
    <x v="0"/>
  </r>
  <r>
    <n v="24"/>
    <n v="48"/>
    <x v="0"/>
    <x v="2"/>
    <n v="1"/>
    <n v="3"/>
    <s v="Suite"/>
    <n v="2950"/>
    <n v="444"/>
    <n v="753"/>
    <n v="453"/>
    <n v="0"/>
    <n v="447"/>
    <x v="23"/>
    <n v="50"/>
    <x v="2"/>
    <x v="1"/>
    <x v="1"/>
  </r>
  <r>
    <n v="25"/>
    <n v="36"/>
    <x v="0"/>
    <x v="2"/>
    <n v="4"/>
    <n v="6"/>
    <s v="Luxury"/>
    <n v="1950"/>
    <n v="148"/>
    <n v="1056"/>
    <n v="604"/>
    <n v="357"/>
    <n v="196"/>
    <x v="24"/>
    <n v="57"/>
    <x v="1"/>
    <x v="1"/>
    <x v="2"/>
  </r>
  <r>
    <n v="26"/>
    <n v="52"/>
    <x v="0"/>
    <x v="2"/>
    <n v="3"/>
    <n v="5"/>
    <s v="Porthole"/>
    <n v="1150"/>
    <n v="148"/>
    <n v="630"/>
    <n v="0"/>
    <n v="357"/>
    <n v="447"/>
    <x v="25"/>
    <n v="68"/>
    <x v="2"/>
    <x v="2"/>
    <x v="0"/>
  </r>
  <r>
    <n v="27"/>
    <n v="42"/>
    <x v="2"/>
    <x v="0"/>
    <n v="0"/>
    <n v="2"/>
    <s v="Porthole"/>
    <n v="1150"/>
    <n v="696"/>
    <n v="252"/>
    <n v="501"/>
    <n v="501"/>
    <n v="0"/>
    <x v="26"/>
    <n v="54"/>
    <x v="1"/>
    <x v="1"/>
    <x v="0"/>
  </r>
  <r>
    <n v="28"/>
    <n v="30"/>
    <x v="1"/>
    <x v="0"/>
    <n v="0"/>
    <n v="2"/>
    <s v="Internal"/>
    <n v="500"/>
    <n v="348"/>
    <n v="168"/>
    <n v="238"/>
    <n v="549"/>
    <n v="392"/>
    <x v="27"/>
    <n v="73"/>
    <x v="1"/>
    <x v="0"/>
    <x v="3"/>
  </r>
  <r>
    <n v="29"/>
    <n v="54"/>
    <x v="0"/>
    <x v="0"/>
    <n v="0"/>
    <n v="2"/>
    <s v="Porthole"/>
    <n v="1150"/>
    <n v="0"/>
    <n v="252"/>
    <n v="755"/>
    <n v="119"/>
    <n v="298"/>
    <x v="28"/>
    <n v="78"/>
    <x v="2"/>
    <x v="0"/>
    <x v="0"/>
  </r>
  <r>
    <n v="30"/>
    <n v="27"/>
    <x v="1"/>
    <x v="3"/>
    <n v="0"/>
    <n v="3"/>
    <s v="Porthole"/>
    <n v="1150"/>
    <n v="186"/>
    <n v="378"/>
    <n v="238"/>
    <n v="366"/>
    <n v="294"/>
    <x v="29"/>
    <n v="88"/>
    <x v="4"/>
    <x v="3"/>
    <x v="0"/>
  </r>
  <r>
    <n v="31"/>
    <n v="35"/>
    <x v="1"/>
    <x v="2"/>
    <n v="6"/>
    <n v="8"/>
    <s v="Porthole"/>
    <n v="1150"/>
    <n v="0"/>
    <n v="1008"/>
    <n v="0"/>
    <n v="915"/>
    <n v="196"/>
    <x v="30"/>
    <n v="50"/>
    <x v="1"/>
    <x v="1"/>
    <x v="0"/>
  </r>
  <r>
    <n v="32"/>
    <n v="79"/>
    <x v="1"/>
    <x v="0"/>
    <n v="0"/>
    <n v="2"/>
    <s v="Suite"/>
    <n v="2950"/>
    <n v="0"/>
    <n v="502"/>
    <n v="238"/>
    <n v="366"/>
    <n v="447"/>
    <x v="31"/>
    <n v="50"/>
    <x v="0"/>
    <x v="1"/>
    <x v="1"/>
  </r>
  <r>
    <n v="33"/>
    <n v="66"/>
    <x v="1"/>
    <x v="2"/>
    <n v="1"/>
    <n v="3"/>
    <s v="Porthole"/>
    <n v="1150"/>
    <n v="296"/>
    <n v="378"/>
    <n v="119"/>
    <n v="183"/>
    <n v="151"/>
    <x v="32"/>
    <n v="71"/>
    <x v="3"/>
    <x v="0"/>
    <x v="3"/>
  </r>
  <r>
    <n v="34"/>
    <n v="21"/>
    <x v="0"/>
    <x v="3"/>
    <n v="0"/>
    <n v="8"/>
    <s v="Internal"/>
    <n v="500"/>
    <n v="93"/>
    <n v="672"/>
    <n v="453"/>
    <n v="238"/>
    <n v="441"/>
    <x v="33"/>
    <n v="48"/>
    <x v="4"/>
    <x v="4"/>
    <x v="3"/>
  </r>
  <r>
    <n v="35"/>
    <n v="48"/>
    <x v="0"/>
    <x v="2"/>
    <n v="4"/>
    <n v="6"/>
    <s v="Suite"/>
    <n v="2950"/>
    <n v="148"/>
    <n v="1506"/>
    <n v="755"/>
    <n v="238"/>
    <n v="0"/>
    <x v="34"/>
    <n v="81"/>
    <x v="2"/>
    <x v="3"/>
    <x v="1"/>
  </r>
  <r>
    <n v="36"/>
    <n v="47"/>
    <x v="0"/>
    <x v="3"/>
    <n v="0"/>
    <n v="5"/>
    <s v="Porthole"/>
    <n v="1150"/>
    <n v="93"/>
    <n v="630"/>
    <n v="755"/>
    <n v="0"/>
    <n v="0"/>
    <x v="35"/>
    <n v="47"/>
    <x v="2"/>
    <x v="4"/>
    <x v="0"/>
  </r>
  <r>
    <n v="37"/>
    <n v="64"/>
    <x v="1"/>
    <x v="2"/>
    <n v="4"/>
    <n v="6"/>
    <s v="Porthole"/>
    <n v="1150"/>
    <n v="0"/>
    <n v="756"/>
    <n v="0"/>
    <n v="0"/>
    <n v="302"/>
    <x v="36"/>
    <n v="47"/>
    <x v="3"/>
    <x v="4"/>
    <x v="3"/>
  </r>
  <r>
    <n v="38"/>
    <n v="37"/>
    <x v="1"/>
    <x v="2"/>
    <n v="4"/>
    <n v="6"/>
    <s v="Luxury"/>
    <n v="1950"/>
    <n v="592"/>
    <n v="1056"/>
    <n v="238"/>
    <n v="0"/>
    <n v="0"/>
    <x v="37"/>
    <n v="52"/>
    <x v="1"/>
    <x v="1"/>
    <x v="2"/>
  </r>
  <r>
    <n v="39"/>
    <n v="30"/>
    <x v="0"/>
    <x v="1"/>
    <n v="0"/>
    <n v="1"/>
    <s v="Porthole"/>
    <n v="1150"/>
    <n v="0"/>
    <n v="126"/>
    <n v="453"/>
    <n v="357"/>
    <n v="196"/>
    <x v="38"/>
    <n v="63"/>
    <x v="1"/>
    <x v="2"/>
    <x v="3"/>
  </r>
  <r>
    <n v="40"/>
    <n v="45"/>
    <x v="1"/>
    <x v="0"/>
    <n v="0"/>
    <n v="2"/>
    <s v="Internal"/>
    <n v="500"/>
    <n v="522"/>
    <n v="168"/>
    <n v="238"/>
    <n v="732"/>
    <n v="392"/>
    <x v="39"/>
    <n v="79"/>
    <x v="1"/>
    <x v="0"/>
    <x v="0"/>
  </r>
  <r>
    <n v="41"/>
    <n v="39"/>
    <x v="1"/>
    <x v="1"/>
    <n v="0"/>
    <n v="1"/>
    <s v="Porthole"/>
    <n v="1150"/>
    <n v="452"/>
    <n v="126"/>
    <n v="119"/>
    <n v="366"/>
    <n v="0"/>
    <x v="40"/>
    <n v="93"/>
    <x v="1"/>
    <x v="3"/>
    <x v="3"/>
  </r>
  <r>
    <n v="42"/>
    <n v="39"/>
    <x v="2"/>
    <x v="0"/>
    <n v="0"/>
    <n v="2"/>
    <s v="Internal"/>
    <n v="500"/>
    <n v="0"/>
    <n v="168"/>
    <n v="501"/>
    <n v="167"/>
    <n v="196"/>
    <x v="41"/>
    <n v="77"/>
    <x v="1"/>
    <x v="0"/>
    <x v="3"/>
  </r>
  <r>
    <n v="43"/>
    <n v="67"/>
    <x v="0"/>
    <x v="0"/>
    <n v="0"/>
    <n v="2"/>
    <s v="Porthole"/>
    <n v="1150"/>
    <n v="348"/>
    <n v="252"/>
    <n v="755"/>
    <n v="0"/>
    <n v="0"/>
    <x v="42"/>
    <n v="82"/>
    <x v="3"/>
    <x v="3"/>
    <x v="0"/>
  </r>
  <r>
    <n v="44"/>
    <n v="44"/>
    <x v="0"/>
    <x v="0"/>
    <n v="0"/>
    <n v="2"/>
    <s v="Porthole"/>
    <n v="1150"/>
    <n v="0"/>
    <n v="252"/>
    <n v="755"/>
    <n v="0"/>
    <n v="392"/>
    <x v="43"/>
    <n v="63"/>
    <x v="1"/>
    <x v="2"/>
    <x v="0"/>
  </r>
  <r>
    <n v="45"/>
    <n v="46"/>
    <x v="0"/>
    <x v="2"/>
    <n v="1"/>
    <n v="3"/>
    <s v="Porthole"/>
    <n v="1150"/>
    <n v="296"/>
    <n v="378"/>
    <n v="0"/>
    <n v="119"/>
    <n v="447"/>
    <x v="44"/>
    <n v="71"/>
    <x v="2"/>
    <x v="0"/>
    <x v="3"/>
  </r>
  <r>
    <n v="46"/>
    <n v="68"/>
    <x v="1"/>
    <x v="2"/>
    <n v="2"/>
    <n v="4"/>
    <s v="Porthole"/>
    <n v="1150"/>
    <n v="148"/>
    <n v="504"/>
    <n v="0"/>
    <n v="366"/>
    <n v="0"/>
    <x v="45"/>
    <n v="65"/>
    <x v="3"/>
    <x v="2"/>
    <x v="3"/>
  </r>
  <r>
    <n v="47"/>
    <n v="75"/>
    <x v="1"/>
    <x v="0"/>
    <n v="0"/>
    <n v="2"/>
    <s v="Luxury"/>
    <n v="1950"/>
    <n v="174"/>
    <n v="352"/>
    <n v="238"/>
    <n v="915"/>
    <n v="447"/>
    <x v="46"/>
    <n v="96"/>
    <x v="0"/>
    <x v="3"/>
    <x v="2"/>
  </r>
  <r>
    <n v="48"/>
    <n v="76"/>
    <x v="1"/>
    <x v="1"/>
    <n v="0"/>
    <n v="1"/>
    <s v="Suite"/>
    <n v="2950"/>
    <n v="0"/>
    <n v="251"/>
    <n v="357"/>
    <n v="183"/>
    <n v="298"/>
    <x v="47"/>
    <n v="80"/>
    <x v="0"/>
    <x v="3"/>
    <x v="2"/>
  </r>
  <r>
    <n v="49"/>
    <n v="55"/>
    <x v="0"/>
    <x v="0"/>
    <n v="0"/>
    <n v="2"/>
    <s v="Porthole"/>
    <n v="1150"/>
    <n v="696"/>
    <n v="252"/>
    <n v="302"/>
    <n v="0"/>
    <n v="149"/>
    <x v="43"/>
    <n v="58"/>
    <x v="2"/>
    <x v="1"/>
    <x v="0"/>
  </r>
  <r>
    <n v="50"/>
    <n v="39"/>
    <x v="2"/>
    <x v="3"/>
    <n v="0"/>
    <n v="3"/>
    <s v="Porthole"/>
    <n v="1150"/>
    <n v="0"/>
    <n v="378"/>
    <n v="167"/>
    <n v="167"/>
    <n v="196"/>
    <x v="48"/>
    <n v="75"/>
    <x v="1"/>
    <x v="0"/>
    <x v="3"/>
  </r>
  <r>
    <n v="51"/>
    <n v="53"/>
    <x v="1"/>
    <x v="2"/>
    <n v="1"/>
    <n v="3"/>
    <s v="Internal"/>
    <n v="500"/>
    <n v="0"/>
    <n v="252"/>
    <n v="0"/>
    <n v="549"/>
    <n v="298"/>
    <x v="49"/>
    <n v="76"/>
    <x v="2"/>
    <x v="0"/>
    <x v="3"/>
  </r>
  <r>
    <n v="52"/>
    <n v="65"/>
    <x v="1"/>
    <x v="1"/>
    <n v="0"/>
    <n v="1"/>
    <s v="Luxury"/>
    <n v="1950"/>
    <n v="904"/>
    <n v="176"/>
    <n v="119"/>
    <n v="0"/>
    <n v="453"/>
    <x v="50"/>
    <n v="83"/>
    <x v="3"/>
    <x v="3"/>
    <x v="2"/>
  </r>
  <r>
    <n v="53"/>
    <n v="69"/>
    <x v="0"/>
    <x v="2"/>
    <n v="4"/>
    <n v="6"/>
    <s v="Suite"/>
    <n v="2950"/>
    <n v="592"/>
    <n v="1506"/>
    <n v="453"/>
    <n v="0"/>
    <n v="604"/>
    <x v="51"/>
    <n v="64"/>
    <x v="3"/>
    <x v="2"/>
    <x v="1"/>
  </r>
  <r>
    <n v="54"/>
    <n v="39"/>
    <x v="0"/>
    <x v="2"/>
    <n v="1"/>
    <n v="3"/>
    <s v="Luxury"/>
    <n v="1950"/>
    <n v="296"/>
    <n v="528"/>
    <n v="755"/>
    <n v="119"/>
    <n v="196"/>
    <x v="52"/>
    <n v="79"/>
    <x v="1"/>
    <x v="0"/>
    <x v="2"/>
  </r>
  <r>
    <n v="55"/>
    <n v="52"/>
    <x v="1"/>
    <x v="2"/>
    <n v="2"/>
    <n v="4"/>
    <s v="Luxury"/>
    <n v="1950"/>
    <n v="444"/>
    <n v="704"/>
    <n v="0"/>
    <n v="915"/>
    <n v="298"/>
    <x v="24"/>
    <n v="62"/>
    <x v="2"/>
    <x v="2"/>
    <x v="2"/>
  </r>
  <r>
    <n v="56"/>
    <n v="59"/>
    <x v="1"/>
    <x v="2"/>
    <n v="4"/>
    <n v="6"/>
    <s v="Internal"/>
    <n v="500"/>
    <n v="148"/>
    <n v="504"/>
    <n v="238"/>
    <n v="366"/>
    <n v="149"/>
    <x v="53"/>
    <n v="73"/>
    <x v="2"/>
    <x v="0"/>
    <x v="3"/>
  </r>
  <r>
    <n v="57"/>
    <n v="47"/>
    <x v="1"/>
    <x v="2"/>
    <n v="3"/>
    <n v="5"/>
    <s v="Internal"/>
    <n v="500"/>
    <n v="0"/>
    <n v="420"/>
    <n v="238"/>
    <n v="366"/>
    <n v="149"/>
    <x v="54"/>
    <n v="68"/>
    <x v="2"/>
    <x v="2"/>
    <x v="3"/>
  </r>
  <r>
    <n v="58"/>
    <n v="67"/>
    <x v="0"/>
    <x v="2"/>
    <n v="1"/>
    <n v="3"/>
    <s v="Porthole"/>
    <n v="1150"/>
    <n v="296"/>
    <n v="378"/>
    <n v="0"/>
    <n v="119"/>
    <n v="151"/>
    <x v="55"/>
    <n v="74"/>
    <x v="3"/>
    <x v="0"/>
    <x v="3"/>
  </r>
  <r>
    <n v="59"/>
    <n v="29"/>
    <x v="2"/>
    <x v="3"/>
    <n v="0"/>
    <n v="4"/>
    <s v="Porthole"/>
    <n v="1150"/>
    <n v="93"/>
    <n v="504"/>
    <n v="167"/>
    <n v="167"/>
    <n v="441"/>
    <x v="56"/>
    <n v="94"/>
    <x v="4"/>
    <x v="3"/>
    <x v="0"/>
  </r>
  <r>
    <n v="60"/>
    <n v="38"/>
    <x v="0"/>
    <x v="3"/>
    <n v="0"/>
    <n v="5"/>
    <s v="Porthole"/>
    <n v="1150"/>
    <n v="186"/>
    <n v="630"/>
    <n v="453"/>
    <n v="357"/>
    <n v="0"/>
    <x v="57"/>
    <n v="64"/>
    <x v="1"/>
    <x v="2"/>
    <x v="0"/>
  </r>
  <r>
    <n v="61"/>
    <n v="68"/>
    <x v="0"/>
    <x v="2"/>
    <n v="3"/>
    <n v="5"/>
    <s v="Porthole"/>
    <n v="1150"/>
    <n v="0"/>
    <n v="630"/>
    <n v="604"/>
    <n v="357"/>
    <n v="453"/>
    <x v="58"/>
    <n v="74"/>
    <x v="3"/>
    <x v="0"/>
    <x v="0"/>
  </r>
  <r>
    <n v="62"/>
    <n v="59"/>
    <x v="1"/>
    <x v="2"/>
    <n v="2"/>
    <n v="4"/>
    <s v="Luxury"/>
    <n v="1950"/>
    <n v="444"/>
    <n v="704"/>
    <n v="0"/>
    <n v="366"/>
    <n v="0"/>
    <x v="59"/>
    <n v="83"/>
    <x v="2"/>
    <x v="3"/>
    <x v="0"/>
  </r>
  <r>
    <n v="63"/>
    <n v="59"/>
    <x v="1"/>
    <x v="0"/>
    <n v="0"/>
    <n v="2"/>
    <s v="Porthole"/>
    <n v="1150"/>
    <n v="0"/>
    <n v="252"/>
    <n v="238"/>
    <n v="366"/>
    <n v="149"/>
    <x v="60"/>
    <n v="46"/>
    <x v="2"/>
    <x v="4"/>
    <x v="3"/>
  </r>
  <r>
    <n v="64"/>
    <n v="56"/>
    <x v="0"/>
    <x v="2"/>
    <n v="4"/>
    <n v="6"/>
    <s v="Luxury"/>
    <n v="1950"/>
    <n v="0"/>
    <n v="1056"/>
    <n v="755"/>
    <n v="238"/>
    <n v="0"/>
    <x v="61"/>
    <n v="57"/>
    <x v="2"/>
    <x v="1"/>
    <x v="2"/>
  </r>
  <r>
    <n v="65"/>
    <n v="43"/>
    <x v="1"/>
    <x v="2"/>
    <n v="5"/>
    <n v="7"/>
    <s v="Luxury"/>
    <n v="1950"/>
    <n v="148"/>
    <n v="1232"/>
    <n v="238"/>
    <n v="183"/>
    <n v="0"/>
    <x v="62"/>
    <n v="83"/>
    <x v="1"/>
    <x v="3"/>
    <x v="2"/>
  </r>
  <r>
    <n v="66"/>
    <n v="65"/>
    <x v="1"/>
    <x v="2"/>
    <n v="1"/>
    <n v="3"/>
    <s v="Suite"/>
    <n v="2950"/>
    <n v="444"/>
    <n v="753"/>
    <n v="238"/>
    <n v="183"/>
    <n v="151"/>
    <x v="63"/>
    <n v="88"/>
    <x v="3"/>
    <x v="3"/>
    <x v="1"/>
  </r>
  <r>
    <n v="67"/>
    <n v="54"/>
    <x v="1"/>
    <x v="1"/>
    <n v="0"/>
    <n v="1"/>
    <s v="Luxury"/>
    <n v="1950"/>
    <n v="678"/>
    <n v="176"/>
    <n v="0"/>
    <n v="915"/>
    <n v="447"/>
    <x v="64"/>
    <n v="74"/>
    <x v="2"/>
    <x v="0"/>
    <x v="2"/>
  </r>
  <r>
    <n v="68"/>
    <n v="41"/>
    <x v="1"/>
    <x v="2"/>
    <n v="4"/>
    <n v="6"/>
    <s v="Porthole"/>
    <n v="1150"/>
    <n v="0"/>
    <n v="756"/>
    <n v="357"/>
    <n v="915"/>
    <n v="196"/>
    <x v="65"/>
    <n v="64"/>
    <x v="1"/>
    <x v="2"/>
    <x v="0"/>
  </r>
  <r>
    <n v="69"/>
    <n v="64"/>
    <x v="1"/>
    <x v="3"/>
    <n v="0"/>
    <n v="4"/>
    <s v="Internal"/>
    <n v="500"/>
    <n v="0"/>
    <n v="336"/>
    <n v="357"/>
    <n v="183"/>
    <n v="0"/>
    <x v="66"/>
    <n v="60"/>
    <x v="3"/>
    <x v="2"/>
    <x v="3"/>
  </r>
  <r>
    <n v="70"/>
    <n v="47"/>
    <x v="1"/>
    <x v="3"/>
    <n v="0"/>
    <n v="8"/>
    <s v="Internal"/>
    <n v="500"/>
    <n v="93"/>
    <n v="672"/>
    <n v="119"/>
    <n v="0"/>
    <n v="447"/>
    <x v="67"/>
    <n v="77"/>
    <x v="2"/>
    <x v="0"/>
    <x v="3"/>
  </r>
  <r>
    <n v="71"/>
    <n v="42"/>
    <x v="1"/>
    <x v="1"/>
    <n v="0"/>
    <n v="1"/>
    <s v="Porthole"/>
    <n v="1150"/>
    <n v="904"/>
    <n v="126"/>
    <n v="0"/>
    <n v="549"/>
    <n v="196"/>
    <x v="68"/>
    <n v="68"/>
    <x v="1"/>
    <x v="2"/>
    <x v="0"/>
  </r>
  <r>
    <n v="72"/>
    <n v="34"/>
    <x v="0"/>
    <x v="2"/>
    <n v="4"/>
    <n v="6"/>
    <s v="Porthole"/>
    <n v="1150"/>
    <n v="444"/>
    <n v="756"/>
    <n v="302"/>
    <n v="119"/>
    <n v="0"/>
    <x v="69"/>
    <n v="85"/>
    <x v="1"/>
    <x v="3"/>
    <x v="0"/>
  </r>
  <r>
    <n v="73"/>
    <n v="41"/>
    <x v="1"/>
    <x v="2"/>
    <n v="1"/>
    <n v="3"/>
    <s v="Luxury"/>
    <n v="1950"/>
    <n v="0"/>
    <n v="528"/>
    <n v="0"/>
    <n v="366"/>
    <n v="392"/>
    <x v="70"/>
    <n v="97"/>
    <x v="1"/>
    <x v="3"/>
    <x v="0"/>
  </r>
  <r>
    <n v="74"/>
    <n v="24"/>
    <x v="1"/>
    <x v="0"/>
    <n v="0"/>
    <n v="2"/>
    <s v="Internal"/>
    <n v="500"/>
    <n v="348"/>
    <n v="168"/>
    <n v="0"/>
    <n v="366"/>
    <n v="441"/>
    <x v="71"/>
    <n v="96"/>
    <x v="4"/>
    <x v="3"/>
    <x v="3"/>
  </r>
  <r>
    <n v="75"/>
    <n v="32"/>
    <x v="2"/>
    <x v="0"/>
    <n v="0"/>
    <n v="2"/>
    <s v="Internal"/>
    <n v="500"/>
    <n v="174"/>
    <n v="168"/>
    <n v="501"/>
    <n v="334"/>
    <n v="196"/>
    <x v="72"/>
    <n v="71"/>
    <x v="1"/>
    <x v="0"/>
    <x v="3"/>
  </r>
  <r>
    <n v="76"/>
    <n v="74"/>
    <x v="1"/>
    <x v="0"/>
    <n v="0"/>
    <n v="2"/>
    <s v="Luxury"/>
    <n v="1950"/>
    <n v="522"/>
    <n v="352"/>
    <n v="357"/>
    <n v="183"/>
    <n v="447"/>
    <x v="73"/>
    <n v="61"/>
    <x v="0"/>
    <x v="2"/>
    <x v="2"/>
  </r>
  <r>
    <n v="77"/>
    <n v="56"/>
    <x v="0"/>
    <x v="2"/>
    <n v="3"/>
    <n v="5"/>
    <s v="Luxury"/>
    <n v="1950"/>
    <n v="444"/>
    <n v="880"/>
    <n v="755"/>
    <n v="119"/>
    <n v="447"/>
    <x v="74"/>
    <n v="52"/>
    <x v="2"/>
    <x v="1"/>
    <x v="1"/>
  </r>
  <r>
    <n v="78"/>
    <n v="60"/>
    <x v="1"/>
    <x v="0"/>
    <n v="0"/>
    <n v="2"/>
    <s v="Suite"/>
    <n v="2950"/>
    <n v="174"/>
    <n v="502"/>
    <n v="0"/>
    <n v="183"/>
    <n v="0"/>
    <x v="75"/>
    <n v="70"/>
    <x v="3"/>
    <x v="0"/>
    <x v="2"/>
  </r>
  <r>
    <n v="79"/>
    <n v="51"/>
    <x v="1"/>
    <x v="2"/>
    <n v="2"/>
    <n v="4"/>
    <s v="Luxury"/>
    <n v="1950"/>
    <n v="592"/>
    <n v="704"/>
    <n v="357"/>
    <n v="732"/>
    <n v="298"/>
    <x v="76"/>
    <n v="64"/>
    <x v="2"/>
    <x v="2"/>
    <x v="1"/>
  </r>
  <r>
    <n v="80"/>
    <n v="59"/>
    <x v="1"/>
    <x v="2"/>
    <n v="4"/>
    <n v="6"/>
    <s v="Luxury"/>
    <n v="1950"/>
    <n v="296"/>
    <n v="1056"/>
    <n v="119"/>
    <n v="366"/>
    <n v="298"/>
    <x v="77"/>
    <n v="78"/>
    <x v="2"/>
    <x v="0"/>
    <x v="2"/>
  </r>
  <r>
    <n v="81"/>
    <n v="35"/>
    <x v="1"/>
    <x v="2"/>
    <n v="4"/>
    <n v="6"/>
    <s v="Porthole"/>
    <n v="1150"/>
    <n v="148"/>
    <n v="756"/>
    <n v="119"/>
    <n v="183"/>
    <n v="0"/>
    <x v="78"/>
    <n v="52"/>
    <x v="1"/>
    <x v="1"/>
    <x v="3"/>
  </r>
  <r>
    <n v="82"/>
    <n v="54"/>
    <x v="1"/>
    <x v="2"/>
    <n v="1"/>
    <n v="3"/>
    <s v="Luxury"/>
    <n v="1950"/>
    <n v="592"/>
    <n v="528"/>
    <n v="238"/>
    <n v="549"/>
    <n v="149"/>
    <x v="79"/>
    <n v="65"/>
    <x v="2"/>
    <x v="2"/>
    <x v="2"/>
  </r>
  <r>
    <n v="83"/>
    <n v="26"/>
    <x v="1"/>
    <x v="0"/>
    <n v="0"/>
    <n v="2"/>
    <s v="Internal"/>
    <n v="500"/>
    <n v="696"/>
    <n v="168"/>
    <n v="119"/>
    <n v="915"/>
    <n v="441"/>
    <x v="80"/>
    <n v="59"/>
    <x v="4"/>
    <x v="1"/>
    <x v="0"/>
  </r>
  <r>
    <n v="84"/>
    <n v="26"/>
    <x v="1"/>
    <x v="0"/>
    <n v="0"/>
    <n v="2"/>
    <s v="Internal"/>
    <n v="500"/>
    <n v="0"/>
    <n v="168"/>
    <n v="238"/>
    <n v="915"/>
    <n v="441"/>
    <x v="81"/>
    <n v="83"/>
    <x v="4"/>
    <x v="3"/>
    <x v="3"/>
  </r>
  <r>
    <n v="85"/>
    <n v="82"/>
    <x v="0"/>
    <x v="3"/>
    <n v="0"/>
    <n v="7"/>
    <s v="Internal"/>
    <n v="500"/>
    <n v="0"/>
    <n v="588"/>
    <n v="755"/>
    <n v="238"/>
    <n v="149"/>
    <x v="82"/>
    <n v="89"/>
    <x v="0"/>
    <x v="3"/>
    <x v="3"/>
  </r>
  <r>
    <n v="86"/>
    <n v="63"/>
    <x v="1"/>
    <x v="0"/>
    <n v="0"/>
    <n v="2"/>
    <s v="Suite"/>
    <n v="2950"/>
    <n v="696"/>
    <n v="502"/>
    <n v="119"/>
    <n v="366"/>
    <n v="0"/>
    <x v="76"/>
    <n v="53"/>
    <x v="3"/>
    <x v="1"/>
    <x v="1"/>
  </r>
  <r>
    <n v="87"/>
    <n v="44"/>
    <x v="0"/>
    <x v="2"/>
    <n v="3"/>
    <n v="5"/>
    <s v="Porthole"/>
    <n v="1150"/>
    <n v="592"/>
    <n v="630"/>
    <n v="0"/>
    <n v="238"/>
    <n v="392"/>
    <x v="83"/>
    <n v="91"/>
    <x v="1"/>
    <x v="3"/>
    <x v="0"/>
  </r>
  <r>
    <n v="88"/>
    <n v="28"/>
    <x v="0"/>
    <x v="1"/>
    <n v="0"/>
    <n v="1"/>
    <s v="Internal"/>
    <n v="500"/>
    <n v="904"/>
    <n v="84"/>
    <n v="453"/>
    <n v="357"/>
    <n v="441"/>
    <x v="84"/>
    <n v="81"/>
    <x v="4"/>
    <x v="3"/>
    <x v="0"/>
  </r>
  <r>
    <n v="89"/>
    <n v="25"/>
    <x v="0"/>
    <x v="1"/>
    <n v="0"/>
    <n v="1"/>
    <s v="Internal"/>
    <n v="500"/>
    <n v="0"/>
    <n v="84"/>
    <n v="151"/>
    <n v="238"/>
    <n v="441"/>
    <x v="85"/>
    <n v="53"/>
    <x v="4"/>
    <x v="1"/>
    <x v="3"/>
  </r>
  <r>
    <n v="90"/>
    <n v="65"/>
    <x v="0"/>
    <x v="1"/>
    <n v="0"/>
    <n v="1"/>
    <s v="Luxury"/>
    <n v="1950"/>
    <n v="0"/>
    <n v="176"/>
    <n v="604"/>
    <n v="238"/>
    <n v="604"/>
    <x v="86"/>
    <n v="48"/>
    <x v="3"/>
    <x v="4"/>
    <x v="2"/>
  </r>
  <r>
    <n v="91"/>
    <n v="57"/>
    <x v="0"/>
    <x v="2"/>
    <n v="2"/>
    <n v="4"/>
    <s v="Internal"/>
    <n v="500"/>
    <n v="0"/>
    <n v="336"/>
    <n v="0"/>
    <n v="0"/>
    <n v="447"/>
    <x v="87"/>
    <n v="68"/>
    <x v="2"/>
    <x v="2"/>
    <x v="3"/>
  </r>
  <r>
    <n v="92"/>
    <n v="60"/>
    <x v="1"/>
    <x v="3"/>
    <n v="0"/>
    <n v="6"/>
    <s v="Internal"/>
    <n v="500"/>
    <n v="186"/>
    <n v="504"/>
    <n v="119"/>
    <n v="366"/>
    <n v="151"/>
    <x v="88"/>
    <n v="58"/>
    <x v="3"/>
    <x v="1"/>
    <x v="3"/>
  </r>
  <r>
    <n v="93"/>
    <n v="77"/>
    <x v="1"/>
    <x v="0"/>
    <n v="0"/>
    <n v="2"/>
    <s v="Suite"/>
    <n v="2950"/>
    <n v="0"/>
    <n v="502"/>
    <n v="238"/>
    <n v="366"/>
    <n v="149"/>
    <x v="89"/>
    <n v="71"/>
    <x v="0"/>
    <x v="0"/>
    <x v="2"/>
  </r>
  <r>
    <n v="94"/>
    <n v="63"/>
    <x v="1"/>
    <x v="1"/>
    <n v="0"/>
    <n v="1"/>
    <s v="Luxury"/>
    <n v="1950"/>
    <n v="678"/>
    <n v="176"/>
    <n v="357"/>
    <n v="549"/>
    <n v="0"/>
    <x v="90"/>
    <n v="72"/>
    <x v="3"/>
    <x v="0"/>
    <x v="2"/>
  </r>
  <r>
    <n v="95"/>
    <n v="85"/>
    <x v="1"/>
    <x v="0"/>
    <n v="0"/>
    <n v="2"/>
    <s v="Luxury"/>
    <n v="1950"/>
    <n v="522"/>
    <n v="352"/>
    <n v="119"/>
    <n v="0"/>
    <n v="0"/>
    <x v="91"/>
    <n v="63"/>
    <x v="0"/>
    <x v="2"/>
    <x v="0"/>
  </r>
  <r>
    <n v="96"/>
    <n v="61"/>
    <x v="1"/>
    <x v="1"/>
    <n v="0"/>
    <n v="1"/>
    <s v="Luxury"/>
    <n v="1950"/>
    <n v="678"/>
    <n v="176"/>
    <n v="238"/>
    <n v="915"/>
    <n v="453"/>
    <x v="92"/>
    <n v="51"/>
    <x v="3"/>
    <x v="1"/>
    <x v="2"/>
  </r>
  <r>
    <n v="97"/>
    <n v="40"/>
    <x v="0"/>
    <x v="2"/>
    <n v="2"/>
    <n v="4"/>
    <s v="Luxury"/>
    <n v="1950"/>
    <n v="148"/>
    <n v="704"/>
    <n v="755"/>
    <n v="0"/>
    <n v="392"/>
    <x v="93"/>
    <n v="66"/>
    <x v="1"/>
    <x v="2"/>
    <x v="2"/>
  </r>
  <r>
    <n v="98"/>
    <n v="50"/>
    <x v="2"/>
    <x v="2"/>
    <n v="3"/>
    <n v="5"/>
    <s v="Luxury"/>
    <n v="1950"/>
    <n v="592"/>
    <n v="880"/>
    <n v="167"/>
    <n v="0"/>
    <n v="0"/>
    <x v="94"/>
    <n v="69"/>
    <x v="2"/>
    <x v="2"/>
    <x v="2"/>
  </r>
  <r>
    <n v="99"/>
    <n v="59"/>
    <x v="0"/>
    <x v="2"/>
    <n v="2"/>
    <n v="4"/>
    <s v="Suite"/>
    <n v="2950"/>
    <n v="296"/>
    <n v="1004"/>
    <n v="755"/>
    <n v="119"/>
    <n v="149"/>
    <x v="95"/>
    <n v="55"/>
    <x v="2"/>
    <x v="1"/>
    <x v="1"/>
  </r>
  <r>
    <n v="100"/>
    <n v="38"/>
    <x v="1"/>
    <x v="2"/>
    <n v="3"/>
    <n v="5"/>
    <s v="Suite"/>
    <n v="2950"/>
    <n v="148"/>
    <n v="1255"/>
    <n v="119"/>
    <n v="915"/>
    <n v="392"/>
    <x v="96"/>
    <n v="56"/>
    <x v="1"/>
    <x v="1"/>
    <x v="1"/>
  </r>
  <r>
    <n v="101"/>
    <n v="63"/>
    <x v="1"/>
    <x v="0"/>
    <n v="0"/>
    <n v="2"/>
    <s v="Suite"/>
    <n v="2950"/>
    <n v="696"/>
    <n v="502"/>
    <n v="0"/>
    <n v="0"/>
    <n v="604"/>
    <x v="97"/>
    <n v="63"/>
    <x v="3"/>
    <x v="2"/>
    <x v="1"/>
  </r>
  <r>
    <n v="102"/>
    <n v="49"/>
    <x v="1"/>
    <x v="2"/>
    <n v="1"/>
    <n v="3"/>
    <s v="Luxury"/>
    <n v="1950"/>
    <n v="444"/>
    <n v="528"/>
    <n v="238"/>
    <n v="183"/>
    <n v="298"/>
    <x v="98"/>
    <n v="72"/>
    <x v="2"/>
    <x v="0"/>
    <x v="2"/>
  </r>
  <r>
    <n v="103"/>
    <n v="69"/>
    <x v="0"/>
    <x v="2"/>
    <n v="1"/>
    <n v="3"/>
    <s v="Porthole"/>
    <n v="1150"/>
    <n v="148"/>
    <n v="378"/>
    <n v="604"/>
    <n v="357"/>
    <n v="0"/>
    <x v="99"/>
    <n v="58"/>
    <x v="3"/>
    <x v="1"/>
    <x v="0"/>
  </r>
  <r>
    <n v="104"/>
    <n v="32"/>
    <x v="1"/>
    <x v="2"/>
    <n v="3"/>
    <n v="5"/>
    <s v="Porthole"/>
    <n v="1150"/>
    <n v="148"/>
    <n v="630"/>
    <n v="238"/>
    <n v="0"/>
    <n v="392"/>
    <x v="100"/>
    <n v="80"/>
    <x v="1"/>
    <x v="3"/>
    <x v="0"/>
  </r>
  <r>
    <n v="105"/>
    <n v="68"/>
    <x v="0"/>
    <x v="2"/>
    <n v="2"/>
    <n v="4"/>
    <s v="Suite"/>
    <n v="2950"/>
    <n v="444"/>
    <n v="1004"/>
    <n v="151"/>
    <n v="238"/>
    <n v="453"/>
    <x v="101"/>
    <n v="64"/>
    <x v="3"/>
    <x v="2"/>
    <x v="1"/>
  </r>
  <r>
    <n v="106"/>
    <n v="37"/>
    <x v="1"/>
    <x v="3"/>
    <n v="0"/>
    <n v="3"/>
    <s v="Porthole"/>
    <n v="1150"/>
    <n v="0"/>
    <n v="378"/>
    <n v="0"/>
    <n v="549"/>
    <n v="196"/>
    <x v="102"/>
    <n v="89"/>
    <x v="1"/>
    <x v="3"/>
    <x v="3"/>
  </r>
  <r>
    <n v="107"/>
    <n v="55"/>
    <x v="0"/>
    <x v="2"/>
    <n v="3"/>
    <n v="5"/>
    <s v="Luxury"/>
    <n v="1950"/>
    <n v="592"/>
    <n v="880"/>
    <n v="302"/>
    <n v="119"/>
    <n v="447"/>
    <x v="103"/>
    <n v="86"/>
    <x v="2"/>
    <x v="3"/>
    <x v="2"/>
  </r>
  <r>
    <n v="108"/>
    <n v="61"/>
    <x v="1"/>
    <x v="0"/>
    <n v="0"/>
    <n v="2"/>
    <s v="Suite"/>
    <n v="2950"/>
    <n v="348"/>
    <n v="502"/>
    <n v="357"/>
    <n v="0"/>
    <n v="0"/>
    <x v="104"/>
    <n v="68"/>
    <x v="3"/>
    <x v="2"/>
    <x v="2"/>
  </r>
  <r>
    <n v="109"/>
    <n v="39"/>
    <x v="1"/>
    <x v="0"/>
    <n v="0"/>
    <n v="2"/>
    <s v="Porthole"/>
    <n v="1150"/>
    <n v="0"/>
    <n v="252"/>
    <n v="0"/>
    <n v="732"/>
    <n v="0"/>
    <x v="105"/>
    <n v="68"/>
    <x v="1"/>
    <x v="2"/>
    <x v="3"/>
  </r>
  <r>
    <n v="110"/>
    <n v="69"/>
    <x v="1"/>
    <x v="3"/>
    <n v="0"/>
    <n v="8"/>
    <s v="Internal"/>
    <n v="500"/>
    <n v="186"/>
    <n v="672"/>
    <n v="0"/>
    <n v="732"/>
    <n v="453"/>
    <x v="106"/>
    <n v="51"/>
    <x v="3"/>
    <x v="1"/>
    <x v="0"/>
  </r>
  <r>
    <n v="111"/>
    <n v="43"/>
    <x v="0"/>
    <x v="0"/>
    <n v="0"/>
    <n v="2"/>
    <s v="Porthole"/>
    <n v="1150"/>
    <n v="522"/>
    <n v="252"/>
    <n v="151"/>
    <n v="238"/>
    <n v="392"/>
    <x v="107"/>
    <n v="92"/>
    <x v="1"/>
    <x v="3"/>
    <x v="0"/>
  </r>
  <r>
    <n v="112"/>
    <n v="48"/>
    <x v="0"/>
    <x v="3"/>
    <n v="0"/>
    <n v="6"/>
    <s v="Internal"/>
    <n v="500"/>
    <n v="93"/>
    <n v="504"/>
    <n v="151"/>
    <n v="238"/>
    <n v="298"/>
    <x v="108"/>
    <n v="89"/>
    <x v="2"/>
    <x v="3"/>
    <x v="3"/>
  </r>
  <r>
    <n v="113"/>
    <n v="24"/>
    <x v="1"/>
    <x v="3"/>
    <n v="0"/>
    <n v="6"/>
    <s v="Internal"/>
    <n v="500"/>
    <n v="0"/>
    <n v="504"/>
    <n v="238"/>
    <n v="366"/>
    <n v="147"/>
    <x v="109"/>
    <n v="94"/>
    <x v="4"/>
    <x v="3"/>
    <x v="3"/>
  </r>
  <r>
    <n v="114"/>
    <n v="63"/>
    <x v="1"/>
    <x v="0"/>
    <n v="0"/>
    <n v="2"/>
    <s v="Suite"/>
    <n v="2950"/>
    <n v="522"/>
    <n v="502"/>
    <n v="0"/>
    <n v="366"/>
    <n v="604"/>
    <x v="110"/>
    <n v="88"/>
    <x v="3"/>
    <x v="3"/>
    <x v="1"/>
  </r>
  <r>
    <n v="115"/>
    <n v="41"/>
    <x v="1"/>
    <x v="3"/>
    <n v="0"/>
    <n v="6"/>
    <s v="Porthole"/>
    <n v="1150"/>
    <n v="0"/>
    <n v="756"/>
    <n v="0"/>
    <n v="183"/>
    <n v="392"/>
    <x v="111"/>
    <n v="81"/>
    <x v="1"/>
    <x v="3"/>
    <x v="3"/>
  </r>
  <r>
    <n v="116"/>
    <n v="39"/>
    <x v="1"/>
    <x v="3"/>
    <n v="0"/>
    <n v="8"/>
    <s v="Porthole"/>
    <n v="1150"/>
    <n v="0"/>
    <n v="1008"/>
    <n v="0"/>
    <n v="366"/>
    <n v="196"/>
    <x v="112"/>
    <n v="97"/>
    <x v="1"/>
    <x v="3"/>
    <x v="0"/>
  </r>
  <r>
    <n v="117"/>
    <n v="56"/>
    <x v="1"/>
    <x v="2"/>
    <n v="2"/>
    <n v="4"/>
    <s v="Internal"/>
    <n v="500"/>
    <n v="444"/>
    <n v="336"/>
    <n v="238"/>
    <n v="732"/>
    <n v="447"/>
    <x v="113"/>
    <n v="53"/>
    <x v="2"/>
    <x v="1"/>
    <x v="0"/>
  </r>
  <r>
    <n v="118"/>
    <n v="68"/>
    <x v="0"/>
    <x v="0"/>
    <n v="0"/>
    <n v="2"/>
    <s v="Suite"/>
    <n v="2950"/>
    <n v="696"/>
    <n v="502"/>
    <n v="604"/>
    <n v="357"/>
    <n v="453"/>
    <x v="114"/>
    <n v="80"/>
    <x v="3"/>
    <x v="3"/>
    <x v="1"/>
  </r>
  <r>
    <n v="119"/>
    <n v="68"/>
    <x v="1"/>
    <x v="2"/>
    <n v="3"/>
    <n v="5"/>
    <s v="Suite"/>
    <n v="2950"/>
    <n v="0"/>
    <n v="1255"/>
    <n v="119"/>
    <n v="0"/>
    <n v="302"/>
    <x v="115"/>
    <n v="80"/>
    <x v="3"/>
    <x v="3"/>
    <x v="1"/>
  </r>
  <r>
    <n v="120"/>
    <n v="45"/>
    <x v="1"/>
    <x v="2"/>
    <n v="4"/>
    <n v="6"/>
    <s v="Porthole"/>
    <n v="1150"/>
    <n v="592"/>
    <n v="756"/>
    <n v="119"/>
    <n v="366"/>
    <n v="392"/>
    <x v="116"/>
    <n v="95"/>
    <x v="1"/>
    <x v="3"/>
    <x v="0"/>
  </r>
  <r>
    <n v="121"/>
    <n v="58"/>
    <x v="1"/>
    <x v="1"/>
    <n v="0"/>
    <n v="1"/>
    <s v="Porthole"/>
    <n v="1150"/>
    <n v="226"/>
    <n v="126"/>
    <n v="0"/>
    <n v="915"/>
    <n v="0"/>
    <x v="117"/>
    <n v="89"/>
    <x v="2"/>
    <x v="3"/>
    <x v="3"/>
  </r>
  <r>
    <n v="122"/>
    <n v="25"/>
    <x v="1"/>
    <x v="0"/>
    <n v="0"/>
    <n v="2"/>
    <s v="Internal"/>
    <n v="500"/>
    <n v="0"/>
    <n v="168"/>
    <n v="357"/>
    <n v="0"/>
    <n v="147"/>
    <x v="118"/>
    <n v="85"/>
    <x v="4"/>
    <x v="3"/>
    <x v="3"/>
  </r>
  <r>
    <n v="123"/>
    <n v="75"/>
    <x v="0"/>
    <x v="3"/>
    <n v="0"/>
    <n v="4"/>
    <s v="Internal"/>
    <n v="500"/>
    <n v="93"/>
    <n v="336"/>
    <n v="755"/>
    <n v="357"/>
    <n v="0"/>
    <x v="119"/>
    <n v="60"/>
    <x v="0"/>
    <x v="2"/>
    <x v="3"/>
  </r>
  <r>
    <n v="124"/>
    <n v="40"/>
    <x v="0"/>
    <x v="2"/>
    <n v="3"/>
    <n v="5"/>
    <s v="Porthole"/>
    <n v="1150"/>
    <n v="148"/>
    <n v="630"/>
    <n v="302"/>
    <n v="0"/>
    <n v="0"/>
    <x v="82"/>
    <n v="66"/>
    <x v="1"/>
    <x v="2"/>
    <x v="3"/>
  </r>
  <r>
    <n v="125"/>
    <n v="62"/>
    <x v="1"/>
    <x v="1"/>
    <n v="0"/>
    <n v="1"/>
    <s v="Luxury"/>
    <n v="1950"/>
    <n v="678"/>
    <n v="176"/>
    <n v="119"/>
    <n v="732"/>
    <n v="604"/>
    <x v="120"/>
    <n v="71"/>
    <x v="3"/>
    <x v="0"/>
    <x v="2"/>
  </r>
  <r>
    <n v="126"/>
    <n v="40"/>
    <x v="2"/>
    <x v="0"/>
    <n v="0"/>
    <n v="2"/>
    <s v="Internal"/>
    <n v="500"/>
    <n v="348"/>
    <n v="168"/>
    <n v="501"/>
    <n v="0"/>
    <n v="0"/>
    <x v="121"/>
    <n v="50"/>
    <x v="1"/>
    <x v="1"/>
    <x v="3"/>
  </r>
  <r>
    <n v="127"/>
    <n v="53"/>
    <x v="0"/>
    <x v="0"/>
    <n v="0"/>
    <n v="2"/>
    <s v="Porthole"/>
    <n v="1150"/>
    <n v="522"/>
    <n v="252"/>
    <n v="302"/>
    <n v="0"/>
    <n v="298"/>
    <x v="122"/>
    <n v="78"/>
    <x v="2"/>
    <x v="0"/>
    <x v="0"/>
  </r>
  <r>
    <n v="128"/>
    <n v="63"/>
    <x v="0"/>
    <x v="2"/>
    <n v="4"/>
    <n v="6"/>
    <s v="Porthole"/>
    <n v="1150"/>
    <n v="592"/>
    <n v="756"/>
    <n v="755"/>
    <n v="238"/>
    <n v="302"/>
    <x v="123"/>
    <n v="76"/>
    <x v="3"/>
    <x v="0"/>
    <x v="2"/>
  </r>
  <r>
    <n v="129"/>
    <n v="38"/>
    <x v="1"/>
    <x v="3"/>
    <n v="0"/>
    <n v="7"/>
    <s v="Porthole"/>
    <n v="1150"/>
    <n v="93"/>
    <n v="882"/>
    <n v="357"/>
    <n v="366"/>
    <n v="196"/>
    <x v="124"/>
    <n v="65"/>
    <x v="1"/>
    <x v="2"/>
    <x v="0"/>
  </r>
  <r>
    <n v="130"/>
    <n v="66"/>
    <x v="1"/>
    <x v="2"/>
    <n v="2"/>
    <n v="4"/>
    <s v="Porthole"/>
    <n v="1150"/>
    <n v="0"/>
    <n v="504"/>
    <n v="119"/>
    <n v="915"/>
    <n v="151"/>
    <x v="80"/>
    <n v="88"/>
    <x v="3"/>
    <x v="3"/>
    <x v="0"/>
  </r>
  <r>
    <n v="131"/>
    <n v="63"/>
    <x v="0"/>
    <x v="0"/>
    <n v="0"/>
    <n v="2"/>
    <s v="Luxury"/>
    <n v="1950"/>
    <n v="696"/>
    <n v="352"/>
    <n v="302"/>
    <n v="357"/>
    <n v="453"/>
    <x v="125"/>
    <n v="58"/>
    <x v="3"/>
    <x v="1"/>
    <x v="2"/>
  </r>
  <r>
    <n v="132"/>
    <n v="89"/>
    <x v="0"/>
    <x v="0"/>
    <n v="0"/>
    <n v="2"/>
    <s v="Luxury"/>
    <n v="1950"/>
    <n v="174"/>
    <n v="352"/>
    <n v="604"/>
    <n v="0"/>
    <n v="149"/>
    <x v="126"/>
    <n v="52"/>
    <x v="0"/>
    <x v="1"/>
    <x v="0"/>
  </r>
  <r>
    <n v="133"/>
    <n v="65"/>
    <x v="1"/>
    <x v="3"/>
    <n v="0"/>
    <n v="3"/>
    <s v="Internal"/>
    <n v="500"/>
    <n v="186"/>
    <n v="252"/>
    <n v="0"/>
    <n v="0"/>
    <n v="0"/>
    <x v="127"/>
    <n v="59"/>
    <x v="3"/>
    <x v="1"/>
    <x v="3"/>
  </r>
  <r>
    <n v="134"/>
    <n v="59"/>
    <x v="1"/>
    <x v="0"/>
    <n v="0"/>
    <n v="2"/>
    <s v="Porthole"/>
    <n v="1150"/>
    <n v="174"/>
    <n v="252"/>
    <n v="119"/>
    <n v="366"/>
    <n v="0"/>
    <x v="128"/>
    <n v="58"/>
    <x v="2"/>
    <x v="1"/>
    <x v="3"/>
  </r>
  <r>
    <n v="135"/>
    <n v="84"/>
    <x v="1"/>
    <x v="2"/>
    <n v="1"/>
    <n v="3"/>
    <s v="Porthole"/>
    <n v="1150"/>
    <n v="148"/>
    <n v="378"/>
    <n v="357"/>
    <n v="366"/>
    <n v="0"/>
    <x v="129"/>
    <n v="91"/>
    <x v="0"/>
    <x v="3"/>
    <x v="3"/>
  </r>
  <r>
    <n v="136"/>
    <n v="25"/>
    <x v="0"/>
    <x v="1"/>
    <n v="0"/>
    <n v="1"/>
    <s v="Internal"/>
    <n v="500"/>
    <n v="1130"/>
    <n v="84"/>
    <n v="755"/>
    <n v="0"/>
    <n v="0"/>
    <x v="130"/>
    <n v="67"/>
    <x v="4"/>
    <x v="2"/>
    <x v="3"/>
  </r>
  <r>
    <n v="137"/>
    <n v="58"/>
    <x v="0"/>
    <x v="0"/>
    <n v="0"/>
    <n v="2"/>
    <s v="Porthole"/>
    <n v="1150"/>
    <n v="348"/>
    <n v="252"/>
    <n v="151"/>
    <n v="119"/>
    <n v="298"/>
    <x v="131"/>
    <n v="89"/>
    <x v="2"/>
    <x v="3"/>
    <x v="3"/>
  </r>
  <r>
    <n v="138"/>
    <n v="62"/>
    <x v="1"/>
    <x v="2"/>
    <n v="2"/>
    <n v="4"/>
    <s v="Porthole"/>
    <n v="1150"/>
    <n v="0"/>
    <n v="504"/>
    <n v="119"/>
    <n v="549"/>
    <n v="453"/>
    <x v="132"/>
    <n v="68"/>
    <x v="3"/>
    <x v="2"/>
    <x v="0"/>
  </r>
  <r>
    <n v="139"/>
    <n v="51"/>
    <x v="1"/>
    <x v="2"/>
    <n v="1"/>
    <n v="3"/>
    <s v="Porthole"/>
    <n v="1150"/>
    <n v="444"/>
    <n v="378"/>
    <n v="119"/>
    <n v="183"/>
    <n v="447"/>
    <x v="133"/>
    <n v="79"/>
    <x v="2"/>
    <x v="0"/>
    <x v="0"/>
  </r>
  <r>
    <n v="140"/>
    <n v="65"/>
    <x v="0"/>
    <x v="2"/>
    <n v="1"/>
    <n v="3"/>
    <s v="Porthole"/>
    <n v="1150"/>
    <n v="0"/>
    <n v="378"/>
    <n v="755"/>
    <n v="0"/>
    <n v="0"/>
    <x v="134"/>
    <n v="41"/>
    <x v="3"/>
    <x v="4"/>
    <x v="3"/>
  </r>
  <r>
    <n v="141"/>
    <n v="63"/>
    <x v="2"/>
    <x v="2"/>
    <n v="1"/>
    <n v="3"/>
    <s v="Suite"/>
    <n v="2950"/>
    <n v="444"/>
    <n v="753"/>
    <n v="334"/>
    <n v="501"/>
    <n v="302"/>
    <x v="135"/>
    <n v="44"/>
    <x v="3"/>
    <x v="4"/>
    <x v="1"/>
  </r>
  <r>
    <n v="142"/>
    <n v="60"/>
    <x v="1"/>
    <x v="3"/>
    <n v="0"/>
    <n v="3"/>
    <s v="Internal"/>
    <n v="500"/>
    <n v="93"/>
    <n v="252"/>
    <n v="357"/>
    <n v="549"/>
    <n v="302"/>
    <x v="136"/>
    <n v="74"/>
    <x v="3"/>
    <x v="0"/>
    <x v="3"/>
  </r>
  <r>
    <n v="143"/>
    <n v="52"/>
    <x v="1"/>
    <x v="3"/>
    <n v="0"/>
    <n v="3"/>
    <s v="Porthole"/>
    <n v="1150"/>
    <n v="93"/>
    <n v="378"/>
    <n v="238"/>
    <n v="915"/>
    <n v="0"/>
    <x v="137"/>
    <n v="44"/>
    <x v="2"/>
    <x v="4"/>
    <x v="0"/>
  </r>
  <r>
    <n v="144"/>
    <n v="44"/>
    <x v="0"/>
    <x v="2"/>
    <n v="4"/>
    <n v="6"/>
    <s v="Suite"/>
    <n v="2950"/>
    <n v="444"/>
    <n v="1506"/>
    <n v="302"/>
    <n v="238"/>
    <n v="392"/>
    <x v="138"/>
    <n v="91"/>
    <x v="1"/>
    <x v="3"/>
    <x v="1"/>
  </r>
  <r>
    <n v="145"/>
    <n v="42"/>
    <x v="1"/>
    <x v="2"/>
    <n v="4"/>
    <n v="6"/>
    <s v="Suite"/>
    <n v="2950"/>
    <n v="148"/>
    <n v="1506"/>
    <n v="357"/>
    <n v="732"/>
    <n v="392"/>
    <x v="139"/>
    <n v="48"/>
    <x v="1"/>
    <x v="4"/>
    <x v="1"/>
  </r>
  <r>
    <n v="146"/>
    <n v="26"/>
    <x v="0"/>
    <x v="1"/>
    <n v="0"/>
    <n v="1"/>
    <s v="Internal"/>
    <n v="500"/>
    <n v="452"/>
    <n v="84"/>
    <n v="0"/>
    <n v="0"/>
    <n v="0"/>
    <x v="140"/>
    <n v="60"/>
    <x v="4"/>
    <x v="2"/>
    <x v="3"/>
  </r>
  <r>
    <n v="147"/>
    <n v="77"/>
    <x v="1"/>
    <x v="2"/>
    <n v="1"/>
    <n v="3"/>
    <s v="Porthole"/>
    <n v="1150"/>
    <n v="592"/>
    <n v="378"/>
    <n v="0"/>
    <n v="0"/>
    <n v="0"/>
    <x v="141"/>
    <n v="91"/>
    <x v="0"/>
    <x v="3"/>
    <x v="3"/>
  </r>
  <r>
    <n v="148"/>
    <n v="61"/>
    <x v="1"/>
    <x v="0"/>
    <n v="0"/>
    <n v="2"/>
    <s v="Porthole"/>
    <n v="1150"/>
    <n v="522"/>
    <n v="252"/>
    <n v="0"/>
    <n v="366"/>
    <n v="0"/>
    <x v="142"/>
    <n v="51"/>
    <x v="3"/>
    <x v="1"/>
    <x v="3"/>
  </r>
  <r>
    <n v="149"/>
    <n v="31"/>
    <x v="0"/>
    <x v="3"/>
    <n v="0"/>
    <n v="6"/>
    <s v="Porthole"/>
    <n v="1150"/>
    <n v="93"/>
    <n v="756"/>
    <n v="0"/>
    <n v="238"/>
    <n v="196"/>
    <x v="143"/>
    <n v="85"/>
    <x v="1"/>
    <x v="3"/>
    <x v="3"/>
  </r>
  <r>
    <n v="150"/>
    <n v="94"/>
    <x v="0"/>
    <x v="0"/>
    <n v="0"/>
    <n v="2"/>
    <s v="Luxury"/>
    <n v="1950"/>
    <n v="348"/>
    <n v="352"/>
    <n v="0"/>
    <n v="119"/>
    <n v="298"/>
    <x v="144"/>
    <n v="89"/>
    <x v="0"/>
    <x v="3"/>
    <x v="0"/>
  </r>
  <r>
    <n v="151"/>
    <n v="68"/>
    <x v="1"/>
    <x v="1"/>
    <n v="0"/>
    <n v="1"/>
    <s v="Luxury"/>
    <n v="1950"/>
    <n v="904"/>
    <n v="176"/>
    <n v="119"/>
    <n v="732"/>
    <n v="453"/>
    <x v="145"/>
    <n v="49"/>
    <x v="3"/>
    <x v="4"/>
    <x v="2"/>
  </r>
  <r>
    <n v="152"/>
    <n v="28"/>
    <x v="2"/>
    <x v="3"/>
    <n v="0"/>
    <n v="7"/>
    <s v="Luxury"/>
    <n v="1950"/>
    <n v="93"/>
    <n v="1232"/>
    <n v="167"/>
    <n v="501"/>
    <n v="294"/>
    <x v="146"/>
    <n v="81"/>
    <x v="4"/>
    <x v="3"/>
    <x v="2"/>
  </r>
  <r>
    <n v="153"/>
    <n v="54"/>
    <x v="1"/>
    <x v="0"/>
    <n v="0"/>
    <n v="2"/>
    <s v="Porthole"/>
    <n v="1150"/>
    <n v="0"/>
    <n v="252"/>
    <n v="238"/>
    <n v="183"/>
    <n v="0"/>
    <x v="71"/>
    <n v="43"/>
    <x v="2"/>
    <x v="4"/>
    <x v="3"/>
  </r>
  <r>
    <n v="154"/>
    <n v="55"/>
    <x v="1"/>
    <x v="3"/>
    <n v="0"/>
    <n v="6"/>
    <s v="Porthole"/>
    <n v="1150"/>
    <n v="0"/>
    <n v="756"/>
    <n v="0"/>
    <n v="183"/>
    <n v="149"/>
    <x v="147"/>
    <n v="72"/>
    <x v="2"/>
    <x v="0"/>
    <x v="3"/>
  </r>
  <r>
    <n v="155"/>
    <n v="39"/>
    <x v="0"/>
    <x v="1"/>
    <n v="0"/>
    <n v="1"/>
    <s v="Internal"/>
    <n v="500"/>
    <n v="452"/>
    <n v="84"/>
    <n v="453"/>
    <n v="0"/>
    <n v="0"/>
    <x v="148"/>
    <n v="62"/>
    <x v="1"/>
    <x v="2"/>
    <x v="3"/>
  </r>
  <r>
    <n v="156"/>
    <n v="43"/>
    <x v="1"/>
    <x v="2"/>
    <n v="2"/>
    <n v="4"/>
    <s v="Porthole"/>
    <n v="1150"/>
    <n v="592"/>
    <n v="504"/>
    <n v="119"/>
    <n v="915"/>
    <n v="392"/>
    <x v="149"/>
    <n v="59"/>
    <x v="1"/>
    <x v="1"/>
    <x v="2"/>
  </r>
  <r>
    <n v="157"/>
    <n v="64"/>
    <x v="1"/>
    <x v="2"/>
    <n v="4"/>
    <n v="6"/>
    <s v="Porthole"/>
    <n v="1150"/>
    <n v="0"/>
    <n v="756"/>
    <n v="238"/>
    <n v="183"/>
    <n v="0"/>
    <x v="150"/>
    <n v="79"/>
    <x v="3"/>
    <x v="0"/>
    <x v="3"/>
  </r>
  <r>
    <n v="158"/>
    <n v="65"/>
    <x v="0"/>
    <x v="2"/>
    <n v="2"/>
    <n v="4"/>
    <s v="Porthole"/>
    <n v="1150"/>
    <n v="296"/>
    <n v="504"/>
    <n v="151"/>
    <n v="238"/>
    <n v="151"/>
    <x v="151"/>
    <n v="83"/>
    <x v="3"/>
    <x v="3"/>
    <x v="3"/>
  </r>
  <r>
    <n v="159"/>
    <n v="29"/>
    <x v="0"/>
    <x v="3"/>
    <n v="0"/>
    <n v="8"/>
    <s v="Internal"/>
    <n v="500"/>
    <n v="93"/>
    <n v="672"/>
    <n v="755"/>
    <n v="0"/>
    <n v="294"/>
    <x v="152"/>
    <n v="79"/>
    <x v="4"/>
    <x v="0"/>
    <x v="3"/>
  </r>
  <r>
    <n v="160"/>
    <n v="27"/>
    <x v="0"/>
    <x v="3"/>
    <n v="0"/>
    <n v="3"/>
    <s v="Internal"/>
    <n v="500"/>
    <n v="0"/>
    <n v="252"/>
    <n v="151"/>
    <n v="0"/>
    <n v="0"/>
    <x v="153"/>
    <n v="90"/>
    <x v="4"/>
    <x v="3"/>
    <x v="3"/>
  </r>
  <r>
    <n v="161"/>
    <n v="46"/>
    <x v="1"/>
    <x v="1"/>
    <n v="0"/>
    <n v="1"/>
    <s v="Porthole"/>
    <n v="1150"/>
    <n v="1130"/>
    <n v="126"/>
    <n v="357"/>
    <n v="732"/>
    <n v="0"/>
    <x v="154"/>
    <n v="55"/>
    <x v="2"/>
    <x v="1"/>
    <x v="0"/>
  </r>
  <r>
    <n v="162"/>
    <n v="45"/>
    <x v="0"/>
    <x v="3"/>
    <n v="0"/>
    <n v="7"/>
    <s v="Porthole"/>
    <n v="1150"/>
    <n v="0"/>
    <n v="882"/>
    <n v="302"/>
    <n v="357"/>
    <n v="196"/>
    <x v="155"/>
    <n v="93"/>
    <x v="1"/>
    <x v="3"/>
    <x v="0"/>
  </r>
  <r>
    <n v="163"/>
    <n v="57"/>
    <x v="1"/>
    <x v="2"/>
    <n v="3"/>
    <n v="5"/>
    <s v="Luxury"/>
    <n v="1950"/>
    <n v="148"/>
    <n v="880"/>
    <n v="238"/>
    <n v="732"/>
    <n v="447"/>
    <x v="156"/>
    <n v="53"/>
    <x v="2"/>
    <x v="1"/>
    <x v="2"/>
  </r>
  <r>
    <n v="164"/>
    <n v="37"/>
    <x v="1"/>
    <x v="1"/>
    <n v="0"/>
    <n v="1"/>
    <s v="Porthole"/>
    <n v="1150"/>
    <n v="0"/>
    <n v="126"/>
    <n v="357"/>
    <n v="915"/>
    <n v="196"/>
    <x v="157"/>
    <n v="59"/>
    <x v="1"/>
    <x v="1"/>
    <x v="0"/>
  </r>
  <r>
    <n v="165"/>
    <n v="45"/>
    <x v="1"/>
    <x v="1"/>
    <n v="0"/>
    <n v="1"/>
    <s v="Porthole"/>
    <n v="1150"/>
    <n v="226"/>
    <n v="126"/>
    <n v="119"/>
    <n v="0"/>
    <n v="196"/>
    <x v="158"/>
    <n v="73"/>
    <x v="1"/>
    <x v="0"/>
    <x v="3"/>
  </r>
  <r>
    <n v="166"/>
    <n v="44"/>
    <x v="0"/>
    <x v="0"/>
    <n v="0"/>
    <n v="2"/>
    <s v="Porthole"/>
    <n v="1150"/>
    <n v="348"/>
    <n v="252"/>
    <n v="755"/>
    <n v="357"/>
    <n v="392"/>
    <x v="11"/>
    <n v="74"/>
    <x v="1"/>
    <x v="0"/>
    <x v="0"/>
  </r>
  <r>
    <n v="167"/>
    <n v="79"/>
    <x v="1"/>
    <x v="1"/>
    <n v="0"/>
    <n v="1"/>
    <s v="Suite"/>
    <n v="2950"/>
    <n v="904"/>
    <n v="251"/>
    <n v="119"/>
    <n v="0"/>
    <n v="447"/>
    <x v="159"/>
    <n v="77"/>
    <x v="0"/>
    <x v="0"/>
    <x v="1"/>
  </r>
  <r>
    <n v="168"/>
    <n v="31"/>
    <x v="1"/>
    <x v="2"/>
    <n v="1"/>
    <n v="3"/>
    <s v="Suite"/>
    <n v="2950"/>
    <n v="592"/>
    <n v="753"/>
    <n v="357"/>
    <n v="366"/>
    <n v="392"/>
    <x v="160"/>
    <n v="51"/>
    <x v="1"/>
    <x v="1"/>
    <x v="1"/>
  </r>
  <r>
    <n v="169"/>
    <n v="69"/>
    <x v="1"/>
    <x v="2"/>
    <n v="2"/>
    <n v="4"/>
    <s v="Porthole"/>
    <n v="1150"/>
    <n v="0"/>
    <n v="504"/>
    <n v="238"/>
    <n v="732"/>
    <n v="302"/>
    <x v="161"/>
    <n v="39"/>
    <x v="3"/>
    <x v="4"/>
    <x v="0"/>
  </r>
  <r>
    <n v="170"/>
    <n v="67"/>
    <x v="0"/>
    <x v="0"/>
    <n v="0"/>
    <n v="2"/>
    <s v="Luxury"/>
    <n v="1950"/>
    <n v="174"/>
    <n v="352"/>
    <n v="755"/>
    <n v="357"/>
    <n v="453"/>
    <x v="162"/>
    <n v="78"/>
    <x v="3"/>
    <x v="0"/>
    <x v="2"/>
  </r>
  <r>
    <n v="171"/>
    <n v="67"/>
    <x v="0"/>
    <x v="0"/>
    <n v="0"/>
    <n v="2"/>
    <s v="Luxury"/>
    <n v="1950"/>
    <n v="696"/>
    <n v="352"/>
    <n v="302"/>
    <n v="357"/>
    <n v="604"/>
    <x v="163"/>
    <n v="64"/>
    <x v="3"/>
    <x v="2"/>
    <x v="2"/>
  </r>
  <r>
    <n v="172"/>
    <n v="59"/>
    <x v="1"/>
    <x v="3"/>
    <n v="0"/>
    <n v="5"/>
    <s v="Porthole"/>
    <n v="1150"/>
    <n v="93"/>
    <n v="630"/>
    <n v="357"/>
    <n v="0"/>
    <n v="0"/>
    <x v="82"/>
    <n v="63"/>
    <x v="2"/>
    <x v="2"/>
    <x v="3"/>
  </r>
  <r>
    <n v="173"/>
    <n v="94"/>
    <x v="0"/>
    <x v="2"/>
    <n v="3"/>
    <n v="5"/>
    <s v="Porthole"/>
    <n v="1150"/>
    <n v="148"/>
    <n v="630"/>
    <n v="302"/>
    <n v="238"/>
    <n v="0"/>
    <x v="164"/>
    <n v="96"/>
    <x v="0"/>
    <x v="3"/>
    <x v="3"/>
  </r>
  <r>
    <n v="174"/>
    <n v="42"/>
    <x v="0"/>
    <x v="2"/>
    <n v="1"/>
    <n v="3"/>
    <s v="Porthole"/>
    <n v="1150"/>
    <n v="0"/>
    <n v="378"/>
    <n v="302"/>
    <n v="0"/>
    <n v="392"/>
    <x v="165"/>
    <n v="75"/>
    <x v="1"/>
    <x v="0"/>
    <x v="3"/>
  </r>
  <r>
    <n v="175"/>
    <n v="70"/>
    <x v="1"/>
    <x v="2"/>
    <n v="2"/>
    <n v="4"/>
    <s v="Porthole"/>
    <n v="1150"/>
    <n v="592"/>
    <n v="504"/>
    <n v="119"/>
    <n v="183"/>
    <n v="149"/>
    <x v="113"/>
    <n v="58"/>
    <x v="0"/>
    <x v="1"/>
    <x v="0"/>
  </r>
  <r>
    <n v="176"/>
    <n v="30"/>
    <x v="0"/>
    <x v="2"/>
    <n v="3"/>
    <n v="5"/>
    <s v="Luxury"/>
    <n v="1950"/>
    <n v="296"/>
    <n v="880"/>
    <n v="453"/>
    <n v="0"/>
    <n v="392"/>
    <x v="166"/>
    <n v="80"/>
    <x v="1"/>
    <x v="3"/>
    <x v="2"/>
  </r>
  <r>
    <n v="177"/>
    <n v="56"/>
    <x v="1"/>
    <x v="0"/>
    <n v="0"/>
    <n v="2"/>
    <s v="Porthole"/>
    <n v="1150"/>
    <n v="174"/>
    <n v="252"/>
    <n v="119"/>
    <n v="915"/>
    <n v="149"/>
    <x v="167"/>
    <n v="86"/>
    <x v="2"/>
    <x v="3"/>
    <x v="0"/>
  </r>
  <r>
    <n v="178"/>
    <n v="57"/>
    <x v="1"/>
    <x v="2"/>
    <n v="2"/>
    <n v="4"/>
    <s v="Porthole"/>
    <n v="1150"/>
    <n v="444"/>
    <n v="504"/>
    <n v="0"/>
    <n v="915"/>
    <n v="0"/>
    <x v="168"/>
    <n v="80"/>
    <x v="2"/>
    <x v="3"/>
    <x v="0"/>
  </r>
  <r>
    <n v="179"/>
    <n v="49"/>
    <x v="0"/>
    <x v="0"/>
    <n v="0"/>
    <n v="2"/>
    <s v="Porthole"/>
    <n v="1150"/>
    <n v="522"/>
    <n v="252"/>
    <n v="0"/>
    <n v="119"/>
    <n v="298"/>
    <x v="169"/>
    <n v="55"/>
    <x v="2"/>
    <x v="1"/>
    <x v="3"/>
  </r>
  <r>
    <n v="180"/>
    <n v="57"/>
    <x v="1"/>
    <x v="2"/>
    <n v="3"/>
    <n v="5"/>
    <s v="Porthole"/>
    <n v="1150"/>
    <n v="296"/>
    <n v="630"/>
    <n v="238"/>
    <n v="366"/>
    <n v="0"/>
    <x v="170"/>
    <n v="42"/>
    <x v="2"/>
    <x v="4"/>
    <x v="0"/>
  </r>
  <r>
    <n v="181"/>
    <n v="31"/>
    <x v="1"/>
    <x v="3"/>
    <n v="0"/>
    <n v="5"/>
    <s v="Porthole"/>
    <n v="1150"/>
    <n v="93"/>
    <n v="630"/>
    <n v="357"/>
    <n v="915"/>
    <n v="392"/>
    <x v="171"/>
    <n v="59"/>
    <x v="1"/>
    <x v="1"/>
    <x v="2"/>
  </r>
  <r>
    <n v="182"/>
    <n v="28"/>
    <x v="1"/>
    <x v="1"/>
    <n v="0"/>
    <n v="1"/>
    <s v="Internal"/>
    <n v="500"/>
    <n v="226"/>
    <n v="84"/>
    <n v="357"/>
    <n v="915"/>
    <n v="147"/>
    <x v="172"/>
    <n v="88"/>
    <x v="4"/>
    <x v="3"/>
    <x v="3"/>
  </r>
  <r>
    <n v="183"/>
    <n v="44"/>
    <x v="0"/>
    <x v="0"/>
    <n v="0"/>
    <n v="2"/>
    <s v="Internal"/>
    <n v="500"/>
    <n v="522"/>
    <n v="168"/>
    <n v="302"/>
    <n v="357"/>
    <n v="0"/>
    <x v="173"/>
    <n v="57"/>
    <x v="1"/>
    <x v="1"/>
    <x v="3"/>
  </r>
  <r>
    <n v="184"/>
    <n v="24"/>
    <x v="2"/>
    <x v="0"/>
    <n v="0"/>
    <n v="2"/>
    <s v="Internal"/>
    <n v="500"/>
    <n v="174"/>
    <n v="168"/>
    <n v="501"/>
    <n v="334"/>
    <n v="0"/>
    <x v="174"/>
    <n v="97"/>
    <x v="4"/>
    <x v="3"/>
    <x v="3"/>
  </r>
  <r>
    <n v="185"/>
    <n v="34"/>
    <x v="1"/>
    <x v="2"/>
    <n v="1"/>
    <n v="3"/>
    <s v="Luxury"/>
    <n v="1950"/>
    <n v="592"/>
    <n v="528"/>
    <n v="238"/>
    <n v="366"/>
    <n v="392"/>
    <x v="175"/>
    <n v="91"/>
    <x v="1"/>
    <x v="3"/>
    <x v="2"/>
  </r>
  <r>
    <n v="186"/>
    <n v="42"/>
    <x v="0"/>
    <x v="0"/>
    <n v="0"/>
    <n v="2"/>
    <s v="Internal"/>
    <n v="500"/>
    <n v="174"/>
    <n v="168"/>
    <n v="604"/>
    <n v="238"/>
    <n v="392"/>
    <x v="176"/>
    <n v="49"/>
    <x v="1"/>
    <x v="4"/>
    <x v="3"/>
  </r>
  <r>
    <n v="187"/>
    <n v="21"/>
    <x v="1"/>
    <x v="2"/>
    <n v="2"/>
    <n v="4"/>
    <s v="Luxury"/>
    <n v="1950"/>
    <n v="0"/>
    <n v="704"/>
    <n v="357"/>
    <n v="366"/>
    <n v="294"/>
    <x v="177"/>
    <n v="90"/>
    <x v="4"/>
    <x v="3"/>
    <x v="2"/>
  </r>
  <r>
    <n v="188"/>
    <n v="53"/>
    <x v="0"/>
    <x v="2"/>
    <n v="1"/>
    <n v="3"/>
    <s v="Internal"/>
    <n v="500"/>
    <n v="444"/>
    <n v="252"/>
    <n v="755"/>
    <n v="238"/>
    <n v="0"/>
    <x v="178"/>
    <n v="53"/>
    <x v="2"/>
    <x v="1"/>
    <x v="3"/>
  </r>
  <r>
    <n v="189"/>
    <n v="52"/>
    <x v="1"/>
    <x v="2"/>
    <n v="4"/>
    <n v="6"/>
    <s v="Porthole"/>
    <n v="1150"/>
    <n v="0"/>
    <n v="756"/>
    <n v="357"/>
    <n v="549"/>
    <n v="149"/>
    <x v="179"/>
    <n v="58"/>
    <x v="2"/>
    <x v="1"/>
    <x v="0"/>
  </r>
  <r>
    <n v="190"/>
    <n v="78"/>
    <x v="1"/>
    <x v="1"/>
    <n v="0"/>
    <n v="1"/>
    <s v="Suite"/>
    <n v="2950"/>
    <n v="0"/>
    <n v="251"/>
    <n v="119"/>
    <n v="549"/>
    <n v="447"/>
    <x v="180"/>
    <n v="58"/>
    <x v="0"/>
    <x v="1"/>
    <x v="2"/>
  </r>
  <r>
    <n v="191"/>
    <n v="51"/>
    <x v="1"/>
    <x v="1"/>
    <n v="0"/>
    <n v="1"/>
    <s v="Porthole"/>
    <n v="1150"/>
    <n v="226"/>
    <n v="126"/>
    <n v="357"/>
    <n v="549"/>
    <n v="149"/>
    <x v="181"/>
    <n v="61"/>
    <x v="2"/>
    <x v="2"/>
    <x v="0"/>
  </r>
  <r>
    <n v="192"/>
    <n v="37"/>
    <x v="1"/>
    <x v="2"/>
    <n v="1"/>
    <n v="3"/>
    <s v="Suite"/>
    <n v="2950"/>
    <n v="148"/>
    <n v="753"/>
    <n v="357"/>
    <n v="915"/>
    <n v="196"/>
    <x v="182"/>
    <n v="83"/>
    <x v="1"/>
    <x v="3"/>
    <x v="1"/>
  </r>
  <r>
    <n v="193"/>
    <n v="44"/>
    <x v="0"/>
    <x v="1"/>
    <n v="0"/>
    <n v="1"/>
    <s v="Internal"/>
    <n v="500"/>
    <n v="904"/>
    <n v="84"/>
    <n v="604"/>
    <n v="238"/>
    <n v="0"/>
    <x v="183"/>
    <n v="71"/>
    <x v="1"/>
    <x v="0"/>
    <x v="3"/>
  </r>
  <r>
    <n v="194"/>
    <n v="51"/>
    <x v="1"/>
    <x v="3"/>
    <n v="0"/>
    <n v="6"/>
    <s v="Porthole"/>
    <n v="1150"/>
    <n v="186"/>
    <n v="756"/>
    <n v="119"/>
    <n v="732"/>
    <n v="0"/>
    <x v="91"/>
    <n v="59"/>
    <x v="2"/>
    <x v="1"/>
    <x v="0"/>
  </r>
  <r>
    <n v="195"/>
    <n v="35"/>
    <x v="1"/>
    <x v="0"/>
    <n v="0"/>
    <n v="2"/>
    <s v="Porthole"/>
    <n v="1150"/>
    <n v="174"/>
    <n v="252"/>
    <n v="357"/>
    <n v="549"/>
    <n v="196"/>
    <x v="184"/>
    <n v="86"/>
    <x v="1"/>
    <x v="3"/>
    <x v="0"/>
  </r>
  <r>
    <n v="196"/>
    <n v="48"/>
    <x v="1"/>
    <x v="2"/>
    <n v="3"/>
    <n v="5"/>
    <s v="Porthole"/>
    <n v="1150"/>
    <n v="148"/>
    <n v="630"/>
    <n v="119"/>
    <n v="183"/>
    <n v="298"/>
    <x v="185"/>
    <n v="64"/>
    <x v="2"/>
    <x v="2"/>
    <x v="0"/>
  </r>
  <r>
    <n v="197"/>
    <n v="32"/>
    <x v="1"/>
    <x v="3"/>
    <n v="0"/>
    <n v="3"/>
    <s v="Porthole"/>
    <n v="1150"/>
    <n v="186"/>
    <n v="378"/>
    <n v="119"/>
    <n v="366"/>
    <n v="392"/>
    <x v="186"/>
    <n v="75"/>
    <x v="1"/>
    <x v="0"/>
    <x v="0"/>
  </r>
  <r>
    <n v="198"/>
    <n v="47"/>
    <x v="0"/>
    <x v="2"/>
    <n v="3"/>
    <n v="5"/>
    <s v="Luxury"/>
    <n v="1950"/>
    <n v="592"/>
    <n v="880"/>
    <n v="604"/>
    <n v="357"/>
    <n v="0"/>
    <x v="187"/>
    <n v="66"/>
    <x v="2"/>
    <x v="2"/>
    <x v="2"/>
  </r>
  <r>
    <n v="199"/>
    <n v="59"/>
    <x v="0"/>
    <x v="2"/>
    <n v="3"/>
    <n v="5"/>
    <s v="Luxury"/>
    <n v="1950"/>
    <n v="444"/>
    <n v="880"/>
    <n v="755"/>
    <n v="238"/>
    <n v="0"/>
    <x v="188"/>
    <n v="43"/>
    <x v="2"/>
    <x v="4"/>
    <x v="2"/>
  </r>
  <r>
    <n v="200"/>
    <n v="64"/>
    <x v="2"/>
    <x v="3"/>
    <n v="0"/>
    <n v="3"/>
    <s v="Internal"/>
    <n v="500"/>
    <n v="186"/>
    <n v="252"/>
    <n v="0"/>
    <n v="167"/>
    <n v="302"/>
    <x v="189"/>
    <n v="68"/>
    <x v="3"/>
    <x v="2"/>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7"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G10" firstHeaderRow="1" firstDataRow="2" firstDataCol="1"/>
  <pivotFields count="18">
    <pivotField numFmtId="3" showAll="0"/>
    <pivotField numFmtId="3" showAll="0"/>
    <pivotField showAll="0"/>
    <pivotField showAll="0"/>
    <pivotField numFmtId="3" showAll="0"/>
    <pivotField numFmtId="3" showAll="0"/>
    <pivotField showAll="0"/>
    <pivotField numFmtId="3" showAll="0"/>
    <pivotField numFmtId="3" showAll="0"/>
    <pivotField numFmtId="3" showAll="0"/>
    <pivotField numFmtId="3" showAll="0"/>
    <pivotField numFmtId="3" showAll="0"/>
    <pivotField numFmtId="3" showAll="0"/>
    <pivotField dataField="1" numFmtId="3" showAll="0">
      <items count="191">
        <item x="153"/>
        <item x="127"/>
        <item x="140"/>
        <item x="118"/>
        <item x="87"/>
        <item x="66"/>
        <item x="189"/>
        <item x="85"/>
        <item x="148"/>
        <item x="121"/>
        <item x="41"/>
        <item x="49"/>
        <item x="54"/>
        <item x="174"/>
        <item x="109"/>
        <item x="14"/>
        <item x="108"/>
        <item x="158"/>
        <item x="71"/>
        <item x="88"/>
        <item x="67"/>
        <item x="173"/>
        <item x="72"/>
        <item x="17"/>
        <item x="53"/>
        <item x="8"/>
        <item x="119"/>
        <item x="136"/>
        <item x="48"/>
        <item x="128"/>
        <item x="176"/>
        <item x="55"/>
        <item x="141"/>
        <item x="105"/>
        <item x="60"/>
        <item x="10"/>
        <item x="45"/>
        <item x="178"/>
        <item x="27"/>
        <item x="36"/>
        <item x="16"/>
        <item x="40"/>
        <item x="165"/>
        <item x="172"/>
        <item x="82"/>
        <item x="147"/>
        <item x="81"/>
        <item x="102"/>
        <item x="32"/>
        <item x="19"/>
        <item x="38"/>
        <item x="134"/>
        <item x="142"/>
        <item x="6"/>
        <item x="152"/>
        <item x="131"/>
        <item x="150"/>
        <item x="183"/>
        <item x="169"/>
        <item x="78"/>
        <item x="21"/>
        <item x="44"/>
        <item x="33"/>
        <item x="129"/>
        <item x="117"/>
        <item x="143"/>
        <item x="164"/>
        <item x="130"/>
        <item x="111"/>
        <item x="151"/>
        <item x="15"/>
        <item x="42"/>
        <item x="13"/>
        <item x="56"/>
        <item x="122"/>
        <item x="185"/>
        <item x="18"/>
        <item x="106"/>
        <item x="43"/>
        <item x="39"/>
        <item x="181"/>
        <item x="100"/>
        <item x="28"/>
        <item x="186"/>
        <item x="4"/>
        <item x="12"/>
        <item x="29"/>
        <item x="35"/>
        <item x="99"/>
        <item x="184"/>
        <item x="170"/>
        <item x="113"/>
        <item x="107"/>
        <item x="112"/>
        <item x="133"/>
        <item x="25"/>
        <item x="84"/>
        <item x="157"/>
        <item x="22"/>
        <item x="167"/>
        <item x="69"/>
        <item x="137"/>
        <item x="132"/>
        <item x="57"/>
        <item x="80"/>
        <item x="0"/>
        <item x="155"/>
        <item x="68"/>
        <item x="161"/>
        <item x="91"/>
        <item x="179"/>
        <item x="83"/>
        <item x="168"/>
        <item x="2"/>
        <item x="124"/>
        <item x="144"/>
        <item x="26"/>
        <item x="58"/>
        <item x="7"/>
        <item x="126"/>
        <item x="70"/>
        <item x="11"/>
        <item x="30"/>
        <item x="3"/>
        <item x="9"/>
        <item x="65"/>
        <item x="116"/>
        <item x="59"/>
        <item x="154"/>
        <item x="5"/>
        <item x="171"/>
        <item x="86"/>
        <item x="94"/>
        <item x="50"/>
        <item x="98"/>
        <item x="177"/>
        <item x="149"/>
        <item x="90"/>
        <item x="62"/>
        <item x="123"/>
        <item x="75"/>
        <item x="73"/>
        <item x="37"/>
        <item x="52"/>
        <item x="93"/>
        <item x="166"/>
        <item x="61"/>
        <item x="79"/>
        <item x="47"/>
        <item x="162"/>
        <item x="175"/>
        <item x="46"/>
        <item x="77"/>
        <item x="125"/>
        <item x="104"/>
        <item x="64"/>
        <item x="89"/>
        <item x="146"/>
        <item x="120"/>
        <item x="163"/>
        <item x="188"/>
        <item x="103"/>
        <item x="24"/>
        <item x="180"/>
        <item x="145"/>
        <item x="187"/>
        <item x="156"/>
        <item x="92"/>
        <item x="31"/>
        <item x="74"/>
        <item x="115"/>
        <item x="76"/>
        <item x="159"/>
        <item x="63"/>
        <item x="97"/>
        <item x="20"/>
        <item x="110"/>
        <item x="23"/>
        <item x="101"/>
        <item x="95"/>
        <item x="135"/>
        <item x="182"/>
        <item x="160"/>
        <item x="114"/>
        <item x="34"/>
        <item x="1"/>
        <item x="96"/>
        <item x="138"/>
        <item x="139"/>
        <item x="51"/>
        <item t="default"/>
      </items>
    </pivotField>
    <pivotField numFmtId="3" showAll="0"/>
    <pivotField axis="axisRow" showAll="0">
      <items count="6">
        <item x="1"/>
        <item x="3"/>
        <item x="2"/>
        <item x="0"/>
        <item x="4"/>
        <item t="default"/>
      </items>
    </pivotField>
    <pivotField axis="axisCol" showAll="0">
      <items count="6">
        <item x="2"/>
        <item x="3"/>
        <item x="0"/>
        <item x="4"/>
        <item x="1"/>
        <item t="default"/>
      </items>
    </pivotField>
    <pivotField showAll="0"/>
  </pivotFields>
  <rowFields count="1">
    <field x="15"/>
  </rowFields>
  <rowItems count="6">
    <i>
      <x/>
    </i>
    <i>
      <x v="1"/>
    </i>
    <i>
      <x v="2"/>
    </i>
    <i>
      <x v="3"/>
    </i>
    <i>
      <x v="4"/>
    </i>
    <i t="grand">
      <x/>
    </i>
  </rowItems>
  <colFields count="1">
    <field x="16"/>
  </colFields>
  <colItems count="6">
    <i>
      <x/>
    </i>
    <i>
      <x v="1"/>
    </i>
    <i>
      <x v="2"/>
    </i>
    <i>
      <x v="3"/>
    </i>
    <i>
      <x v="4"/>
    </i>
    <i t="grand">
      <x/>
    </i>
  </colItems>
  <dataFields count="1">
    <dataField name="Sum of Total Spending" fld="13" baseField="15" baseItem="0"/>
  </dataFields>
  <formats count="10">
    <format dxfId="11">
      <pivotArea type="all" dataOnly="0" outline="0" fieldPosition="0"/>
    </format>
    <format dxfId="10">
      <pivotArea outline="0" collapsedLevelsAreSubtotals="1" fieldPosition="0"/>
    </format>
    <format dxfId="9">
      <pivotArea type="origin" dataOnly="0" labelOnly="1" outline="0" fieldPosition="0"/>
    </format>
    <format dxfId="8">
      <pivotArea field="16" type="button" dataOnly="0" labelOnly="1" outline="0" axis="axisCol" fieldPosition="0"/>
    </format>
    <format dxfId="7">
      <pivotArea type="topRight" dataOnly="0" labelOnly="1" outline="0" fieldPosition="0"/>
    </format>
    <format dxfId="6">
      <pivotArea field="15" type="button" dataOnly="0" labelOnly="1" outline="0" axis="axisRow" fieldPosition="0"/>
    </format>
    <format dxfId="5">
      <pivotArea dataOnly="0" labelOnly="1" fieldPosition="0">
        <references count="1">
          <reference field="15" count="0"/>
        </references>
      </pivotArea>
    </format>
    <format dxfId="4">
      <pivotArea dataOnly="0" labelOnly="1" grandRow="1" outline="0" fieldPosition="0"/>
    </format>
    <format dxfId="3">
      <pivotArea dataOnly="0" labelOnly="1" fieldPosition="0">
        <references count="1">
          <reference field="16" count="0"/>
        </references>
      </pivotArea>
    </format>
    <format dxfId="2">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9"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16:F23" firstHeaderRow="1" firstDataRow="2" firstDataCol="1"/>
  <pivotFields count="18">
    <pivotField numFmtId="3" showAll="0"/>
    <pivotField numFmtId="3" showAll="0"/>
    <pivotField showAll="0">
      <items count="4">
        <item x="1"/>
        <item x="0"/>
        <item x="2"/>
        <item t="default"/>
      </items>
    </pivotField>
    <pivotField showAll="0">
      <items count="5">
        <item x="0"/>
        <item x="2"/>
        <item x="3"/>
        <item x="1"/>
        <item t="default"/>
      </items>
    </pivotField>
    <pivotField numFmtId="3" showAll="0"/>
    <pivotField dataField="1" numFmtId="3" showAll="0"/>
    <pivotField showAll="0"/>
    <pivotField numFmtId="3" showAll="0"/>
    <pivotField numFmtId="3" showAll="0"/>
    <pivotField numFmtId="3" showAll="0"/>
    <pivotField numFmtId="3" showAll="0"/>
    <pivotField numFmtId="3" showAll="0"/>
    <pivotField numFmtId="3" showAll="0"/>
    <pivotField numFmtId="3" showAll="0"/>
    <pivotField numFmtId="3" showAll="0"/>
    <pivotField axis="axisRow" showAll="0">
      <items count="6">
        <item x="1"/>
        <item x="3"/>
        <item x="2"/>
        <item x="0"/>
        <item x="4"/>
        <item t="default"/>
      </items>
    </pivotField>
    <pivotField showAll="0">
      <items count="6">
        <item x="2"/>
        <item x="3"/>
        <item x="0"/>
        <item x="4"/>
        <item x="1"/>
        <item t="default"/>
      </items>
    </pivotField>
    <pivotField axis="axisCol" showAll="0">
      <items count="5">
        <item x="3"/>
        <item x="2"/>
        <item x="0"/>
        <item x="1"/>
        <item t="default"/>
      </items>
    </pivotField>
  </pivotFields>
  <rowFields count="1">
    <field x="15"/>
  </rowFields>
  <rowItems count="6">
    <i>
      <x/>
    </i>
    <i>
      <x v="1"/>
    </i>
    <i>
      <x v="2"/>
    </i>
    <i>
      <x v="3"/>
    </i>
    <i>
      <x v="4"/>
    </i>
    <i t="grand">
      <x/>
    </i>
  </rowItems>
  <colFields count="1">
    <field x="17"/>
  </colFields>
  <colItems count="5">
    <i>
      <x/>
    </i>
    <i>
      <x v="1"/>
    </i>
    <i>
      <x v="2"/>
    </i>
    <i>
      <x v="3"/>
    </i>
    <i t="grand">
      <x/>
    </i>
  </colItems>
  <dataFields count="1">
    <dataField name="Count of Passengers" fld="5" subtotal="count" baseField="15" baseItem="0"/>
  </dataFields>
  <formats count="10">
    <format dxfId="21">
      <pivotArea type="all" dataOnly="0" outline="0" fieldPosition="0"/>
    </format>
    <format dxfId="20">
      <pivotArea outline="0" collapsedLevelsAreSubtotals="1" fieldPosition="0"/>
    </format>
    <format dxfId="19">
      <pivotArea type="origin" dataOnly="0" labelOnly="1" outline="0" fieldPosition="0"/>
    </format>
    <format dxfId="18">
      <pivotArea field="17" type="button" dataOnly="0" labelOnly="1" outline="0" axis="axisCol" fieldPosition="0"/>
    </format>
    <format dxfId="17">
      <pivotArea type="topRight" dataOnly="0" labelOnly="1" outline="0" fieldPosition="0"/>
    </format>
    <format dxfId="16">
      <pivotArea field="15" type="button" dataOnly="0" labelOnly="1" outline="0" axis="axisRow" fieldPosition="0"/>
    </format>
    <format dxfId="15">
      <pivotArea dataOnly="0" labelOnly="1" fieldPosition="0">
        <references count="1">
          <reference field="15" count="0"/>
        </references>
      </pivotArea>
    </format>
    <format dxfId="14">
      <pivotArea dataOnly="0" labelOnly="1" grandRow="1" outline="0" fieldPosition="0"/>
    </format>
    <format dxfId="13">
      <pivotArea dataOnly="0" labelOnly="1" fieldPosition="0">
        <references count="1">
          <reference field="17" count="0"/>
        </references>
      </pivotArea>
    </format>
    <format dxfId="12">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0">
  <location ref="A27:B32" firstHeaderRow="1" firstDataRow="1" firstDataCol="1"/>
  <pivotFields count="17">
    <pivotField numFmtId="3" showAll="0"/>
    <pivotField numFmtId="3" showAll="0"/>
    <pivotField showAll="0">
      <items count="4">
        <item x="1"/>
        <item x="0"/>
        <item x="2"/>
        <item t="default"/>
      </items>
    </pivotField>
    <pivotField axis="axisRow" showAll="0">
      <items count="5">
        <item x="0"/>
        <item x="2"/>
        <item x="3"/>
        <item x="1"/>
        <item t="default"/>
      </items>
    </pivotField>
    <pivotField numFmtId="3" showAll="0"/>
    <pivotField numFmtId="3" showAll="0"/>
    <pivotField showAll="0">
      <items count="5">
        <item x="3"/>
        <item x="0"/>
        <item x="2"/>
        <item x="1"/>
        <item t="default"/>
      </items>
    </pivotField>
    <pivotField dataField="1" numFmtId="3" showAll="0"/>
    <pivotField numFmtId="3" showAll="0"/>
    <pivotField numFmtId="3" showAll="0"/>
    <pivotField numFmtId="3" showAll="0"/>
    <pivotField numFmtId="3" showAll="0"/>
    <pivotField numFmtId="3" showAll="0"/>
    <pivotField numFmtId="3" showAll="0"/>
    <pivotField numFmtId="3" showAll="0"/>
    <pivotField showAll="0">
      <items count="6">
        <item x="1"/>
        <item x="3"/>
        <item x="2"/>
        <item x="0"/>
        <item x="4"/>
        <item t="default"/>
      </items>
    </pivotField>
    <pivotField showAll="0">
      <items count="6">
        <item h="1" x="2"/>
        <item x="3"/>
        <item h="1" x="0"/>
        <item h="1" x="4"/>
        <item h="1" x="1"/>
        <item t="default"/>
      </items>
    </pivotField>
  </pivotFields>
  <rowFields count="1">
    <field x="3"/>
  </rowFields>
  <rowItems count="5">
    <i>
      <x/>
    </i>
    <i>
      <x v="1"/>
    </i>
    <i>
      <x v="2"/>
    </i>
    <i>
      <x v="3"/>
    </i>
    <i t="grand">
      <x/>
    </i>
  </rowItems>
  <colItems count="1">
    <i/>
  </colItems>
  <dataFields count="1">
    <dataField name="Average of Cabin Cost" fld="7" subtotal="average" baseField="3" baseItem="0"/>
  </dataFields>
  <chartFormats count="2">
    <chartFormat chart="3" format="2"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0">
  <location ref="A17:B22" firstHeaderRow="1" firstDataRow="1" firstDataCol="1"/>
  <pivotFields count="17">
    <pivotField numFmtId="3" showAll="0"/>
    <pivotField numFmtId="3" showAll="0"/>
    <pivotField showAll="0">
      <items count="4">
        <item x="1"/>
        <item x="0"/>
        <item x="2"/>
        <item t="default"/>
      </items>
    </pivotField>
    <pivotField axis="axisRow" showAll="0">
      <items count="5">
        <item x="0"/>
        <item x="2"/>
        <item x="3"/>
        <item x="1"/>
        <item t="default"/>
      </items>
    </pivotField>
    <pivotField numFmtId="3" showAll="0"/>
    <pivotField numFmtId="3" showAll="0"/>
    <pivotField showAll="0"/>
    <pivotField numFmtId="3" showAll="0"/>
    <pivotField numFmtId="3" showAll="0"/>
    <pivotField numFmtId="3" showAll="0"/>
    <pivotField numFmtId="3" showAll="0"/>
    <pivotField numFmtId="3" showAll="0"/>
    <pivotField numFmtId="3" showAll="0"/>
    <pivotField numFmtId="3" showAll="0"/>
    <pivotField dataField="1" numFmtId="3" showAll="0"/>
    <pivotField showAll="0">
      <items count="6">
        <item h="1" x="1"/>
        <item h="1" x="3"/>
        <item h="1" x="2"/>
        <item h="1" x="0"/>
        <item x="4"/>
        <item t="default"/>
      </items>
    </pivotField>
    <pivotField showAll="0">
      <items count="6">
        <item h="1" x="2"/>
        <item x="3"/>
        <item h="1" x="0"/>
        <item h="1" x="4"/>
        <item h="1" x="1"/>
        <item t="default"/>
      </items>
    </pivotField>
  </pivotFields>
  <rowFields count="1">
    <field x="3"/>
  </rowFields>
  <rowItems count="5">
    <i>
      <x/>
    </i>
    <i>
      <x v="1"/>
    </i>
    <i>
      <x v="2"/>
    </i>
    <i>
      <x v="3"/>
    </i>
    <i t="grand">
      <x/>
    </i>
  </rowItems>
  <colItems count="1">
    <i/>
  </colItems>
  <dataFields count="1">
    <dataField name="Average of Satisfaction" fld="14" subtotal="average" baseField="3" baseItem="0"/>
  </dataFields>
  <formats count="2">
    <format dxfId="1">
      <pivotArea collapsedLevelsAreSubtotals="1" fieldPosition="0">
        <references count="1">
          <reference field="3" count="0"/>
        </references>
      </pivotArea>
    </format>
    <format dxfId="0">
      <pivotArea grandRow="1" outline="0" collapsedLevelsAreSubtotals="1" fieldPosition="0"/>
    </format>
  </formats>
  <chartFormats count="2">
    <chartFormat chart="3" format="2"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1">
  <location ref="A6:B10" firstHeaderRow="1" firstDataRow="1" firstDataCol="1"/>
  <pivotFields count="17">
    <pivotField numFmtId="3" showAll="0"/>
    <pivotField numFmtId="3" showAll="0"/>
    <pivotField axis="axisRow" dataField="1" showAll="0">
      <items count="4">
        <item x="1"/>
        <item x="0"/>
        <item x="2"/>
        <item t="default"/>
      </items>
    </pivotField>
    <pivotField showAll="0"/>
    <pivotField numFmtId="3" showAll="0"/>
    <pivotField numFmtId="3" showAll="0"/>
    <pivotField showAll="0">
      <items count="5">
        <item x="3"/>
        <item x="0"/>
        <item x="2"/>
        <item x="1"/>
        <item t="default"/>
      </items>
    </pivotField>
    <pivotField numFmtId="3" showAll="0"/>
    <pivotField numFmtId="3" showAll="0"/>
    <pivotField numFmtId="3" showAll="0"/>
    <pivotField numFmtId="3" showAll="0"/>
    <pivotField numFmtId="3" showAll="0"/>
    <pivotField numFmtId="3" showAll="0"/>
    <pivotField numFmtId="3" showAll="0"/>
    <pivotField numFmtId="3" showAll="0"/>
    <pivotField showAll="0">
      <items count="6">
        <item h="1" x="1"/>
        <item h="1" x="3"/>
        <item h="1" x="2"/>
        <item h="1" x="0"/>
        <item x="4"/>
        <item t="default"/>
      </items>
    </pivotField>
    <pivotField showAll="0">
      <items count="6">
        <item h="1" x="2"/>
        <item x="3"/>
        <item h="1" x="0"/>
        <item h="1" x="4"/>
        <item h="1" x="1"/>
        <item t="default"/>
      </items>
    </pivotField>
  </pivotFields>
  <rowFields count="1">
    <field x="2"/>
  </rowFields>
  <rowItems count="4">
    <i>
      <x/>
    </i>
    <i>
      <x v="1"/>
    </i>
    <i>
      <x v="2"/>
    </i>
    <i t="grand">
      <x/>
    </i>
  </rowItems>
  <colItems count="1">
    <i/>
  </colItems>
  <dataFields count="1">
    <dataField name="Count of Gender" fld="2" subtotal="count" baseField="0" baseItem="0"/>
  </dataFields>
  <chartFormats count="8">
    <chartFormat chart="5" format="5" series="1">
      <pivotArea type="data" outline="0" fieldPosition="0">
        <references count="1">
          <reference field="4294967294" count="1" selected="0">
            <x v="0"/>
          </reference>
        </references>
      </pivotArea>
    </chartFormat>
    <chartFormat chart="5" format="6">
      <pivotArea type="data" outline="0" fieldPosition="0">
        <references count="2">
          <reference field="4294967294" count="1" selected="0">
            <x v="0"/>
          </reference>
          <reference field="2" count="1" selected="0">
            <x v="0"/>
          </reference>
        </references>
      </pivotArea>
    </chartFormat>
    <chartFormat chart="5" format="7">
      <pivotArea type="data" outline="0" fieldPosition="0">
        <references count="2">
          <reference field="4294967294" count="1" selected="0">
            <x v="0"/>
          </reference>
          <reference field="2" count="1" selected="0">
            <x v="1"/>
          </reference>
        </references>
      </pivotArea>
    </chartFormat>
    <chartFormat chart="5" format="8">
      <pivotArea type="data" outline="0" fieldPosition="0">
        <references count="2">
          <reference field="4294967294" count="1" selected="0">
            <x v="0"/>
          </reference>
          <reference field="2" count="1" selected="0">
            <x v="2"/>
          </reference>
        </references>
      </pivotArea>
    </chartFormat>
    <chartFormat chart="10" format="8" series="1">
      <pivotArea type="data" outline="0" fieldPosition="0">
        <references count="1">
          <reference field="4294967294" count="1" selected="0">
            <x v="0"/>
          </reference>
        </references>
      </pivotArea>
    </chartFormat>
    <chartFormat chart="10" format="9">
      <pivotArea type="data" outline="0" fieldPosition="0">
        <references count="2">
          <reference field="4294967294" count="1" selected="0">
            <x v="0"/>
          </reference>
          <reference field="2" count="1" selected="0">
            <x v="0"/>
          </reference>
        </references>
      </pivotArea>
    </chartFormat>
    <chartFormat chart="10" format="10">
      <pivotArea type="data" outline="0" fieldPosition="0">
        <references count="2">
          <reference field="4294967294" count="1" selected="0">
            <x v="0"/>
          </reference>
          <reference field="2" count="1" selected="0">
            <x v="1"/>
          </reference>
        </references>
      </pivotArea>
    </chartFormat>
    <chartFormat chart="10" format="11">
      <pivotArea type="data" outline="0" fieldPosition="0">
        <references count="2">
          <reference field="4294967294" count="1" selected="0">
            <x v="0"/>
          </reference>
          <reference field="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6"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5">
  <location ref="A49:B58" firstHeaderRow="1" firstDataRow="1" firstDataCol="1"/>
  <pivotFields count="17">
    <pivotField numFmtId="3" showAll="0"/>
    <pivotField numFmtId="3" showAll="0"/>
    <pivotField showAll="0"/>
    <pivotField showAll="0"/>
    <pivotField numFmtId="3" showAll="0"/>
    <pivotField axis="axisRow" numFmtId="3" showAll="0">
      <items count="9">
        <item x="1"/>
        <item x="0"/>
        <item x="4"/>
        <item x="5"/>
        <item x="6"/>
        <item x="7"/>
        <item x="2"/>
        <item x="3"/>
        <item t="default"/>
      </items>
    </pivotField>
    <pivotField showAll="0"/>
    <pivotField numFmtId="3" showAll="0"/>
    <pivotField numFmtId="3" showAll="0"/>
    <pivotField numFmtId="3" showAll="0"/>
    <pivotField numFmtId="3" showAll="0"/>
    <pivotField numFmtId="3" showAll="0"/>
    <pivotField numFmtId="3" showAll="0"/>
    <pivotField dataField="1" numFmtId="3" showAll="0"/>
    <pivotField numFmtId="3" showAll="0"/>
    <pivotField showAll="0">
      <items count="6">
        <item h="1" x="1"/>
        <item h="1" x="3"/>
        <item h="1" x="2"/>
        <item h="1" x="0"/>
        <item x="4"/>
        <item t="default"/>
      </items>
    </pivotField>
    <pivotField showAll="0"/>
  </pivotFields>
  <rowFields count="1">
    <field x="5"/>
  </rowFields>
  <rowItems count="9">
    <i>
      <x/>
    </i>
    <i>
      <x v="1"/>
    </i>
    <i>
      <x v="2"/>
    </i>
    <i>
      <x v="3"/>
    </i>
    <i>
      <x v="4"/>
    </i>
    <i>
      <x v="5"/>
    </i>
    <i>
      <x v="6"/>
    </i>
    <i>
      <x v="7"/>
    </i>
    <i t="grand">
      <x/>
    </i>
  </rowItems>
  <colItems count="1">
    <i/>
  </colItems>
  <dataFields count="1">
    <dataField name="Average of Total Spending" fld="13" subtotal="average" baseField="5"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5"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6">
  <location ref="A37:B43" firstHeaderRow="1" firstDataRow="1" firstDataCol="1"/>
  <pivotFields count="17">
    <pivotField numFmtId="3" showAll="0"/>
    <pivotField numFmtId="3" showAll="0"/>
    <pivotField showAll="0">
      <items count="4">
        <item x="1"/>
        <item x="0"/>
        <item x="2"/>
        <item t="default"/>
      </items>
    </pivotField>
    <pivotField showAll="0"/>
    <pivotField numFmtId="3" showAll="0"/>
    <pivotField numFmtId="3" showAll="0"/>
    <pivotField showAll="0"/>
    <pivotField numFmtId="3" showAll="0"/>
    <pivotField numFmtId="3" showAll="0"/>
    <pivotField numFmtId="3" showAll="0"/>
    <pivotField numFmtId="3" showAll="0"/>
    <pivotField numFmtId="3" showAll="0"/>
    <pivotField numFmtId="3" showAll="0"/>
    <pivotField dataField="1" numFmtId="3" showAll="0"/>
    <pivotField numFmtId="3" showAll="0"/>
    <pivotField axis="axisRow" showAll="0">
      <items count="6">
        <item x="1"/>
        <item x="3"/>
        <item x="2"/>
        <item x="0"/>
        <item x="4"/>
        <item t="default"/>
      </items>
    </pivotField>
    <pivotField showAll="0">
      <items count="6">
        <item h="1" x="2"/>
        <item x="3"/>
        <item h="1" x="0"/>
        <item h="1" x="4"/>
        <item h="1" x="1"/>
        <item t="default"/>
      </items>
    </pivotField>
  </pivotFields>
  <rowFields count="1">
    <field x="15"/>
  </rowFields>
  <rowItems count="6">
    <i>
      <x/>
    </i>
    <i>
      <x v="1"/>
    </i>
    <i>
      <x v="2"/>
    </i>
    <i>
      <x v="3"/>
    </i>
    <i>
      <x v="4"/>
    </i>
    <i t="grand">
      <x/>
    </i>
  </rowItems>
  <colItems count="1">
    <i/>
  </colItems>
  <dataFields count="1">
    <dataField name="Sum of Total Spending" fld="13" baseField="0" baseItem="0"/>
  </dataFields>
  <chartFormats count="3">
    <chartFormat chart="2" format="1"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1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Satisfaction_Band" sourceName="Satisfaction Band">
  <pivotTables>
    <pivotTable tabId="12" name="PivotTable2"/>
    <pivotTable tabId="12" name="PivotTable3"/>
    <pivotTable tabId="12" name="PivotTable4"/>
    <pivotTable tabId="12" name="PivotTable5"/>
  </pivotTables>
  <data>
    <tabular pivotCacheId="1">
      <items count="5">
        <i x="2"/>
        <i x="3" s="1"/>
        <i x="0"/>
        <i x="4"/>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Age_Band" sourceName="Age Band">
  <pivotTables>
    <pivotTable tabId="12" name="PivotTable6"/>
    <pivotTable tabId="12" name="PivotTable2"/>
    <pivotTable tabId="12" name="PivotTable3"/>
  </pivotTables>
  <data>
    <tabular pivotCacheId="1">
      <items count="5">
        <i x="1"/>
        <i x="3"/>
        <i x="2"/>
        <i x="0"/>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Satisfaction Band" cache="Slicer_Satisfaction_Band" caption="Satisfaction Band" style="SlicerStyleLight2" rowHeight="241300"/>
  <slicer name="Age Band" cache="Slicer_Age_Band" caption="Age Band" style="SlicerStyleLight2"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8.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3" Type="http://schemas.openxmlformats.org/officeDocument/2006/relationships/pivotTable" Target="../pivotTables/pivotTable5.xml"/><Relationship Id="rId2" Type="http://schemas.openxmlformats.org/officeDocument/2006/relationships/pivotTable" Target="../pivotTables/pivotTable4.xml"/><Relationship Id="rId1" Type="http://schemas.openxmlformats.org/officeDocument/2006/relationships/pivotTable" Target="../pivotTables/pivotTable3.xml"/><Relationship Id="rId6" Type="http://schemas.openxmlformats.org/officeDocument/2006/relationships/drawing" Target="../drawings/drawing5.xml"/><Relationship Id="rId5" Type="http://schemas.openxmlformats.org/officeDocument/2006/relationships/pivotTable" Target="../pivotTables/pivotTable7.xml"/><Relationship Id="rId4"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27"/>
  <sheetViews>
    <sheetView tabSelected="1" topLeftCell="F1" workbookViewId="0">
      <pane ySplit="1" topLeftCell="A186" activePane="bottomLeft" state="frozen"/>
      <selection pane="bottomLeft" activeCell="P186" sqref="P186"/>
    </sheetView>
  </sheetViews>
  <sheetFormatPr defaultColWidth="13.7109375" defaultRowHeight="19.899999999999999" customHeight="1"/>
  <cols>
    <col min="1" max="18" width="13.7109375" style="12"/>
    <col min="19" max="19" width="68.7109375" style="12" bestFit="1" customWidth="1"/>
    <col min="20" max="16384" width="13.7109375" style="12"/>
  </cols>
  <sheetData>
    <row r="1" spans="1:18" s="9" customFormat="1" ht="30">
      <c r="A1" s="13" t="s">
        <v>36</v>
      </c>
      <c r="B1" s="14" t="s">
        <v>37</v>
      </c>
      <c r="C1" s="14" t="s">
        <v>38</v>
      </c>
      <c r="D1" s="15" t="s">
        <v>39</v>
      </c>
      <c r="E1" s="14" t="s">
        <v>40</v>
      </c>
      <c r="F1" s="88" t="s">
        <v>41</v>
      </c>
      <c r="G1" s="88" t="s">
        <v>42</v>
      </c>
      <c r="H1" s="88" t="s">
        <v>43</v>
      </c>
      <c r="I1" s="88" t="s">
        <v>44</v>
      </c>
      <c r="J1" s="88" t="s">
        <v>45</v>
      </c>
      <c r="K1" s="88" t="s">
        <v>22</v>
      </c>
      <c r="L1" s="88" t="s">
        <v>46</v>
      </c>
      <c r="M1" s="88" t="s">
        <v>47</v>
      </c>
      <c r="N1" s="88" t="s">
        <v>48</v>
      </c>
      <c r="O1" s="88" t="s">
        <v>49</v>
      </c>
      <c r="P1" s="88" t="s">
        <v>78</v>
      </c>
      <c r="Q1" s="88" t="s">
        <v>87</v>
      </c>
      <c r="R1" s="88" t="s">
        <v>288</v>
      </c>
    </row>
    <row r="2" spans="1:18" ht="19.899999999999999" customHeight="1">
      <c r="A2" s="16">
        <v>1</v>
      </c>
      <c r="B2" s="16">
        <v>90</v>
      </c>
      <c r="C2" s="16" t="s">
        <v>50</v>
      </c>
      <c r="D2" s="16" t="s">
        <v>51</v>
      </c>
      <c r="E2" s="16">
        <v>0</v>
      </c>
      <c r="F2" s="16">
        <v>2</v>
      </c>
      <c r="G2" s="16" t="s">
        <v>52</v>
      </c>
      <c r="H2" s="16">
        <v>1950</v>
      </c>
      <c r="I2" s="16">
        <v>0</v>
      </c>
      <c r="J2" s="16">
        <v>352</v>
      </c>
      <c r="K2" s="16">
        <v>302</v>
      </c>
      <c r="L2" s="16">
        <v>119</v>
      </c>
      <c r="M2" s="16">
        <v>149</v>
      </c>
      <c r="N2" s="16">
        <v>2872</v>
      </c>
      <c r="O2" s="16">
        <v>75</v>
      </c>
      <c r="P2" s="12" t="str">
        <f>IF(B2&gt;=70,"Senior",IF(B2&gt;=60,"Mature",IF(B2&gt;=46,"Prime",IF(B2&gt;=30,"Core","Young"))))</f>
        <v>Senior</v>
      </c>
      <c r="Q2" s="12" t="str">
        <f>IF(O2&gt;=80,"Delighted",IF(O2&gt;=70,"Happy",IF(O2&gt;=60,"Acceptable",IF(O2&gt;=50,"Unimpressed",IF(O2&lt;50,"Unhappy")))))</f>
        <v>Happy</v>
      </c>
      <c r="R2" s="12" t="str">
        <f>IF(N2&lt;2500,"Budget", IF(N2&lt;3499,"Medium",IF(N2&lt;4499,"High","Premium")))</f>
        <v>Medium</v>
      </c>
    </row>
    <row r="3" spans="1:18" ht="19.899999999999999" customHeight="1">
      <c r="A3" s="16">
        <v>2</v>
      </c>
      <c r="B3" s="16">
        <v>81</v>
      </c>
      <c r="C3" s="16" t="s">
        <v>53</v>
      </c>
      <c r="D3" s="16" t="s">
        <v>54</v>
      </c>
      <c r="E3" s="16">
        <v>0</v>
      </c>
      <c r="F3" s="16">
        <v>1</v>
      </c>
      <c r="G3" s="16" t="s">
        <v>55</v>
      </c>
      <c r="H3" s="16">
        <v>2950</v>
      </c>
      <c r="I3" s="16">
        <v>1130</v>
      </c>
      <c r="J3" s="16">
        <v>251</v>
      </c>
      <c r="K3" s="16">
        <v>238</v>
      </c>
      <c r="L3" s="16">
        <v>732</v>
      </c>
      <c r="M3" s="16">
        <v>298</v>
      </c>
      <c r="N3" s="16">
        <v>5599</v>
      </c>
      <c r="O3" s="16">
        <v>51</v>
      </c>
      <c r="P3" s="12" t="str">
        <f t="shared" ref="P3:P66" si="0">IF(B3&gt;=70,"Senior",IF(B3&gt;=60,"Mature",IF(B3&gt;=46,"Prime",IF(B3&gt;=30,"Core","Young"))))</f>
        <v>Senior</v>
      </c>
      <c r="Q3" s="12" t="str">
        <f t="shared" ref="Q3:Q66" si="1">IF(O3&gt;=80,"Delighted",IF(O3&gt;=70,"Happy",IF(O3&gt;=60,"Acceptable",IF(O3&gt;=50,"Unimpressed",IF(O3&lt;50,"Unhappy")))))</f>
        <v>Unimpressed</v>
      </c>
      <c r="R3" s="12" t="str">
        <f t="shared" ref="R3:R66" si="2">IF(N3&lt;2500,"Budget", IF(N3&lt;3499,"Medium",IF(N3&lt;4499,"High","Premium")))</f>
        <v>Premium</v>
      </c>
    </row>
    <row r="4" spans="1:18" ht="19.899999999999999" customHeight="1">
      <c r="A4" s="16">
        <v>3</v>
      </c>
      <c r="B4" s="16">
        <v>39</v>
      </c>
      <c r="C4" s="16" t="s">
        <v>56</v>
      </c>
      <c r="D4" s="16" t="s">
        <v>57</v>
      </c>
      <c r="E4" s="16">
        <v>5</v>
      </c>
      <c r="F4" s="16">
        <v>7</v>
      </c>
      <c r="G4" s="16" t="s">
        <v>58</v>
      </c>
      <c r="H4" s="16">
        <v>1150</v>
      </c>
      <c r="I4" s="16">
        <v>296</v>
      </c>
      <c r="J4" s="16">
        <v>882</v>
      </c>
      <c r="K4" s="16">
        <v>0</v>
      </c>
      <c r="L4" s="16">
        <v>501</v>
      </c>
      <c r="M4" s="16">
        <v>196</v>
      </c>
      <c r="N4" s="16">
        <v>3025</v>
      </c>
      <c r="O4" s="16">
        <v>60</v>
      </c>
      <c r="P4" s="12" t="str">
        <f t="shared" si="0"/>
        <v>Core</v>
      </c>
      <c r="Q4" s="12" t="str">
        <f t="shared" si="1"/>
        <v>Acceptable</v>
      </c>
      <c r="R4" s="12" t="str">
        <f t="shared" si="2"/>
        <v>Medium</v>
      </c>
    </row>
    <row r="5" spans="1:18" ht="19.899999999999999" customHeight="1">
      <c r="A5" s="16">
        <v>4</v>
      </c>
      <c r="B5" s="16">
        <v>42</v>
      </c>
      <c r="C5" s="16" t="s">
        <v>50</v>
      </c>
      <c r="D5" s="16" t="s">
        <v>59</v>
      </c>
      <c r="E5" s="16">
        <v>0</v>
      </c>
      <c r="F5" s="16">
        <v>8</v>
      </c>
      <c r="G5" s="16" t="s">
        <v>58</v>
      </c>
      <c r="H5" s="16">
        <v>1150</v>
      </c>
      <c r="I5" s="16">
        <v>93</v>
      </c>
      <c r="J5" s="16">
        <v>1008</v>
      </c>
      <c r="K5" s="16">
        <v>302</v>
      </c>
      <c r="L5" s="16">
        <v>357</v>
      </c>
      <c r="M5" s="16">
        <v>392</v>
      </c>
      <c r="N5" s="16">
        <v>3302</v>
      </c>
      <c r="O5" s="16">
        <v>73</v>
      </c>
      <c r="P5" s="12" t="str">
        <f t="shared" si="0"/>
        <v>Core</v>
      </c>
      <c r="Q5" s="12" t="str">
        <f t="shared" si="1"/>
        <v>Happy</v>
      </c>
      <c r="R5" s="12" t="str">
        <f t="shared" si="2"/>
        <v>Medium</v>
      </c>
    </row>
    <row r="6" spans="1:18" ht="19.899999999999999" customHeight="1">
      <c r="A6" s="16">
        <v>5</v>
      </c>
      <c r="B6" s="16">
        <v>57</v>
      </c>
      <c r="C6" s="16" t="s">
        <v>53</v>
      </c>
      <c r="D6" s="16" t="s">
        <v>57</v>
      </c>
      <c r="E6" s="16">
        <v>1</v>
      </c>
      <c r="F6" s="16">
        <v>3</v>
      </c>
      <c r="G6" s="16" t="s">
        <v>52</v>
      </c>
      <c r="H6" s="16">
        <v>1950</v>
      </c>
      <c r="I6" s="16">
        <v>0</v>
      </c>
      <c r="J6" s="16">
        <v>528</v>
      </c>
      <c r="K6" s="16">
        <v>119</v>
      </c>
      <c r="L6" s="16">
        <v>0</v>
      </c>
      <c r="M6" s="16">
        <v>0</v>
      </c>
      <c r="N6" s="16">
        <v>2597</v>
      </c>
      <c r="O6" s="16">
        <v>68</v>
      </c>
      <c r="P6" s="12" t="str">
        <f t="shared" si="0"/>
        <v>Prime</v>
      </c>
      <c r="Q6" s="12" t="str">
        <f t="shared" si="1"/>
        <v>Acceptable</v>
      </c>
      <c r="R6" s="12" t="str">
        <f t="shared" si="2"/>
        <v>Medium</v>
      </c>
    </row>
    <row r="7" spans="1:18" ht="19.899999999999999" customHeight="1">
      <c r="A7" s="16">
        <v>6</v>
      </c>
      <c r="B7" s="16">
        <v>60</v>
      </c>
      <c r="C7" s="16" t="s">
        <v>53</v>
      </c>
      <c r="D7" s="16" t="s">
        <v>57</v>
      </c>
      <c r="E7" s="16">
        <v>2</v>
      </c>
      <c r="F7" s="16">
        <v>4</v>
      </c>
      <c r="G7" s="16" t="s">
        <v>58</v>
      </c>
      <c r="H7" s="16">
        <v>1150</v>
      </c>
      <c r="I7" s="16">
        <v>296</v>
      </c>
      <c r="J7" s="16">
        <v>504</v>
      </c>
      <c r="K7" s="16">
        <v>238</v>
      </c>
      <c r="L7" s="16">
        <v>732</v>
      </c>
      <c r="M7" s="16">
        <v>604</v>
      </c>
      <c r="N7" s="16">
        <v>3524</v>
      </c>
      <c r="O7" s="16">
        <v>54</v>
      </c>
      <c r="P7" s="12" t="str">
        <f t="shared" si="0"/>
        <v>Mature</v>
      </c>
      <c r="Q7" s="12" t="str">
        <f t="shared" si="1"/>
        <v>Unimpressed</v>
      </c>
      <c r="R7" s="12" t="str">
        <f t="shared" si="2"/>
        <v>High</v>
      </c>
    </row>
    <row r="8" spans="1:18" ht="19.899999999999999" customHeight="1">
      <c r="A8" s="16">
        <v>7</v>
      </c>
      <c r="B8" s="16">
        <v>39</v>
      </c>
      <c r="C8" s="16" t="s">
        <v>50</v>
      </c>
      <c r="D8" s="16" t="s">
        <v>59</v>
      </c>
      <c r="E8" s="16">
        <v>0</v>
      </c>
      <c r="F8" s="16">
        <v>8</v>
      </c>
      <c r="G8" s="16" t="s">
        <v>58</v>
      </c>
      <c r="H8" s="16">
        <v>1150</v>
      </c>
      <c r="I8" s="16">
        <v>0</v>
      </c>
      <c r="J8" s="16">
        <v>1008</v>
      </c>
      <c r="K8" s="16">
        <v>151</v>
      </c>
      <c r="L8" s="16">
        <v>0</v>
      </c>
      <c r="M8" s="16">
        <v>0</v>
      </c>
      <c r="N8" s="16">
        <v>2309</v>
      </c>
      <c r="O8" s="16">
        <v>58</v>
      </c>
      <c r="P8" s="12" t="str">
        <f t="shared" si="0"/>
        <v>Core</v>
      </c>
      <c r="Q8" s="12" t="str">
        <f t="shared" si="1"/>
        <v>Unimpressed</v>
      </c>
      <c r="R8" s="12" t="str">
        <f t="shared" si="2"/>
        <v>Budget</v>
      </c>
    </row>
    <row r="9" spans="1:18" ht="19.899999999999999" customHeight="1">
      <c r="A9" s="16">
        <v>8</v>
      </c>
      <c r="B9" s="16">
        <v>54</v>
      </c>
      <c r="C9" s="16" t="s">
        <v>53</v>
      </c>
      <c r="D9" s="16" t="s">
        <v>51</v>
      </c>
      <c r="E9" s="16">
        <v>0</v>
      </c>
      <c r="F9" s="16">
        <v>2</v>
      </c>
      <c r="G9" s="16" t="s">
        <v>58</v>
      </c>
      <c r="H9" s="16">
        <v>1150</v>
      </c>
      <c r="I9" s="16">
        <v>696</v>
      </c>
      <c r="J9" s="16">
        <v>252</v>
      </c>
      <c r="K9" s="16">
        <v>119</v>
      </c>
      <c r="L9" s="16">
        <v>549</v>
      </c>
      <c r="M9" s="16">
        <v>447</v>
      </c>
      <c r="N9" s="16">
        <v>3213</v>
      </c>
      <c r="O9" s="16">
        <v>80</v>
      </c>
      <c r="P9" s="12" t="str">
        <f t="shared" si="0"/>
        <v>Prime</v>
      </c>
      <c r="Q9" s="12" t="str">
        <f t="shared" si="1"/>
        <v>Delighted</v>
      </c>
      <c r="R9" s="12" t="str">
        <f t="shared" si="2"/>
        <v>Medium</v>
      </c>
    </row>
    <row r="10" spans="1:18" ht="19.899999999999999" customHeight="1">
      <c r="A10" s="16">
        <v>9</v>
      </c>
      <c r="B10" s="16">
        <v>57</v>
      </c>
      <c r="C10" s="16" t="s">
        <v>50</v>
      </c>
      <c r="D10" s="16" t="s">
        <v>51</v>
      </c>
      <c r="E10" s="16">
        <v>0</v>
      </c>
      <c r="F10" s="16">
        <v>2</v>
      </c>
      <c r="G10" s="16" t="s">
        <v>58</v>
      </c>
      <c r="H10" s="16">
        <v>1150</v>
      </c>
      <c r="I10" s="16">
        <v>0</v>
      </c>
      <c r="J10" s="16">
        <v>252</v>
      </c>
      <c r="K10" s="16">
        <v>0</v>
      </c>
      <c r="L10" s="16">
        <v>238</v>
      </c>
      <c r="M10" s="16">
        <v>298</v>
      </c>
      <c r="N10" s="16">
        <v>1938</v>
      </c>
      <c r="O10" s="16">
        <v>89</v>
      </c>
      <c r="P10" s="12" t="str">
        <f t="shared" si="0"/>
        <v>Prime</v>
      </c>
      <c r="Q10" s="12" t="str">
        <f t="shared" si="1"/>
        <v>Delighted</v>
      </c>
      <c r="R10" s="12" t="str">
        <f t="shared" si="2"/>
        <v>Budget</v>
      </c>
    </row>
    <row r="11" spans="1:18" ht="19.899999999999999" customHeight="1">
      <c r="A11" s="16">
        <v>10</v>
      </c>
      <c r="B11" s="16">
        <v>66</v>
      </c>
      <c r="C11" s="16" t="s">
        <v>50</v>
      </c>
      <c r="D11" s="16" t="s">
        <v>57</v>
      </c>
      <c r="E11" s="16">
        <v>3</v>
      </c>
      <c r="F11" s="16">
        <v>5</v>
      </c>
      <c r="G11" s="16" t="s">
        <v>58</v>
      </c>
      <c r="H11" s="16">
        <v>1150</v>
      </c>
      <c r="I11" s="16">
        <v>296</v>
      </c>
      <c r="J11" s="16">
        <v>630</v>
      </c>
      <c r="K11" s="16">
        <v>755</v>
      </c>
      <c r="L11" s="16">
        <v>238</v>
      </c>
      <c r="M11" s="16">
        <v>302</v>
      </c>
      <c r="N11" s="16">
        <v>3371</v>
      </c>
      <c r="O11" s="16">
        <v>45</v>
      </c>
      <c r="P11" s="12" t="str">
        <f t="shared" si="0"/>
        <v>Mature</v>
      </c>
      <c r="Q11" s="12" t="str">
        <f t="shared" si="1"/>
        <v>Unhappy</v>
      </c>
      <c r="R11" s="12" t="str">
        <f t="shared" si="2"/>
        <v>Medium</v>
      </c>
    </row>
    <row r="12" spans="1:18" ht="19.899999999999999" customHeight="1">
      <c r="A12" s="16">
        <v>11</v>
      </c>
      <c r="B12" s="16">
        <v>34</v>
      </c>
      <c r="C12" s="16" t="s">
        <v>50</v>
      </c>
      <c r="D12" s="16" t="s">
        <v>59</v>
      </c>
      <c r="E12" s="16">
        <v>0</v>
      </c>
      <c r="F12" s="16">
        <v>3</v>
      </c>
      <c r="G12" s="16" t="s">
        <v>58</v>
      </c>
      <c r="H12" s="16">
        <v>1150</v>
      </c>
      <c r="I12" s="16">
        <v>0</v>
      </c>
      <c r="J12" s="16">
        <v>378</v>
      </c>
      <c r="K12" s="16">
        <v>0</v>
      </c>
      <c r="L12" s="16">
        <v>238</v>
      </c>
      <c r="M12" s="16">
        <v>392</v>
      </c>
      <c r="N12" s="16">
        <v>2158</v>
      </c>
      <c r="O12" s="16">
        <v>85</v>
      </c>
      <c r="P12" s="12" t="str">
        <f t="shared" si="0"/>
        <v>Core</v>
      </c>
      <c r="Q12" s="12" t="str">
        <f t="shared" si="1"/>
        <v>Delighted</v>
      </c>
      <c r="R12" s="12" t="str">
        <f t="shared" si="2"/>
        <v>Budget</v>
      </c>
    </row>
    <row r="13" spans="1:18" ht="19.899999999999999" customHeight="1">
      <c r="A13" s="16">
        <v>12</v>
      </c>
      <c r="B13" s="16">
        <v>76</v>
      </c>
      <c r="C13" s="16" t="s">
        <v>50</v>
      </c>
      <c r="D13" s="16" t="s">
        <v>51</v>
      </c>
      <c r="E13" s="16">
        <v>0</v>
      </c>
      <c r="F13" s="16">
        <v>2</v>
      </c>
      <c r="G13" s="16" t="s">
        <v>52</v>
      </c>
      <c r="H13" s="16">
        <v>1950</v>
      </c>
      <c r="I13" s="16">
        <v>348</v>
      </c>
      <c r="J13" s="16">
        <v>352</v>
      </c>
      <c r="K13" s="16">
        <v>604</v>
      </c>
      <c r="L13" s="16">
        <v>0</v>
      </c>
      <c r="M13" s="16">
        <v>0</v>
      </c>
      <c r="N13" s="16">
        <v>3254</v>
      </c>
      <c r="O13" s="16">
        <v>66</v>
      </c>
      <c r="P13" s="12" t="str">
        <f t="shared" si="0"/>
        <v>Senior</v>
      </c>
      <c r="Q13" s="12" t="str">
        <f t="shared" si="1"/>
        <v>Acceptable</v>
      </c>
      <c r="R13" s="12" t="str">
        <f t="shared" si="2"/>
        <v>Medium</v>
      </c>
    </row>
    <row r="14" spans="1:18" ht="19.899999999999999" customHeight="1">
      <c r="A14" s="16">
        <v>13</v>
      </c>
      <c r="B14" s="16">
        <v>39</v>
      </c>
      <c r="C14" s="16" t="s">
        <v>53</v>
      </c>
      <c r="D14" s="16" t="s">
        <v>54</v>
      </c>
      <c r="E14" s="16">
        <v>0</v>
      </c>
      <c r="F14" s="16">
        <v>1</v>
      </c>
      <c r="G14" s="16" t="s">
        <v>60</v>
      </c>
      <c r="H14" s="16">
        <v>500</v>
      </c>
      <c r="I14" s="16">
        <v>904</v>
      </c>
      <c r="J14" s="16">
        <v>84</v>
      </c>
      <c r="K14" s="16">
        <v>0</v>
      </c>
      <c r="L14" s="16">
        <v>915</v>
      </c>
      <c r="M14" s="16">
        <v>196</v>
      </c>
      <c r="N14" s="16">
        <v>2599</v>
      </c>
      <c r="O14" s="16">
        <v>93</v>
      </c>
      <c r="P14" s="12" t="str">
        <f t="shared" si="0"/>
        <v>Core</v>
      </c>
      <c r="Q14" s="12" t="str">
        <f t="shared" si="1"/>
        <v>Delighted</v>
      </c>
      <c r="R14" s="12" t="str">
        <f t="shared" si="2"/>
        <v>Medium</v>
      </c>
    </row>
    <row r="15" spans="1:18" ht="19.899999999999999" customHeight="1">
      <c r="A15" s="16">
        <v>14</v>
      </c>
      <c r="B15" s="16">
        <v>65</v>
      </c>
      <c r="C15" s="16" t="s">
        <v>50</v>
      </c>
      <c r="D15" s="16" t="s">
        <v>57</v>
      </c>
      <c r="E15" s="16">
        <v>1</v>
      </c>
      <c r="F15" s="16">
        <v>3</v>
      </c>
      <c r="G15" s="16" t="s">
        <v>58</v>
      </c>
      <c r="H15" s="16">
        <v>1150</v>
      </c>
      <c r="I15" s="16">
        <v>444</v>
      </c>
      <c r="J15" s="16">
        <v>378</v>
      </c>
      <c r="K15" s="16">
        <v>302</v>
      </c>
      <c r="L15" s="16">
        <v>238</v>
      </c>
      <c r="M15" s="16">
        <v>0</v>
      </c>
      <c r="N15" s="16">
        <v>2512</v>
      </c>
      <c r="O15" s="16">
        <v>39</v>
      </c>
      <c r="P15" s="12" t="str">
        <f t="shared" si="0"/>
        <v>Mature</v>
      </c>
      <c r="Q15" s="12" t="str">
        <f t="shared" si="1"/>
        <v>Unhappy</v>
      </c>
      <c r="R15" s="12" t="str">
        <f t="shared" si="2"/>
        <v>Medium</v>
      </c>
    </row>
    <row r="16" spans="1:18" ht="19.899999999999999" customHeight="1">
      <c r="A16" s="16">
        <v>15</v>
      </c>
      <c r="B16" s="16">
        <v>33</v>
      </c>
      <c r="C16" s="16" t="s">
        <v>53</v>
      </c>
      <c r="D16" s="16" t="s">
        <v>51</v>
      </c>
      <c r="E16" s="16">
        <v>0</v>
      </c>
      <c r="F16" s="16">
        <v>2</v>
      </c>
      <c r="G16" s="16" t="s">
        <v>60</v>
      </c>
      <c r="H16" s="16">
        <v>500</v>
      </c>
      <c r="I16" s="16">
        <v>348</v>
      </c>
      <c r="J16" s="16">
        <v>168</v>
      </c>
      <c r="K16" s="16">
        <v>0</v>
      </c>
      <c r="L16" s="16">
        <v>366</v>
      </c>
      <c r="M16" s="16">
        <v>392</v>
      </c>
      <c r="N16" s="16">
        <v>1774</v>
      </c>
      <c r="O16" s="16">
        <v>79</v>
      </c>
      <c r="P16" s="12" t="str">
        <f t="shared" si="0"/>
        <v>Core</v>
      </c>
      <c r="Q16" s="12" t="str">
        <f t="shared" si="1"/>
        <v>Happy</v>
      </c>
      <c r="R16" s="12" t="str">
        <f t="shared" si="2"/>
        <v>Budget</v>
      </c>
    </row>
    <row r="17" spans="1:18" ht="19.899999999999999" customHeight="1">
      <c r="A17" s="16">
        <v>16</v>
      </c>
      <c r="B17" s="16">
        <v>58</v>
      </c>
      <c r="C17" s="16" t="s">
        <v>53</v>
      </c>
      <c r="D17" s="16" t="s">
        <v>51</v>
      </c>
      <c r="E17" s="16">
        <v>0</v>
      </c>
      <c r="F17" s="16">
        <v>2</v>
      </c>
      <c r="G17" s="16" t="s">
        <v>58</v>
      </c>
      <c r="H17" s="16">
        <v>1150</v>
      </c>
      <c r="I17" s="16">
        <v>522</v>
      </c>
      <c r="J17" s="16">
        <v>252</v>
      </c>
      <c r="K17" s="16">
        <v>238</v>
      </c>
      <c r="L17" s="16">
        <v>183</v>
      </c>
      <c r="M17" s="16">
        <v>149</v>
      </c>
      <c r="N17" s="16">
        <v>2494</v>
      </c>
      <c r="O17" s="16">
        <v>61</v>
      </c>
      <c r="P17" s="12" t="str">
        <f t="shared" si="0"/>
        <v>Prime</v>
      </c>
      <c r="Q17" s="12" t="str">
        <f t="shared" si="1"/>
        <v>Acceptable</v>
      </c>
      <c r="R17" s="12" t="str">
        <f t="shared" si="2"/>
        <v>Budget</v>
      </c>
    </row>
    <row r="18" spans="1:18" ht="19.899999999999999" customHeight="1">
      <c r="A18" s="16">
        <v>17</v>
      </c>
      <c r="B18" s="16">
        <v>46</v>
      </c>
      <c r="C18" s="16" t="s">
        <v>53</v>
      </c>
      <c r="D18" s="16" t="s">
        <v>54</v>
      </c>
      <c r="E18" s="16">
        <v>0</v>
      </c>
      <c r="F18" s="16">
        <v>1</v>
      </c>
      <c r="G18" s="16" t="s">
        <v>58</v>
      </c>
      <c r="H18" s="16">
        <v>1150</v>
      </c>
      <c r="I18" s="16">
        <v>0</v>
      </c>
      <c r="J18" s="16">
        <v>126</v>
      </c>
      <c r="K18" s="16">
        <v>238</v>
      </c>
      <c r="L18" s="16">
        <v>549</v>
      </c>
      <c r="M18" s="16">
        <v>149</v>
      </c>
      <c r="N18" s="16">
        <v>2212</v>
      </c>
      <c r="O18" s="16">
        <v>73</v>
      </c>
      <c r="P18" s="12" t="str">
        <f t="shared" si="0"/>
        <v>Prime</v>
      </c>
      <c r="Q18" s="12" t="str">
        <f t="shared" si="1"/>
        <v>Happy</v>
      </c>
      <c r="R18" s="12" t="str">
        <f t="shared" si="2"/>
        <v>Budget</v>
      </c>
    </row>
    <row r="19" spans="1:18" ht="19.899999999999999" customHeight="1">
      <c r="A19" s="16">
        <v>18</v>
      </c>
      <c r="B19" s="16">
        <v>36</v>
      </c>
      <c r="C19" s="16" t="s">
        <v>53</v>
      </c>
      <c r="D19" s="16" t="s">
        <v>57</v>
      </c>
      <c r="E19" s="16">
        <v>1</v>
      </c>
      <c r="F19" s="16">
        <v>3</v>
      </c>
      <c r="G19" s="16" t="s">
        <v>58</v>
      </c>
      <c r="H19" s="16">
        <v>1150</v>
      </c>
      <c r="I19" s="16">
        <v>0</v>
      </c>
      <c r="J19" s="16">
        <v>378</v>
      </c>
      <c r="K19" s="16">
        <v>357</v>
      </c>
      <c r="L19" s="16">
        <v>0</v>
      </c>
      <c r="M19" s="16">
        <v>0</v>
      </c>
      <c r="N19" s="16">
        <v>1885</v>
      </c>
      <c r="O19" s="16">
        <v>55</v>
      </c>
      <c r="P19" s="12" t="str">
        <f t="shared" si="0"/>
        <v>Core</v>
      </c>
      <c r="Q19" s="12" t="str">
        <f t="shared" si="1"/>
        <v>Unimpressed</v>
      </c>
      <c r="R19" s="12" t="str">
        <f t="shared" si="2"/>
        <v>Budget</v>
      </c>
    </row>
    <row r="20" spans="1:18" ht="19.899999999999999" customHeight="1">
      <c r="A20" s="16">
        <v>19</v>
      </c>
      <c r="B20" s="16">
        <v>63</v>
      </c>
      <c r="C20" s="16" t="s">
        <v>50</v>
      </c>
      <c r="D20" s="16" t="s">
        <v>57</v>
      </c>
      <c r="E20" s="16">
        <v>3</v>
      </c>
      <c r="F20" s="16">
        <v>5</v>
      </c>
      <c r="G20" s="16" t="s">
        <v>58</v>
      </c>
      <c r="H20" s="16">
        <v>1150</v>
      </c>
      <c r="I20" s="16">
        <v>148</v>
      </c>
      <c r="J20" s="16">
        <v>630</v>
      </c>
      <c r="K20" s="16">
        <v>302</v>
      </c>
      <c r="L20" s="16">
        <v>0</v>
      </c>
      <c r="M20" s="16">
        <v>302</v>
      </c>
      <c r="N20" s="16">
        <v>2532</v>
      </c>
      <c r="O20" s="16">
        <v>71</v>
      </c>
      <c r="P20" s="12" t="str">
        <f t="shared" si="0"/>
        <v>Mature</v>
      </c>
      <c r="Q20" s="12" t="str">
        <f t="shared" si="1"/>
        <v>Happy</v>
      </c>
      <c r="R20" s="12" t="str">
        <f t="shared" si="2"/>
        <v>Medium</v>
      </c>
    </row>
    <row r="21" spans="1:18" ht="19.899999999999999" customHeight="1">
      <c r="A21" s="16">
        <v>20</v>
      </c>
      <c r="B21" s="16">
        <v>38</v>
      </c>
      <c r="C21" s="16" t="s">
        <v>53</v>
      </c>
      <c r="D21" s="16" t="s">
        <v>51</v>
      </c>
      <c r="E21" s="16">
        <v>0</v>
      </c>
      <c r="F21" s="16">
        <v>2</v>
      </c>
      <c r="G21" s="16" t="s">
        <v>60</v>
      </c>
      <c r="H21" s="16">
        <v>500</v>
      </c>
      <c r="I21" s="16">
        <v>522</v>
      </c>
      <c r="J21" s="16">
        <v>168</v>
      </c>
      <c r="K21" s="16">
        <v>357</v>
      </c>
      <c r="L21" s="16">
        <v>732</v>
      </c>
      <c r="M21" s="16">
        <v>0</v>
      </c>
      <c r="N21" s="16">
        <v>2279</v>
      </c>
      <c r="O21" s="16">
        <v>85</v>
      </c>
      <c r="P21" s="12" t="str">
        <f t="shared" si="0"/>
        <v>Core</v>
      </c>
      <c r="Q21" s="12" t="str">
        <f t="shared" si="1"/>
        <v>Delighted</v>
      </c>
      <c r="R21" s="12" t="str">
        <f t="shared" si="2"/>
        <v>Budget</v>
      </c>
    </row>
    <row r="22" spans="1:18" ht="19.899999999999999" customHeight="1">
      <c r="A22" s="16">
        <v>21</v>
      </c>
      <c r="B22" s="16">
        <v>27</v>
      </c>
      <c r="C22" s="16" t="s">
        <v>50</v>
      </c>
      <c r="D22" s="16" t="s">
        <v>57</v>
      </c>
      <c r="E22" s="16">
        <v>2</v>
      </c>
      <c r="F22" s="16">
        <v>4</v>
      </c>
      <c r="G22" s="16" t="s">
        <v>55</v>
      </c>
      <c r="H22" s="16">
        <v>2950</v>
      </c>
      <c r="I22" s="16">
        <v>592</v>
      </c>
      <c r="J22" s="16">
        <v>1004</v>
      </c>
      <c r="K22" s="16">
        <v>0</v>
      </c>
      <c r="L22" s="16">
        <v>0</v>
      </c>
      <c r="M22" s="16">
        <v>294</v>
      </c>
      <c r="N22" s="16">
        <v>4840</v>
      </c>
      <c r="O22" s="16">
        <v>81</v>
      </c>
      <c r="P22" s="12" t="str">
        <f t="shared" si="0"/>
        <v>Young</v>
      </c>
      <c r="Q22" s="12" t="str">
        <f t="shared" si="1"/>
        <v>Delighted</v>
      </c>
      <c r="R22" s="12" t="str">
        <f t="shared" si="2"/>
        <v>Premium</v>
      </c>
    </row>
    <row r="23" spans="1:18" ht="19.899999999999999" customHeight="1">
      <c r="A23" s="16">
        <v>22</v>
      </c>
      <c r="B23" s="16">
        <v>27</v>
      </c>
      <c r="C23" s="16" t="s">
        <v>56</v>
      </c>
      <c r="D23" s="16" t="s">
        <v>51</v>
      </c>
      <c r="E23" s="16">
        <v>0</v>
      </c>
      <c r="F23" s="16">
        <v>2</v>
      </c>
      <c r="G23" s="16" t="s">
        <v>58</v>
      </c>
      <c r="H23" s="16">
        <v>1150</v>
      </c>
      <c r="I23" s="16">
        <v>0</v>
      </c>
      <c r="J23" s="16">
        <v>252</v>
      </c>
      <c r="K23" s="16">
        <v>334</v>
      </c>
      <c r="L23" s="16">
        <v>501</v>
      </c>
      <c r="M23" s="16">
        <v>147</v>
      </c>
      <c r="N23" s="16">
        <v>2384</v>
      </c>
      <c r="O23" s="16">
        <v>49</v>
      </c>
      <c r="P23" s="12" t="str">
        <f t="shared" si="0"/>
        <v>Young</v>
      </c>
      <c r="Q23" s="12" t="str">
        <f t="shared" si="1"/>
        <v>Unhappy</v>
      </c>
      <c r="R23" s="12" t="str">
        <f t="shared" si="2"/>
        <v>Budget</v>
      </c>
    </row>
    <row r="24" spans="1:18" ht="19.899999999999999" customHeight="1">
      <c r="A24" s="16">
        <v>23</v>
      </c>
      <c r="B24" s="16">
        <v>21</v>
      </c>
      <c r="C24" s="16" t="s">
        <v>53</v>
      </c>
      <c r="D24" s="16" t="s">
        <v>59</v>
      </c>
      <c r="E24" s="16">
        <v>0</v>
      </c>
      <c r="F24" s="16">
        <v>5</v>
      </c>
      <c r="G24" s="16" t="s">
        <v>58</v>
      </c>
      <c r="H24" s="16">
        <v>1150</v>
      </c>
      <c r="I24" s="16">
        <v>186</v>
      </c>
      <c r="J24" s="16">
        <v>630</v>
      </c>
      <c r="K24" s="16">
        <v>119</v>
      </c>
      <c r="L24" s="16">
        <v>366</v>
      </c>
      <c r="M24" s="16">
        <v>294</v>
      </c>
      <c r="N24" s="16">
        <v>2745</v>
      </c>
      <c r="O24" s="16">
        <v>54</v>
      </c>
      <c r="P24" s="12" t="str">
        <f t="shared" si="0"/>
        <v>Young</v>
      </c>
      <c r="Q24" s="12" t="str">
        <f t="shared" si="1"/>
        <v>Unimpressed</v>
      </c>
      <c r="R24" s="12" t="str">
        <f t="shared" si="2"/>
        <v>Medium</v>
      </c>
    </row>
    <row r="25" spans="1:18" ht="19.899999999999999" customHeight="1">
      <c r="A25" s="16">
        <v>24</v>
      </c>
      <c r="B25" s="16">
        <v>48</v>
      </c>
      <c r="C25" s="16" t="s">
        <v>50</v>
      </c>
      <c r="D25" s="16" t="s">
        <v>57</v>
      </c>
      <c r="E25" s="16">
        <v>1</v>
      </c>
      <c r="F25" s="16">
        <v>3</v>
      </c>
      <c r="G25" s="16" t="s">
        <v>55</v>
      </c>
      <c r="H25" s="16">
        <v>2950</v>
      </c>
      <c r="I25" s="16">
        <v>444</v>
      </c>
      <c r="J25" s="16">
        <v>753</v>
      </c>
      <c r="K25" s="16">
        <v>453</v>
      </c>
      <c r="L25" s="16">
        <v>0</v>
      </c>
      <c r="M25" s="16">
        <v>447</v>
      </c>
      <c r="N25" s="16">
        <v>5047</v>
      </c>
      <c r="O25" s="16">
        <v>50</v>
      </c>
      <c r="P25" s="12" t="str">
        <f t="shared" si="0"/>
        <v>Prime</v>
      </c>
      <c r="Q25" s="12" t="str">
        <f t="shared" si="1"/>
        <v>Unimpressed</v>
      </c>
      <c r="R25" s="12" t="str">
        <f t="shared" si="2"/>
        <v>Premium</v>
      </c>
    </row>
    <row r="26" spans="1:18" ht="19.899999999999999" customHeight="1">
      <c r="A26" s="16">
        <v>25</v>
      </c>
      <c r="B26" s="16">
        <v>36</v>
      </c>
      <c r="C26" s="16" t="s">
        <v>50</v>
      </c>
      <c r="D26" s="16" t="s">
        <v>57</v>
      </c>
      <c r="E26" s="16">
        <v>4</v>
      </c>
      <c r="F26" s="16">
        <v>6</v>
      </c>
      <c r="G26" s="16" t="s">
        <v>52</v>
      </c>
      <c r="H26" s="16">
        <v>1950</v>
      </c>
      <c r="I26" s="16">
        <v>148</v>
      </c>
      <c r="J26" s="16">
        <v>1056</v>
      </c>
      <c r="K26" s="16">
        <v>604</v>
      </c>
      <c r="L26" s="16">
        <v>357</v>
      </c>
      <c r="M26" s="16">
        <v>196</v>
      </c>
      <c r="N26" s="16">
        <v>4311</v>
      </c>
      <c r="O26" s="16">
        <v>57</v>
      </c>
      <c r="P26" s="12" t="str">
        <f t="shared" si="0"/>
        <v>Core</v>
      </c>
      <c r="Q26" s="12" t="str">
        <f t="shared" si="1"/>
        <v>Unimpressed</v>
      </c>
      <c r="R26" s="12" t="str">
        <f t="shared" si="2"/>
        <v>High</v>
      </c>
    </row>
    <row r="27" spans="1:18" ht="19.899999999999999" customHeight="1">
      <c r="A27" s="16">
        <v>26</v>
      </c>
      <c r="B27" s="16">
        <v>52</v>
      </c>
      <c r="C27" s="16" t="s">
        <v>50</v>
      </c>
      <c r="D27" s="16" t="s">
        <v>57</v>
      </c>
      <c r="E27" s="16">
        <v>3</v>
      </c>
      <c r="F27" s="16">
        <v>5</v>
      </c>
      <c r="G27" s="16" t="s">
        <v>58</v>
      </c>
      <c r="H27" s="16">
        <v>1150</v>
      </c>
      <c r="I27" s="16">
        <v>148</v>
      </c>
      <c r="J27" s="16">
        <v>630</v>
      </c>
      <c r="K27" s="16">
        <v>0</v>
      </c>
      <c r="L27" s="16">
        <v>357</v>
      </c>
      <c r="M27" s="16">
        <v>447</v>
      </c>
      <c r="N27" s="16">
        <v>2732</v>
      </c>
      <c r="O27" s="16">
        <v>68</v>
      </c>
      <c r="P27" s="12" t="str">
        <f t="shared" si="0"/>
        <v>Prime</v>
      </c>
      <c r="Q27" s="12" t="str">
        <f t="shared" si="1"/>
        <v>Acceptable</v>
      </c>
      <c r="R27" s="12" t="str">
        <f t="shared" si="2"/>
        <v>Medium</v>
      </c>
    </row>
    <row r="28" spans="1:18" ht="19.899999999999999" customHeight="1">
      <c r="A28" s="16">
        <v>27</v>
      </c>
      <c r="B28" s="16">
        <v>42</v>
      </c>
      <c r="C28" s="16" t="s">
        <v>56</v>
      </c>
      <c r="D28" s="16" t="s">
        <v>51</v>
      </c>
      <c r="E28" s="16">
        <v>0</v>
      </c>
      <c r="F28" s="16">
        <v>2</v>
      </c>
      <c r="G28" s="16" t="s">
        <v>58</v>
      </c>
      <c r="H28" s="16">
        <v>1150</v>
      </c>
      <c r="I28" s="16">
        <v>696</v>
      </c>
      <c r="J28" s="16">
        <v>252</v>
      </c>
      <c r="K28" s="16">
        <v>501</v>
      </c>
      <c r="L28" s="16">
        <v>501</v>
      </c>
      <c r="M28" s="16">
        <v>0</v>
      </c>
      <c r="N28" s="16">
        <v>3100</v>
      </c>
      <c r="O28" s="16">
        <v>54</v>
      </c>
      <c r="P28" s="12" t="str">
        <f t="shared" si="0"/>
        <v>Core</v>
      </c>
      <c r="Q28" s="12" t="str">
        <f t="shared" si="1"/>
        <v>Unimpressed</v>
      </c>
      <c r="R28" s="12" t="str">
        <f t="shared" si="2"/>
        <v>Medium</v>
      </c>
    </row>
    <row r="29" spans="1:18" ht="19.899999999999999" customHeight="1">
      <c r="A29" s="16">
        <v>28</v>
      </c>
      <c r="B29" s="16">
        <v>30</v>
      </c>
      <c r="C29" s="16" t="s">
        <v>53</v>
      </c>
      <c r="D29" s="16" t="s">
        <v>51</v>
      </c>
      <c r="E29" s="16">
        <v>0</v>
      </c>
      <c r="F29" s="16">
        <v>2</v>
      </c>
      <c r="G29" s="16" t="s">
        <v>60</v>
      </c>
      <c r="H29" s="16">
        <v>500</v>
      </c>
      <c r="I29" s="16">
        <v>348</v>
      </c>
      <c r="J29" s="16">
        <v>168</v>
      </c>
      <c r="K29" s="16">
        <v>238</v>
      </c>
      <c r="L29" s="16">
        <v>549</v>
      </c>
      <c r="M29" s="16">
        <v>392</v>
      </c>
      <c r="N29" s="16">
        <v>2195</v>
      </c>
      <c r="O29" s="16">
        <v>73</v>
      </c>
      <c r="P29" s="12" t="str">
        <f t="shared" si="0"/>
        <v>Core</v>
      </c>
      <c r="Q29" s="12" t="str">
        <f t="shared" si="1"/>
        <v>Happy</v>
      </c>
      <c r="R29" s="12" t="str">
        <f t="shared" si="2"/>
        <v>Budget</v>
      </c>
    </row>
    <row r="30" spans="1:18" ht="19.899999999999999" customHeight="1">
      <c r="A30" s="16">
        <v>29</v>
      </c>
      <c r="B30" s="16">
        <v>54</v>
      </c>
      <c r="C30" s="16" t="s">
        <v>50</v>
      </c>
      <c r="D30" s="16" t="s">
        <v>51</v>
      </c>
      <c r="E30" s="16">
        <v>0</v>
      </c>
      <c r="F30" s="16">
        <v>2</v>
      </c>
      <c r="G30" s="16" t="s">
        <v>58</v>
      </c>
      <c r="H30" s="16">
        <v>1150</v>
      </c>
      <c r="I30" s="16">
        <v>0</v>
      </c>
      <c r="J30" s="16">
        <v>252</v>
      </c>
      <c r="K30" s="16">
        <v>755</v>
      </c>
      <c r="L30" s="16">
        <v>119</v>
      </c>
      <c r="M30" s="16">
        <v>298</v>
      </c>
      <c r="N30" s="16">
        <v>2574</v>
      </c>
      <c r="O30" s="16">
        <v>78</v>
      </c>
      <c r="P30" s="12" t="str">
        <f t="shared" si="0"/>
        <v>Prime</v>
      </c>
      <c r="Q30" s="12" t="str">
        <f t="shared" si="1"/>
        <v>Happy</v>
      </c>
      <c r="R30" s="12" t="str">
        <f t="shared" si="2"/>
        <v>Medium</v>
      </c>
    </row>
    <row r="31" spans="1:18" ht="19.899999999999999" customHeight="1">
      <c r="A31" s="16">
        <v>30</v>
      </c>
      <c r="B31" s="16">
        <v>27</v>
      </c>
      <c r="C31" s="16" t="s">
        <v>53</v>
      </c>
      <c r="D31" s="16" t="s">
        <v>59</v>
      </c>
      <c r="E31" s="16">
        <v>0</v>
      </c>
      <c r="F31" s="16">
        <v>3</v>
      </c>
      <c r="G31" s="16" t="s">
        <v>58</v>
      </c>
      <c r="H31" s="16">
        <v>1150</v>
      </c>
      <c r="I31" s="16">
        <v>186</v>
      </c>
      <c r="J31" s="16">
        <v>378</v>
      </c>
      <c r="K31" s="16">
        <v>238</v>
      </c>
      <c r="L31" s="16">
        <v>366</v>
      </c>
      <c r="M31" s="16">
        <v>294</v>
      </c>
      <c r="N31" s="16">
        <v>2612</v>
      </c>
      <c r="O31" s="16">
        <v>88</v>
      </c>
      <c r="P31" s="12" t="str">
        <f t="shared" si="0"/>
        <v>Young</v>
      </c>
      <c r="Q31" s="12" t="str">
        <f t="shared" si="1"/>
        <v>Delighted</v>
      </c>
      <c r="R31" s="12" t="str">
        <f t="shared" si="2"/>
        <v>Medium</v>
      </c>
    </row>
    <row r="32" spans="1:18" ht="19.899999999999999" customHeight="1">
      <c r="A32" s="16">
        <v>31</v>
      </c>
      <c r="B32" s="16">
        <v>35</v>
      </c>
      <c r="C32" s="16" t="s">
        <v>53</v>
      </c>
      <c r="D32" s="16" t="s">
        <v>57</v>
      </c>
      <c r="E32" s="16">
        <v>6</v>
      </c>
      <c r="F32" s="16">
        <v>8</v>
      </c>
      <c r="G32" s="16" t="s">
        <v>58</v>
      </c>
      <c r="H32" s="16">
        <v>1150</v>
      </c>
      <c r="I32" s="16">
        <v>0</v>
      </c>
      <c r="J32" s="16">
        <v>1008</v>
      </c>
      <c r="K32" s="16">
        <v>0</v>
      </c>
      <c r="L32" s="16">
        <v>915</v>
      </c>
      <c r="M32" s="16">
        <v>196</v>
      </c>
      <c r="N32" s="16">
        <v>3269</v>
      </c>
      <c r="O32" s="16">
        <v>50</v>
      </c>
      <c r="P32" s="12" t="str">
        <f t="shared" si="0"/>
        <v>Core</v>
      </c>
      <c r="Q32" s="12" t="str">
        <f t="shared" si="1"/>
        <v>Unimpressed</v>
      </c>
      <c r="R32" s="12" t="str">
        <f t="shared" si="2"/>
        <v>Medium</v>
      </c>
    </row>
    <row r="33" spans="1:18" ht="19.899999999999999" customHeight="1">
      <c r="A33" s="16">
        <v>32</v>
      </c>
      <c r="B33" s="16">
        <v>79</v>
      </c>
      <c r="C33" s="16" t="s">
        <v>53</v>
      </c>
      <c r="D33" s="16" t="s">
        <v>51</v>
      </c>
      <c r="E33" s="16">
        <v>0</v>
      </c>
      <c r="F33" s="16">
        <v>2</v>
      </c>
      <c r="G33" s="16" t="s">
        <v>55</v>
      </c>
      <c r="H33" s="16">
        <v>2950</v>
      </c>
      <c r="I33" s="16">
        <v>0</v>
      </c>
      <c r="J33" s="16">
        <v>502</v>
      </c>
      <c r="K33" s="16">
        <v>238</v>
      </c>
      <c r="L33" s="16">
        <v>366</v>
      </c>
      <c r="M33" s="16">
        <v>447</v>
      </c>
      <c r="N33" s="16">
        <v>4503</v>
      </c>
      <c r="O33" s="16">
        <v>50</v>
      </c>
      <c r="P33" s="12" t="str">
        <f t="shared" si="0"/>
        <v>Senior</v>
      </c>
      <c r="Q33" s="12" t="str">
        <f t="shared" si="1"/>
        <v>Unimpressed</v>
      </c>
      <c r="R33" s="12" t="str">
        <f t="shared" si="2"/>
        <v>Premium</v>
      </c>
    </row>
    <row r="34" spans="1:18" ht="19.899999999999999" customHeight="1">
      <c r="A34" s="16">
        <v>33</v>
      </c>
      <c r="B34" s="16">
        <v>66</v>
      </c>
      <c r="C34" s="16" t="s">
        <v>53</v>
      </c>
      <c r="D34" s="16" t="s">
        <v>57</v>
      </c>
      <c r="E34" s="16">
        <v>1</v>
      </c>
      <c r="F34" s="16">
        <v>3</v>
      </c>
      <c r="G34" s="16" t="s">
        <v>58</v>
      </c>
      <c r="H34" s="16">
        <v>1150</v>
      </c>
      <c r="I34" s="16">
        <v>296</v>
      </c>
      <c r="J34" s="16">
        <v>378</v>
      </c>
      <c r="K34" s="16">
        <v>119</v>
      </c>
      <c r="L34" s="16">
        <v>183</v>
      </c>
      <c r="M34" s="16">
        <v>151</v>
      </c>
      <c r="N34" s="16">
        <v>2277</v>
      </c>
      <c r="O34" s="16">
        <v>71</v>
      </c>
      <c r="P34" s="12" t="str">
        <f t="shared" si="0"/>
        <v>Mature</v>
      </c>
      <c r="Q34" s="12" t="str">
        <f t="shared" si="1"/>
        <v>Happy</v>
      </c>
      <c r="R34" s="12" t="str">
        <f t="shared" si="2"/>
        <v>Budget</v>
      </c>
    </row>
    <row r="35" spans="1:18" ht="19.899999999999999" customHeight="1">
      <c r="A35" s="16">
        <v>34</v>
      </c>
      <c r="B35" s="16">
        <v>21</v>
      </c>
      <c r="C35" s="16" t="s">
        <v>50</v>
      </c>
      <c r="D35" s="16" t="s">
        <v>59</v>
      </c>
      <c r="E35" s="16">
        <v>0</v>
      </c>
      <c r="F35" s="16">
        <v>8</v>
      </c>
      <c r="G35" s="16" t="s">
        <v>60</v>
      </c>
      <c r="H35" s="16">
        <v>500</v>
      </c>
      <c r="I35" s="16">
        <v>93</v>
      </c>
      <c r="J35" s="16">
        <v>672</v>
      </c>
      <c r="K35" s="16">
        <v>453</v>
      </c>
      <c r="L35" s="16">
        <v>238</v>
      </c>
      <c r="M35" s="16">
        <v>441</v>
      </c>
      <c r="N35" s="16">
        <v>2397</v>
      </c>
      <c r="O35" s="16">
        <v>48</v>
      </c>
      <c r="P35" s="12" t="str">
        <f t="shared" si="0"/>
        <v>Young</v>
      </c>
      <c r="Q35" s="12" t="str">
        <f t="shared" si="1"/>
        <v>Unhappy</v>
      </c>
      <c r="R35" s="12" t="str">
        <f t="shared" si="2"/>
        <v>Budget</v>
      </c>
    </row>
    <row r="36" spans="1:18" ht="19.899999999999999" customHeight="1">
      <c r="A36" s="16">
        <v>35</v>
      </c>
      <c r="B36" s="16">
        <v>48</v>
      </c>
      <c r="C36" s="16" t="s">
        <v>50</v>
      </c>
      <c r="D36" s="16" t="s">
        <v>57</v>
      </c>
      <c r="E36" s="16">
        <v>4</v>
      </c>
      <c r="F36" s="16">
        <v>6</v>
      </c>
      <c r="G36" s="16" t="s">
        <v>55</v>
      </c>
      <c r="H36" s="16">
        <v>2950</v>
      </c>
      <c r="I36" s="16">
        <v>148</v>
      </c>
      <c r="J36" s="16">
        <v>1506</v>
      </c>
      <c r="K36" s="16">
        <v>755</v>
      </c>
      <c r="L36" s="16">
        <v>238</v>
      </c>
      <c r="M36" s="16">
        <v>0</v>
      </c>
      <c r="N36" s="16">
        <v>5597</v>
      </c>
      <c r="O36" s="16">
        <v>81</v>
      </c>
      <c r="P36" s="12" t="str">
        <f t="shared" si="0"/>
        <v>Prime</v>
      </c>
      <c r="Q36" s="12" t="str">
        <f t="shared" si="1"/>
        <v>Delighted</v>
      </c>
      <c r="R36" s="12" t="str">
        <f t="shared" si="2"/>
        <v>Premium</v>
      </c>
    </row>
    <row r="37" spans="1:18" ht="19.899999999999999" customHeight="1">
      <c r="A37" s="16">
        <v>36</v>
      </c>
      <c r="B37" s="16">
        <v>47</v>
      </c>
      <c r="C37" s="16" t="s">
        <v>50</v>
      </c>
      <c r="D37" s="16" t="s">
        <v>59</v>
      </c>
      <c r="E37" s="16">
        <v>0</v>
      </c>
      <c r="F37" s="16">
        <v>5</v>
      </c>
      <c r="G37" s="16" t="s">
        <v>58</v>
      </c>
      <c r="H37" s="16">
        <v>1150</v>
      </c>
      <c r="I37" s="16">
        <v>93</v>
      </c>
      <c r="J37" s="16">
        <v>630</v>
      </c>
      <c r="K37" s="16">
        <v>755</v>
      </c>
      <c r="L37" s="16">
        <v>0</v>
      </c>
      <c r="M37" s="16">
        <v>0</v>
      </c>
      <c r="N37" s="16">
        <v>2628</v>
      </c>
      <c r="O37" s="16">
        <v>47</v>
      </c>
      <c r="P37" s="12" t="str">
        <f t="shared" si="0"/>
        <v>Prime</v>
      </c>
      <c r="Q37" s="12" t="str">
        <f t="shared" si="1"/>
        <v>Unhappy</v>
      </c>
      <c r="R37" s="12" t="str">
        <f t="shared" si="2"/>
        <v>Medium</v>
      </c>
    </row>
    <row r="38" spans="1:18" ht="19.899999999999999" customHeight="1">
      <c r="A38" s="16">
        <v>37</v>
      </c>
      <c r="B38" s="16">
        <v>64</v>
      </c>
      <c r="C38" s="16" t="s">
        <v>53</v>
      </c>
      <c r="D38" s="16" t="s">
        <v>57</v>
      </c>
      <c r="E38" s="16">
        <v>4</v>
      </c>
      <c r="F38" s="16">
        <v>6</v>
      </c>
      <c r="G38" s="16" t="s">
        <v>58</v>
      </c>
      <c r="H38" s="16">
        <v>1150</v>
      </c>
      <c r="I38" s="16">
        <v>0</v>
      </c>
      <c r="J38" s="16">
        <v>756</v>
      </c>
      <c r="K38" s="16">
        <v>0</v>
      </c>
      <c r="L38" s="16">
        <v>0</v>
      </c>
      <c r="M38" s="16">
        <v>302</v>
      </c>
      <c r="N38" s="16">
        <v>2208</v>
      </c>
      <c r="O38" s="16">
        <v>47</v>
      </c>
      <c r="P38" s="12" t="str">
        <f t="shared" si="0"/>
        <v>Mature</v>
      </c>
      <c r="Q38" s="12" t="str">
        <f t="shared" si="1"/>
        <v>Unhappy</v>
      </c>
      <c r="R38" s="12" t="str">
        <f t="shared" si="2"/>
        <v>Budget</v>
      </c>
    </row>
    <row r="39" spans="1:18" ht="19.899999999999999" customHeight="1">
      <c r="A39" s="16">
        <v>38</v>
      </c>
      <c r="B39" s="16">
        <v>37</v>
      </c>
      <c r="C39" s="16" t="s">
        <v>53</v>
      </c>
      <c r="D39" s="16" t="s">
        <v>57</v>
      </c>
      <c r="E39" s="16">
        <v>4</v>
      </c>
      <c r="F39" s="16">
        <v>6</v>
      </c>
      <c r="G39" s="16" t="s">
        <v>52</v>
      </c>
      <c r="H39" s="16">
        <v>1950</v>
      </c>
      <c r="I39" s="16">
        <v>592</v>
      </c>
      <c r="J39" s="16">
        <v>1056</v>
      </c>
      <c r="K39" s="16">
        <v>238</v>
      </c>
      <c r="L39" s="16">
        <v>0</v>
      </c>
      <c r="M39" s="16">
        <v>0</v>
      </c>
      <c r="N39" s="16">
        <v>3836</v>
      </c>
      <c r="O39" s="16">
        <v>52</v>
      </c>
      <c r="P39" s="12" t="str">
        <f t="shared" si="0"/>
        <v>Core</v>
      </c>
      <c r="Q39" s="12" t="str">
        <f t="shared" si="1"/>
        <v>Unimpressed</v>
      </c>
      <c r="R39" s="12" t="str">
        <f t="shared" si="2"/>
        <v>High</v>
      </c>
    </row>
    <row r="40" spans="1:18" ht="19.899999999999999" customHeight="1">
      <c r="A40" s="16">
        <v>39</v>
      </c>
      <c r="B40" s="16">
        <v>30</v>
      </c>
      <c r="C40" s="16" t="s">
        <v>50</v>
      </c>
      <c r="D40" s="16" t="s">
        <v>54</v>
      </c>
      <c r="E40" s="16">
        <v>0</v>
      </c>
      <c r="F40" s="16">
        <v>1</v>
      </c>
      <c r="G40" s="16" t="s">
        <v>58</v>
      </c>
      <c r="H40" s="16">
        <v>1150</v>
      </c>
      <c r="I40" s="16">
        <v>0</v>
      </c>
      <c r="J40" s="16">
        <v>126</v>
      </c>
      <c r="K40" s="16">
        <v>453</v>
      </c>
      <c r="L40" s="16">
        <v>357</v>
      </c>
      <c r="M40" s="16">
        <v>196</v>
      </c>
      <c r="N40" s="16">
        <v>2282</v>
      </c>
      <c r="O40" s="16">
        <v>63</v>
      </c>
      <c r="P40" s="12" t="str">
        <f t="shared" si="0"/>
        <v>Core</v>
      </c>
      <c r="Q40" s="12" t="str">
        <f t="shared" si="1"/>
        <v>Acceptable</v>
      </c>
      <c r="R40" s="12" t="str">
        <f t="shared" si="2"/>
        <v>Budget</v>
      </c>
    </row>
    <row r="41" spans="1:18" ht="19.899999999999999" customHeight="1">
      <c r="A41" s="16">
        <v>40</v>
      </c>
      <c r="B41" s="16">
        <v>45</v>
      </c>
      <c r="C41" s="16" t="s">
        <v>53</v>
      </c>
      <c r="D41" s="16" t="s">
        <v>51</v>
      </c>
      <c r="E41" s="16">
        <v>0</v>
      </c>
      <c r="F41" s="16">
        <v>2</v>
      </c>
      <c r="G41" s="16" t="s">
        <v>60</v>
      </c>
      <c r="H41" s="16">
        <v>500</v>
      </c>
      <c r="I41" s="16">
        <v>522</v>
      </c>
      <c r="J41" s="16">
        <v>168</v>
      </c>
      <c r="K41" s="16">
        <v>238</v>
      </c>
      <c r="L41" s="16">
        <v>732</v>
      </c>
      <c r="M41" s="16">
        <v>392</v>
      </c>
      <c r="N41" s="16">
        <v>2552</v>
      </c>
      <c r="O41" s="16">
        <v>79</v>
      </c>
      <c r="P41" s="12" t="str">
        <f t="shared" si="0"/>
        <v>Core</v>
      </c>
      <c r="Q41" s="12" t="str">
        <f t="shared" si="1"/>
        <v>Happy</v>
      </c>
      <c r="R41" s="12" t="str">
        <f t="shared" si="2"/>
        <v>Medium</v>
      </c>
    </row>
    <row r="42" spans="1:18" ht="19.899999999999999" customHeight="1">
      <c r="A42" s="16">
        <v>41</v>
      </c>
      <c r="B42" s="16">
        <v>39</v>
      </c>
      <c r="C42" s="16" t="s">
        <v>53</v>
      </c>
      <c r="D42" s="16" t="s">
        <v>54</v>
      </c>
      <c r="E42" s="16">
        <v>0</v>
      </c>
      <c r="F42" s="16">
        <v>1</v>
      </c>
      <c r="G42" s="16" t="s">
        <v>58</v>
      </c>
      <c r="H42" s="16">
        <v>1150</v>
      </c>
      <c r="I42" s="16">
        <v>452</v>
      </c>
      <c r="J42" s="16">
        <v>126</v>
      </c>
      <c r="K42" s="16">
        <v>119</v>
      </c>
      <c r="L42" s="16">
        <v>366</v>
      </c>
      <c r="M42" s="16">
        <v>0</v>
      </c>
      <c r="N42" s="16">
        <v>2213</v>
      </c>
      <c r="O42" s="16">
        <v>93</v>
      </c>
      <c r="P42" s="12" t="str">
        <f t="shared" si="0"/>
        <v>Core</v>
      </c>
      <c r="Q42" s="12" t="str">
        <f t="shared" si="1"/>
        <v>Delighted</v>
      </c>
      <c r="R42" s="12" t="str">
        <f t="shared" si="2"/>
        <v>Budget</v>
      </c>
    </row>
    <row r="43" spans="1:18" ht="19.899999999999999" customHeight="1">
      <c r="A43" s="16">
        <v>42</v>
      </c>
      <c r="B43" s="16">
        <v>39</v>
      </c>
      <c r="C43" s="16" t="s">
        <v>56</v>
      </c>
      <c r="D43" s="16" t="s">
        <v>51</v>
      </c>
      <c r="E43" s="16">
        <v>0</v>
      </c>
      <c r="F43" s="16">
        <v>2</v>
      </c>
      <c r="G43" s="16" t="s">
        <v>60</v>
      </c>
      <c r="H43" s="16">
        <v>500</v>
      </c>
      <c r="I43" s="16">
        <v>0</v>
      </c>
      <c r="J43" s="16">
        <v>168</v>
      </c>
      <c r="K43" s="16">
        <v>501</v>
      </c>
      <c r="L43" s="16">
        <v>167</v>
      </c>
      <c r="M43" s="16">
        <v>196</v>
      </c>
      <c r="N43" s="16">
        <v>1532</v>
      </c>
      <c r="O43" s="16">
        <v>77</v>
      </c>
      <c r="P43" s="12" t="str">
        <f t="shared" si="0"/>
        <v>Core</v>
      </c>
      <c r="Q43" s="12" t="str">
        <f t="shared" si="1"/>
        <v>Happy</v>
      </c>
      <c r="R43" s="12" t="str">
        <f t="shared" si="2"/>
        <v>Budget</v>
      </c>
    </row>
    <row r="44" spans="1:18" ht="19.899999999999999" customHeight="1">
      <c r="A44" s="16">
        <v>43</v>
      </c>
      <c r="B44" s="16">
        <v>67</v>
      </c>
      <c r="C44" s="16" t="s">
        <v>50</v>
      </c>
      <c r="D44" s="16" t="s">
        <v>51</v>
      </c>
      <c r="E44" s="16">
        <v>0</v>
      </c>
      <c r="F44" s="16">
        <v>2</v>
      </c>
      <c r="G44" s="16" t="s">
        <v>58</v>
      </c>
      <c r="H44" s="16">
        <v>1150</v>
      </c>
      <c r="I44" s="16">
        <v>348</v>
      </c>
      <c r="J44" s="16">
        <v>252</v>
      </c>
      <c r="K44" s="16">
        <v>755</v>
      </c>
      <c r="L44" s="16">
        <v>0</v>
      </c>
      <c r="M44" s="16">
        <v>0</v>
      </c>
      <c r="N44" s="16">
        <v>2505</v>
      </c>
      <c r="O44" s="16">
        <v>82</v>
      </c>
      <c r="P44" s="12" t="str">
        <f t="shared" si="0"/>
        <v>Mature</v>
      </c>
      <c r="Q44" s="12" t="str">
        <f t="shared" si="1"/>
        <v>Delighted</v>
      </c>
      <c r="R44" s="12" t="str">
        <f t="shared" si="2"/>
        <v>Medium</v>
      </c>
    </row>
    <row r="45" spans="1:18" ht="19.899999999999999" customHeight="1">
      <c r="A45" s="16">
        <v>44</v>
      </c>
      <c r="B45" s="16">
        <v>44</v>
      </c>
      <c r="C45" s="16" t="s">
        <v>50</v>
      </c>
      <c r="D45" s="16" t="s">
        <v>51</v>
      </c>
      <c r="E45" s="16">
        <v>0</v>
      </c>
      <c r="F45" s="16">
        <v>2</v>
      </c>
      <c r="G45" s="16" t="s">
        <v>58</v>
      </c>
      <c r="H45" s="16">
        <v>1150</v>
      </c>
      <c r="I45" s="16">
        <v>0</v>
      </c>
      <c r="J45" s="16">
        <v>252</v>
      </c>
      <c r="K45" s="16">
        <v>755</v>
      </c>
      <c r="L45" s="16">
        <v>0</v>
      </c>
      <c r="M45" s="16">
        <v>392</v>
      </c>
      <c r="N45" s="16">
        <v>2549</v>
      </c>
      <c r="O45" s="16">
        <v>63</v>
      </c>
      <c r="P45" s="12" t="str">
        <f t="shared" si="0"/>
        <v>Core</v>
      </c>
      <c r="Q45" s="12" t="str">
        <f t="shared" si="1"/>
        <v>Acceptable</v>
      </c>
      <c r="R45" s="12" t="str">
        <f t="shared" si="2"/>
        <v>Medium</v>
      </c>
    </row>
    <row r="46" spans="1:18" ht="19.899999999999999" customHeight="1">
      <c r="A46" s="16">
        <v>45</v>
      </c>
      <c r="B46" s="16">
        <v>46</v>
      </c>
      <c r="C46" s="16" t="s">
        <v>50</v>
      </c>
      <c r="D46" s="16" t="s">
        <v>57</v>
      </c>
      <c r="E46" s="16">
        <v>1</v>
      </c>
      <c r="F46" s="16">
        <v>3</v>
      </c>
      <c r="G46" s="16" t="s">
        <v>58</v>
      </c>
      <c r="H46" s="16">
        <v>1150</v>
      </c>
      <c r="I46" s="16">
        <v>296</v>
      </c>
      <c r="J46" s="16">
        <v>378</v>
      </c>
      <c r="K46" s="16">
        <v>0</v>
      </c>
      <c r="L46" s="16">
        <v>119</v>
      </c>
      <c r="M46" s="16">
        <v>447</v>
      </c>
      <c r="N46" s="16">
        <v>2390</v>
      </c>
      <c r="O46" s="16">
        <v>71</v>
      </c>
      <c r="P46" s="12" t="str">
        <f t="shared" si="0"/>
        <v>Prime</v>
      </c>
      <c r="Q46" s="12" t="str">
        <f t="shared" si="1"/>
        <v>Happy</v>
      </c>
      <c r="R46" s="12" t="str">
        <f t="shared" si="2"/>
        <v>Budget</v>
      </c>
    </row>
    <row r="47" spans="1:18" ht="19.899999999999999" customHeight="1">
      <c r="A47" s="16">
        <v>46</v>
      </c>
      <c r="B47" s="16">
        <v>68</v>
      </c>
      <c r="C47" s="16" t="s">
        <v>53</v>
      </c>
      <c r="D47" s="16" t="s">
        <v>57</v>
      </c>
      <c r="E47" s="16">
        <v>2</v>
      </c>
      <c r="F47" s="16">
        <v>4</v>
      </c>
      <c r="G47" s="16" t="s">
        <v>58</v>
      </c>
      <c r="H47" s="16">
        <v>1150</v>
      </c>
      <c r="I47" s="16">
        <v>148</v>
      </c>
      <c r="J47" s="16">
        <v>504</v>
      </c>
      <c r="K47" s="16">
        <v>0</v>
      </c>
      <c r="L47" s="16">
        <v>366</v>
      </c>
      <c r="M47" s="16">
        <v>0</v>
      </c>
      <c r="N47" s="16">
        <v>2168</v>
      </c>
      <c r="O47" s="16">
        <v>65</v>
      </c>
      <c r="P47" s="12" t="str">
        <f t="shared" si="0"/>
        <v>Mature</v>
      </c>
      <c r="Q47" s="12" t="str">
        <f t="shared" si="1"/>
        <v>Acceptable</v>
      </c>
      <c r="R47" s="12" t="str">
        <f t="shared" si="2"/>
        <v>Budget</v>
      </c>
    </row>
    <row r="48" spans="1:18" ht="19.899999999999999" customHeight="1">
      <c r="A48" s="16">
        <v>47</v>
      </c>
      <c r="B48" s="16">
        <v>75</v>
      </c>
      <c r="C48" s="16" t="s">
        <v>53</v>
      </c>
      <c r="D48" s="16" t="s">
        <v>51</v>
      </c>
      <c r="E48" s="16">
        <v>0</v>
      </c>
      <c r="F48" s="16">
        <v>2</v>
      </c>
      <c r="G48" s="16" t="s">
        <v>52</v>
      </c>
      <c r="H48" s="16">
        <v>1950</v>
      </c>
      <c r="I48" s="16">
        <v>174</v>
      </c>
      <c r="J48" s="16">
        <v>352</v>
      </c>
      <c r="K48" s="16">
        <v>238</v>
      </c>
      <c r="L48" s="16">
        <v>915</v>
      </c>
      <c r="M48" s="16">
        <v>447</v>
      </c>
      <c r="N48" s="16">
        <v>4076</v>
      </c>
      <c r="O48" s="16">
        <v>96</v>
      </c>
      <c r="P48" s="12" t="str">
        <f t="shared" si="0"/>
        <v>Senior</v>
      </c>
      <c r="Q48" s="12" t="str">
        <f t="shared" si="1"/>
        <v>Delighted</v>
      </c>
      <c r="R48" s="12" t="str">
        <f t="shared" si="2"/>
        <v>High</v>
      </c>
    </row>
    <row r="49" spans="1:18" ht="19.899999999999999" customHeight="1">
      <c r="A49" s="16">
        <v>48</v>
      </c>
      <c r="B49" s="16">
        <v>76</v>
      </c>
      <c r="C49" s="16" t="s">
        <v>53</v>
      </c>
      <c r="D49" s="16" t="s">
        <v>54</v>
      </c>
      <c r="E49" s="16">
        <v>0</v>
      </c>
      <c r="F49" s="16">
        <v>1</v>
      </c>
      <c r="G49" s="16" t="s">
        <v>55</v>
      </c>
      <c r="H49" s="16">
        <v>2950</v>
      </c>
      <c r="I49" s="16">
        <v>0</v>
      </c>
      <c r="J49" s="16">
        <v>251</v>
      </c>
      <c r="K49" s="16">
        <v>357</v>
      </c>
      <c r="L49" s="16">
        <v>183</v>
      </c>
      <c r="M49" s="16">
        <v>298</v>
      </c>
      <c r="N49" s="16">
        <v>4039</v>
      </c>
      <c r="O49" s="16">
        <v>80</v>
      </c>
      <c r="P49" s="12" t="str">
        <f t="shared" si="0"/>
        <v>Senior</v>
      </c>
      <c r="Q49" s="12" t="str">
        <f t="shared" si="1"/>
        <v>Delighted</v>
      </c>
      <c r="R49" s="12" t="str">
        <f t="shared" si="2"/>
        <v>High</v>
      </c>
    </row>
    <row r="50" spans="1:18" ht="19.899999999999999" customHeight="1">
      <c r="A50" s="16">
        <v>49</v>
      </c>
      <c r="B50" s="16">
        <v>55</v>
      </c>
      <c r="C50" s="16" t="s">
        <v>50</v>
      </c>
      <c r="D50" s="16" t="s">
        <v>51</v>
      </c>
      <c r="E50" s="16">
        <v>0</v>
      </c>
      <c r="F50" s="16">
        <v>2</v>
      </c>
      <c r="G50" s="16" t="s">
        <v>58</v>
      </c>
      <c r="H50" s="16">
        <v>1150</v>
      </c>
      <c r="I50" s="16">
        <v>696</v>
      </c>
      <c r="J50" s="16">
        <v>252</v>
      </c>
      <c r="K50" s="16">
        <v>302</v>
      </c>
      <c r="L50" s="16">
        <v>0</v>
      </c>
      <c r="M50" s="16">
        <v>149</v>
      </c>
      <c r="N50" s="16">
        <v>2549</v>
      </c>
      <c r="O50" s="16">
        <v>58</v>
      </c>
      <c r="P50" s="12" t="str">
        <f t="shared" si="0"/>
        <v>Prime</v>
      </c>
      <c r="Q50" s="12" t="str">
        <f t="shared" si="1"/>
        <v>Unimpressed</v>
      </c>
      <c r="R50" s="12" t="str">
        <f t="shared" si="2"/>
        <v>Medium</v>
      </c>
    </row>
    <row r="51" spans="1:18" ht="19.899999999999999" customHeight="1">
      <c r="A51" s="16">
        <v>50</v>
      </c>
      <c r="B51" s="16">
        <v>39</v>
      </c>
      <c r="C51" s="16" t="s">
        <v>56</v>
      </c>
      <c r="D51" s="16" t="s">
        <v>59</v>
      </c>
      <c r="E51" s="16">
        <v>0</v>
      </c>
      <c r="F51" s="16">
        <v>3</v>
      </c>
      <c r="G51" s="16" t="s">
        <v>58</v>
      </c>
      <c r="H51" s="16">
        <v>1150</v>
      </c>
      <c r="I51" s="16">
        <v>0</v>
      </c>
      <c r="J51" s="16">
        <v>378</v>
      </c>
      <c r="K51" s="16">
        <v>167</v>
      </c>
      <c r="L51" s="16">
        <v>167</v>
      </c>
      <c r="M51" s="16">
        <v>196</v>
      </c>
      <c r="N51" s="16">
        <v>2058</v>
      </c>
      <c r="O51" s="16">
        <v>75</v>
      </c>
      <c r="P51" s="12" t="str">
        <f t="shared" si="0"/>
        <v>Core</v>
      </c>
      <c r="Q51" s="12" t="str">
        <f t="shared" si="1"/>
        <v>Happy</v>
      </c>
      <c r="R51" s="12" t="str">
        <f t="shared" si="2"/>
        <v>Budget</v>
      </c>
    </row>
    <row r="52" spans="1:18" ht="19.899999999999999" customHeight="1">
      <c r="A52" s="16">
        <v>51</v>
      </c>
      <c r="B52" s="16">
        <v>53</v>
      </c>
      <c r="C52" s="16" t="s">
        <v>53</v>
      </c>
      <c r="D52" s="16" t="s">
        <v>57</v>
      </c>
      <c r="E52" s="16">
        <v>1</v>
      </c>
      <c r="F52" s="16">
        <v>3</v>
      </c>
      <c r="G52" s="16" t="s">
        <v>60</v>
      </c>
      <c r="H52" s="16">
        <v>500</v>
      </c>
      <c r="I52" s="16">
        <v>0</v>
      </c>
      <c r="J52" s="16">
        <v>252</v>
      </c>
      <c r="K52" s="16">
        <v>0</v>
      </c>
      <c r="L52" s="16">
        <v>549</v>
      </c>
      <c r="M52" s="16">
        <v>298</v>
      </c>
      <c r="N52" s="16">
        <v>1599</v>
      </c>
      <c r="O52" s="16">
        <v>76</v>
      </c>
      <c r="P52" s="12" t="str">
        <f t="shared" si="0"/>
        <v>Prime</v>
      </c>
      <c r="Q52" s="12" t="str">
        <f t="shared" si="1"/>
        <v>Happy</v>
      </c>
      <c r="R52" s="12" t="str">
        <f t="shared" si="2"/>
        <v>Budget</v>
      </c>
    </row>
    <row r="53" spans="1:18" ht="19.899999999999999" customHeight="1">
      <c r="A53" s="16">
        <v>52</v>
      </c>
      <c r="B53" s="16">
        <v>65</v>
      </c>
      <c r="C53" s="16" t="s">
        <v>53</v>
      </c>
      <c r="D53" s="16" t="s">
        <v>54</v>
      </c>
      <c r="E53" s="16">
        <v>0</v>
      </c>
      <c r="F53" s="16">
        <v>1</v>
      </c>
      <c r="G53" s="16" t="s">
        <v>52</v>
      </c>
      <c r="H53" s="16">
        <v>1950</v>
      </c>
      <c r="I53" s="16">
        <v>904</v>
      </c>
      <c r="J53" s="16">
        <v>176</v>
      </c>
      <c r="K53" s="16">
        <v>119</v>
      </c>
      <c r="L53" s="16">
        <v>0</v>
      </c>
      <c r="M53" s="16">
        <v>453</v>
      </c>
      <c r="N53" s="16">
        <v>3602</v>
      </c>
      <c r="O53" s="16">
        <v>83</v>
      </c>
      <c r="P53" s="12" t="str">
        <f t="shared" si="0"/>
        <v>Mature</v>
      </c>
      <c r="Q53" s="12" t="str">
        <f t="shared" si="1"/>
        <v>Delighted</v>
      </c>
      <c r="R53" s="12" t="str">
        <f t="shared" si="2"/>
        <v>High</v>
      </c>
    </row>
    <row r="54" spans="1:18" ht="19.899999999999999" customHeight="1">
      <c r="A54" s="16">
        <v>53</v>
      </c>
      <c r="B54" s="16">
        <v>69</v>
      </c>
      <c r="C54" s="16" t="s">
        <v>50</v>
      </c>
      <c r="D54" s="16" t="s">
        <v>57</v>
      </c>
      <c r="E54" s="16">
        <v>4</v>
      </c>
      <c r="F54" s="16">
        <v>6</v>
      </c>
      <c r="G54" s="16" t="s">
        <v>55</v>
      </c>
      <c r="H54" s="16">
        <v>2950</v>
      </c>
      <c r="I54" s="16">
        <v>592</v>
      </c>
      <c r="J54" s="16">
        <v>1506</v>
      </c>
      <c r="K54" s="16">
        <v>453</v>
      </c>
      <c r="L54" s="16">
        <v>0</v>
      </c>
      <c r="M54" s="16">
        <v>604</v>
      </c>
      <c r="N54" s="16">
        <v>6105</v>
      </c>
      <c r="O54" s="16">
        <v>64</v>
      </c>
      <c r="P54" s="12" t="str">
        <f t="shared" si="0"/>
        <v>Mature</v>
      </c>
      <c r="Q54" s="12" t="str">
        <f t="shared" si="1"/>
        <v>Acceptable</v>
      </c>
      <c r="R54" s="12" t="str">
        <f t="shared" si="2"/>
        <v>Premium</v>
      </c>
    </row>
    <row r="55" spans="1:18" ht="19.899999999999999" customHeight="1">
      <c r="A55" s="16">
        <v>54</v>
      </c>
      <c r="B55" s="16">
        <v>39</v>
      </c>
      <c r="C55" s="16" t="s">
        <v>50</v>
      </c>
      <c r="D55" s="16" t="s">
        <v>57</v>
      </c>
      <c r="E55" s="16">
        <v>1</v>
      </c>
      <c r="F55" s="16">
        <v>3</v>
      </c>
      <c r="G55" s="16" t="s">
        <v>52</v>
      </c>
      <c r="H55" s="16">
        <v>1950</v>
      </c>
      <c r="I55" s="16">
        <v>296</v>
      </c>
      <c r="J55" s="16">
        <v>528</v>
      </c>
      <c r="K55" s="16">
        <v>755</v>
      </c>
      <c r="L55" s="16">
        <v>119</v>
      </c>
      <c r="M55" s="16">
        <v>196</v>
      </c>
      <c r="N55" s="16">
        <v>3844</v>
      </c>
      <c r="O55" s="16">
        <v>79</v>
      </c>
      <c r="P55" s="12" t="str">
        <f t="shared" si="0"/>
        <v>Core</v>
      </c>
      <c r="Q55" s="12" t="str">
        <f t="shared" si="1"/>
        <v>Happy</v>
      </c>
      <c r="R55" s="12" t="str">
        <f t="shared" si="2"/>
        <v>High</v>
      </c>
    </row>
    <row r="56" spans="1:18" ht="19.899999999999999" customHeight="1">
      <c r="A56" s="16">
        <v>55</v>
      </c>
      <c r="B56" s="16">
        <v>52</v>
      </c>
      <c r="C56" s="16" t="s">
        <v>53</v>
      </c>
      <c r="D56" s="16" t="s">
        <v>57</v>
      </c>
      <c r="E56" s="16">
        <v>2</v>
      </c>
      <c r="F56" s="16">
        <v>4</v>
      </c>
      <c r="G56" s="16" t="s">
        <v>52</v>
      </c>
      <c r="H56" s="16">
        <v>1950</v>
      </c>
      <c r="I56" s="16">
        <v>444</v>
      </c>
      <c r="J56" s="16">
        <v>704</v>
      </c>
      <c r="K56" s="16">
        <v>0</v>
      </c>
      <c r="L56" s="16">
        <v>915</v>
      </c>
      <c r="M56" s="16">
        <v>298</v>
      </c>
      <c r="N56" s="16">
        <v>4311</v>
      </c>
      <c r="O56" s="16">
        <v>62</v>
      </c>
      <c r="P56" s="12" t="str">
        <f t="shared" si="0"/>
        <v>Prime</v>
      </c>
      <c r="Q56" s="12" t="str">
        <f t="shared" si="1"/>
        <v>Acceptable</v>
      </c>
      <c r="R56" s="12" t="str">
        <f t="shared" si="2"/>
        <v>High</v>
      </c>
    </row>
    <row r="57" spans="1:18" ht="19.899999999999999" customHeight="1">
      <c r="A57" s="16">
        <v>56</v>
      </c>
      <c r="B57" s="16">
        <v>59</v>
      </c>
      <c r="C57" s="16" t="s">
        <v>53</v>
      </c>
      <c r="D57" s="16" t="s">
        <v>57</v>
      </c>
      <c r="E57" s="16">
        <v>4</v>
      </c>
      <c r="F57" s="16">
        <v>6</v>
      </c>
      <c r="G57" s="16" t="s">
        <v>60</v>
      </c>
      <c r="H57" s="16">
        <v>500</v>
      </c>
      <c r="I57" s="16">
        <v>148</v>
      </c>
      <c r="J57" s="16">
        <v>504</v>
      </c>
      <c r="K57" s="16">
        <v>238</v>
      </c>
      <c r="L57" s="16">
        <v>366</v>
      </c>
      <c r="M57" s="16">
        <v>149</v>
      </c>
      <c r="N57" s="16">
        <v>1905</v>
      </c>
      <c r="O57" s="16">
        <v>73</v>
      </c>
      <c r="P57" s="12" t="str">
        <f t="shared" si="0"/>
        <v>Prime</v>
      </c>
      <c r="Q57" s="12" t="str">
        <f t="shared" si="1"/>
        <v>Happy</v>
      </c>
      <c r="R57" s="12" t="str">
        <f t="shared" si="2"/>
        <v>Budget</v>
      </c>
    </row>
    <row r="58" spans="1:18" ht="19.899999999999999" customHeight="1">
      <c r="A58" s="16">
        <v>57</v>
      </c>
      <c r="B58" s="16">
        <v>47</v>
      </c>
      <c r="C58" s="16" t="s">
        <v>53</v>
      </c>
      <c r="D58" s="16" t="s">
        <v>57</v>
      </c>
      <c r="E58" s="16">
        <v>3</v>
      </c>
      <c r="F58" s="16">
        <v>5</v>
      </c>
      <c r="G58" s="16" t="s">
        <v>60</v>
      </c>
      <c r="H58" s="16">
        <v>500</v>
      </c>
      <c r="I58" s="16">
        <v>0</v>
      </c>
      <c r="J58" s="16">
        <v>420</v>
      </c>
      <c r="K58" s="16">
        <v>238</v>
      </c>
      <c r="L58" s="16">
        <v>366</v>
      </c>
      <c r="M58" s="16">
        <v>149</v>
      </c>
      <c r="N58" s="16">
        <v>1673</v>
      </c>
      <c r="O58" s="16">
        <v>68</v>
      </c>
      <c r="P58" s="12" t="str">
        <f t="shared" si="0"/>
        <v>Prime</v>
      </c>
      <c r="Q58" s="12" t="str">
        <f t="shared" si="1"/>
        <v>Acceptable</v>
      </c>
      <c r="R58" s="12" t="str">
        <f t="shared" si="2"/>
        <v>Budget</v>
      </c>
    </row>
    <row r="59" spans="1:18" ht="19.899999999999999" customHeight="1">
      <c r="A59" s="16">
        <v>58</v>
      </c>
      <c r="B59" s="16">
        <v>67</v>
      </c>
      <c r="C59" s="16" t="s">
        <v>50</v>
      </c>
      <c r="D59" s="16" t="s">
        <v>57</v>
      </c>
      <c r="E59" s="16">
        <v>1</v>
      </c>
      <c r="F59" s="16">
        <v>3</v>
      </c>
      <c r="G59" s="16" t="s">
        <v>58</v>
      </c>
      <c r="H59" s="16">
        <v>1150</v>
      </c>
      <c r="I59" s="16">
        <v>296</v>
      </c>
      <c r="J59" s="16">
        <v>378</v>
      </c>
      <c r="K59" s="16">
        <v>0</v>
      </c>
      <c r="L59" s="16">
        <v>119</v>
      </c>
      <c r="M59" s="16">
        <v>151</v>
      </c>
      <c r="N59" s="16">
        <v>2094</v>
      </c>
      <c r="O59" s="16">
        <v>74</v>
      </c>
      <c r="P59" s="12" t="str">
        <f t="shared" si="0"/>
        <v>Mature</v>
      </c>
      <c r="Q59" s="12" t="str">
        <f t="shared" si="1"/>
        <v>Happy</v>
      </c>
      <c r="R59" s="12" t="str">
        <f t="shared" si="2"/>
        <v>Budget</v>
      </c>
    </row>
    <row r="60" spans="1:18" ht="19.899999999999999" customHeight="1">
      <c r="A60" s="16">
        <v>59</v>
      </c>
      <c r="B60" s="16">
        <v>29</v>
      </c>
      <c r="C60" s="16" t="s">
        <v>56</v>
      </c>
      <c r="D60" s="16" t="s">
        <v>59</v>
      </c>
      <c r="E60" s="16">
        <v>0</v>
      </c>
      <c r="F60" s="16">
        <v>4</v>
      </c>
      <c r="G60" s="16" t="s">
        <v>58</v>
      </c>
      <c r="H60" s="16">
        <v>1150</v>
      </c>
      <c r="I60" s="16">
        <v>93</v>
      </c>
      <c r="J60" s="16">
        <v>504</v>
      </c>
      <c r="K60" s="16">
        <v>167</v>
      </c>
      <c r="L60" s="16">
        <v>167</v>
      </c>
      <c r="M60" s="16">
        <v>441</v>
      </c>
      <c r="N60" s="16">
        <v>2522</v>
      </c>
      <c r="O60" s="16">
        <v>94</v>
      </c>
      <c r="P60" s="12" t="str">
        <f t="shared" si="0"/>
        <v>Young</v>
      </c>
      <c r="Q60" s="12" t="str">
        <f t="shared" si="1"/>
        <v>Delighted</v>
      </c>
      <c r="R60" s="12" t="str">
        <f t="shared" si="2"/>
        <v>Medium</v>
      </c>
    </row>
    <row r="61" spans="1:18" ht="19.899999999999999" customHeight="1">
      <c r="A61" s="16">
        <v>60</v>
      </c>
      <c r="B61" s="16">
        <v>38</v>
      </c>
      <c r="C61" s="16" t="s">
        <v>50</v>
      </c>
      <c r="D61" s="16" t="s">
        <v>59</v>
      </c>
      <c r="E61" s="16">
        <v>0</v>
      </c>
      <c r="F61" s="16">
        <v>5</v>
      </c>
      <c r="G61" s="16" t="s">
        <v>58</v>
      </c>
      <c r="H61" s="16">
        <v>1150</v>
      </c>
      <c r="I61" s="16">
        <v>186</v>
      </c>
      <c r="J61" s="16">
        <v>630</v>
      </c>
      <c r="K61" s="16">
        <v>453</v>
      </c>
      <c r="L61" s="16">
        <v>357</v>
      </c>
      <c r="M61" s="16">
        <v>0</v>
      </c>
      <c r="N61" s="16">
        <v>2776</v>
      </c>
      <c r="O61" s="16">
        <v>64</v>
      </c>
      <c r="P61" s="12" t="str">
        <f t="shared" si="0"/>
        <v>Core</v>
      </c>
      <c r="Q61" s="12" t="str">
        <f t="shared" si="1"/>
        <v>Acceptable</v>
      </c>
      <c r="R61" s="12" t="str">
        <f t="shared" si="2"/>
        <v>Medium</v>
      </c>
    </row>
    <row r="62" spans="1:18" ht="19.899999999999999" customHeight="1">
      <c r="A62" s="16">
        <v>61</v>
      </c>
      <c r="B62" s="16">
        <v>68</v>
      </c>
      <c r="C62" s="16" t="s">
        <v>50</v>
      </c>
      <c r="D62" s="16" t="s">
        <v>57</v>
      </c>
      <c r="E62" s="16">
        <v>3</v>
      </c>
      <c r="F62" s="16">
        <v>5</v>
      </c>
      <c r="G62" s="16" t="s">
        <v>58</v>
      </c>
      <c r="H62" s="16">
        <v>1150</v>
      </c>
      <c r="I62" s="16">
        <v>0</v>
      </c>
      <c r="J62" s="16">
        <v>630</v>
      </c>
      <c r="K62" s="16">
        <v>604</v>
      </c>
      <c r="L62" s="16">
        <v>357</v>
      </c>
      <c r="M62" s="16">
        <v>453</v>
      </c>
      <c r="N62" s="16">
        <v>3194</v>
      </c>
      <c r="O62" s="16">
        <v>74</v>
      </c>
      <c r="P62" s="12" t="str">
        <f t="shared" si="0"/>
        <v>Mature</v>
      </c>
      <c r="Q62" s="12" t="str">
        <f t="shared" si="1"/>
        <v>Happy</v>
      </c>
      <c r="R62" s="12" t="str">
        <f t="shared" si="2"/>
        <v>Medium</v>
      </c>
    </row>
    <row r="63" spans="1:18" ht="19.899999999999999" customHeight="1">
      <c r="A63" s="16">
        <v>62</v>
      </c>
      <c r="B63" s="16">
        <v>59</v>
      </c>
      <c r="C63" s="16" t="s">
        <v>53</v>
      </c>
      <c r="D63" s="16" t="s">
        <v>57</v>
      </c>
      <c r="E63" s="16">
        <v>2</v>
      </c>
      <c r="F63" s="16">
        <v>4</v>
      </c>
      <c r="G63" s="16" t="s">
        <v>52</v>
      </c>
      <c r="H63" s="16">
        <v>1950</v>
      </c>
      <c r="I63" s="16">
        <v>444</v>
      </c>
      <c r="J63" s="16">
        <v>704</v>
      </c>
      <c r="K63" s="16">
        <v>0</v>
      </c>
      <c r="L63" s="16">
        <v>366</v>
      </c>
      <c r="M63" s="16">
        <v>0</v>
      </c>
      <c r="N63" s="16">
        <v>3464</v>
      </c>
      <c r="O63" s="16">
        <v>83</v>
      </c>
      <c r="P63" s="12" t="str">
        <f t="shared" si="0"/>
        <v>Prime</v>
      </c>
      <c r="Q63" s="12" t="str">
        <f t="shared" si="1"/>
        <v>Delighted</v>
      </c>
      <c r="R63" s="12" t="str">
        <f t="shared" si="2"/>
        <v>Medium</v>
      </c>
    </row>
    <row r="64" spans="1:18" ht="19.899999999999999" customHeight="1">
      <c r="A64" s="16">
        <v>63</v>
      </c>
      <c r="B64" s="16">
        <v>59</v>
      </c>
      <c r="C64" s="16" t="s">
        <v>53</v>
      </c>
      <c r="D64" s="16" t="s">
        <v>51</v>
      </c>
      <c r="E64" s="16">
        <v>0</v>
      </c>
      <c r="F64" s="16">
        <v>2</v>
      </c>
      <c r="G64" s="16" t="s">
        <v>58</v>
      </c>
      <c r="H64" s="16">
        <v>1150</v>
      </c>
      <c r="I64" s="16">
        <v>0</v>
      </c>
      <c r="J64" s="16">
        <v>252</v>
      </c>
      <c r="K64" s="16">
        <v>238</v>
      </c>
      <c r="L64" s="16">
        <v>366</v>
      </c>
      <c r="M64" s="16">
        <v>149</v>
      </c>
      <c r="N64" s="16">
        <v>2155</v>
      </c>
      <c r="O64" s="16">
        <v>46</v>
      </c>
      <c r="P64" s="12" t="str">
        <f t="shared" si="0"/>
        <v>Prime</v>
      </c>
      <c r="Q64" s="12" t="str">
        <f t="shared" si="1"/>
        <v>Unhappy</v>
      </c>
      <c r="R64" s="12" t="str">
        <f t="shared" si="2"/>
        <v>Budget</v>
      </c>
    </row>
    <row r="65" spans="1:18" ht="19.899999999999999" customHeight="1">
      <c r="A65" s="16">
        <v>64</v>
      </c>
      <c r="B65" s="16">
        <v>56</v>
      </c>
      <c r="C65" s="16" t="s">
        <v>50</v>
      </c>
      <c r="D65" s="16" t="s">
        <v>57</v>
      </c>
      <c r="E65" s="16">
        <v>4</v>
      </c>
      <c r="F65" s="16">
        <v>6</v>
      </c>
      <c r="G65" s="16" t="s">
        <v>52</v>
      </c>
      <c r="H65" s="16">
        <v>1950</v>
      </c>
      <c r="I65" s="16">
        <v>0</v>
      </c>
      <c r="J65" s="16">
        <v>1056</v>
      </c>
      <c r="K65" s="16">
        <v>755</v>
      </c>
      <c r="L65" s="16">
        <v>238</v>
      </c>
      <c r="M65" s="16">
        <v>0</v>
      </c>
      <c r="N65" s="16">
        <v>3999</v>
      </c>
      <c r="O65" s="16">
        <v>57</v>
      </c>
      <c r="P65" s="12" t="str">
        <f t="shared" si="0"/>
        <v>Prime</v>
      </c>
      <c r="Q65" s="12" t="str">
        <f t="shared" si="1"/>
        <v>Unimpressed</v>
      </c>
      <c r="R65" s="12" t="str">
        <f t="shared" si="2"/>
        <v>High</v>
      </c>
    </row>
    <row r="66" spans="1:18" ht="19.899999999999999" customHeight="1">
      <c r="A66" s="16">
        <v>65</v>
      </c>
      <c r="B66" s="16">
        <v>43</v>
      </c>
      <c r="C66" s="16" t="s">
        <v>53</v>
      </c>
      <c r="D66" s="16" t="s">
        <v>57</v>
      </c>
      <c r="E66" s="16">
        <v>5</v>
      </c>
      <c r="F66" s="16">
        <v>7</v>
      </c>
      <c r="G66" s="16" t="s">
        <v>52</v>
      </c>
      <c r="H66" s="16">
        <v>1950</v>
      </c>
      <c r="I66" s="16">
        <v>148</v>
      </c>
      <c r="J66" s="16">
        <v>1232</v>
      </c>
      <c r="K66" s="16">
        <v>238</v>
      </c>
      <c r="L66" s="16">
        <v>183</v>
      </c>
      <c r="M66" s="16">
        <v>0</v>
      </c>
      <c r="N66" s="16">
        <v>3751</v>
      </c>
      <c r="O66" s="16">
        <v>83</v>
      </c>
      <c r="P66" s="12" t="str">
        <f t="shared" si="0"/>
        <v>Core</v>
      </c>
      <c r="Q66" s="12" t="str">
        <f t="shared" si="1"/>
        <v>Delighted</v>
      </c>
      <c r="R66" s="12" t="str">
        <f t="shared" si="2"/>
        <v>High</v>
      </c>
    </row>
    <row r="67" spans="1:18" ht="19.899999999999999" customHeight="1">
      <c r="A67" s="16">
        <v>66</v>
      </c>
      <c r="B67" s="16">
        <v>65</v>
      </c>
      <c r="C67" s="16" t="s">
        <v>53</v>
      </c>
      <c r="D67" s="16" t="s">
        <v>57</v>
      </c>
      <c r="E67" s="16">
        <v>1</v>
      </c>
      <c r="F67" s="16">
        <v>3</v>
      </c>
      <c r="G67" s="16" t="s">
        <v>55</v>
      </c>
      <c r="H67" s="16">
        <v>2950</v>
      </c>
      <c r="I67" s="16">
        <v>444</v>
      </c>
      <c r="J67" s="16">
        <v>753</v>
      </c>
      <c r="K67" s="16">
        <v>238</v>
      </c>
      <c r="L67" s="16">
        <v>183</v>
      </c>
      <c r="M67" s="16">
        <v>151</v>
      </c>
      <c r="N67" s="16">
        <v>4719</v>
      </c>
      <c r="O67" s="16">
        <v>88</v>
      </c>
      <c r="P67" s="12" t="str">
        <f t="shared" ref="P67:P130" si="3">IF(B67&gt;=70,"Senior",IF(B67&gt;=60,"Mature",IF(B67&gt;=46,"Prime",IF(B67&gt;=30,"Core","Young"))))</f>
        <v>Mature</v>
      </c>
      <c r="Q67" s="12" t="str">
        <f t="shared" ref="Q67:Q130" si="4">IF(O67&gt;=80,"Delighted",IF(O67&gt;=70,"Happy",IF(O67&gt;=60,"Acceptable",IF(O67&gt;=50,"Unimpressed",IF(O67&lt;50,"Unhappy")))))</f>
        <v>Delighted</v>
      </c>
      <c r="R67" s="12" t="str">
        <f t="shared" ref="R67:R130" si="5">IF(N67&lt;2500,"Budget", IF(N67&lt;3499,"Medium",IF(N67&lt;4499,"High","Premium")))</f>
        <v>Premium</v>
      </c>
    </row>
    <row r="68" spans="1:18" ht="19.899999999999999" customHeight="1">
      <c r="A68" s="16">
        <v>67</v>
      </c>
      <c r="B68" s="16">
        <v>54</v>
      </c>
      <c r="C68" s="16" t="s">
        <v>53</v>
      </c>
      <c r="D68" s="16" t="s">
        <v>54</v>
      </c>
      <c r="E68" s="16">
        <v>0</v>
      </c>
      <c r="F68" s="16">
        <v>1</v>
      </c>
      <c r="G68" s="16" t="s">
        <v>52</v>
      </c>
      <c r="H68" s="16">
        <v>1950</v>
      </c>
      <c r="I68" s="16">
        <v>678</v>
      </c>
      <c r="J68" s="16">
        <v>176</v>
      </c>
      <c r="K68" s="16">
        <v>0</v>
      </c>
      <c r="L68" s="16">
        <v>915</v>
      </c>
      <c r="M68" s="16">
        <v>447</v>
      </c>
      <c r="N68" s="16">
        <v>4166</v>
      </c>
      <c r="O68" s="16">
        <v>74</v>
      </c>
      <c r="P68" s="12" t="str">
        <f t="shared" si="3"/>
        <v>Prime</v>
      </c>
      <c r="Q68" s="12" t="str">
        <f t="shared" si="4"/>
        <v>Happy</v>
      </c>
      <c r="R68" s="12" t="str">
        <f t="shared" si="5"/>
        <v>High</v>
      </c>
    </row>
    <row r="69" spans="1:18" ht="19.899999999999999" customHeight="1">
      <c r="A69" s="16">
        <v>68</v>
      </c>
      <c r="B69" s="16">
        <v>41</v>
      </c>
      <c r="C69" s="16" t="s">
        <v>53</v>
      </c>
      <c r="D69" s="16" t="s">
        <v>57</v>
      </c>
      <c r="E69" s="16">
        <v>4</v>
      </c>
      <c r="F69" s="16">
        <v>6</v>
      </c>
      <c r="G69" s="16" t="s">
        <v>58</v>
      </c>
      <c r="H69" s="16">
        <v>1150</v>
      </c>
      <c r="I69" s="16">
        <v>0</v>
      </c>
      <c r="J69" s="16">
        <v>756</v>
      </c>
      <c r="K69" s="16">
        <v>357</v>
      </c>
      <c r="L69" s="16">
        <v>915</v>
      </c>
      <c r="M69" s="16">
        <v>196</v>
      </c>
      <c r="N69" s="16">
        <v>3374</v>
      </c>
      <c r="O69" s="16">
        <v>64</v>
      </c>
      <c r="P69" s="12" t="str">
        <f t="shared" si="3"/>
        <v>Core</v>
      </c>
      <c r="Q69" s="12" t="str">
        <f t="shared" si="4"/>
        <v>Acceptable</v>
      </c>
      <c r="R69" s="12" t="str">
        <f t="shared" si="5"/>
        <v>Medium</v>
      </c>
    </row>
    <row r="70" spans="1:18" ht="19.899999999999999" customHeight="1">
      <c r="A70" s="16">
        <v>69</v>
      </c>
      <c r="B70" s="16">
        <v>64</v>
      </c>
      <c r="C70" s="16" t="s">
        <v>53</v>
      </c>
      <c r="D70" s="16" t="s">
        <v>59</v>
      </c>
      <c r="E70" s="16">
        <v>0</v>
      </c>
      <c r="F70" s="16">
        <v>4</v>
      </c>
      <c r="G70" s="16" t="s">
        <v>60</v>
      </c>
      <c r="H70" s="16">
        <v>500</v>
      </c>
      <c r="I70" s="16">
        <v>0</v>
      </c>
      <c r="J70" s="16">
        <v>336</v>
      </c>
      <c r="K70" s="16">
        <v>357</v>
      </c>
      <c r="L70" s="16">
        <v>183</v>
      </c>
      <c r="M70" s="16">
        <v>0</v>
      </c>
      <c r="N70" s="16">
        <v>1376</v>
      </c>
      <c r="O70" s="16">
        <v>60</v>
      </c>
      <c r="P70" s="12" t="str">
        <f t="shared" si="3"/>
        <v>Mature</v>
      </c>
      <c r="Q70" s="12" t="str">
        <f t="shared" si="4"/>
        <v>Acceptable</v>
      </c>
      <c r="R70" s="12" t="str">
        <f t="shared" si="5"/>
        <v>Budget</v>
      </c>
    </row>
    <row r="71" spans="1:18" ht="19.899999999999999" customHeight="1">
      <c r="A71" s="16">
        <v>70</v>
      </c>
      <c r="B71" s="16">
        <v>47</v>
      </c>
      <c r="C71" s="16" t="s">
        <v>53</v>
      </c>
      <c r="D71" s="16" t="s">
        <v>59</v>
      </c>
      <c r="E71" s="16">
        <v>0</v>
      </c>
      <c r="F71" s="16">
        <v>8</v>
      </c>
      <c r="G71" s="16" t="s">
        <v>60</v>
      </c>
      <c r="H71" s="16">
        <v>500</v>
      </c>
      <c r="I71" s="16">
        <v>93</v>
      </c>
      <c r="J71" s="16">
        <v>672</v>
      </c>
      <c r="K71" s="16">
        <v>119</v>
      </c>
      <c r="L71" s="16">
        <v>0</v>
      </c>
      <c r="M71" s="16">
        <v>447</v>
      </c>
      <c r="N71" s="16">
        <v>1831</v>
      </c>
      <c r="O71" s="16">
        <v>77</v>
      </c>
      <c r="P71" s="12" t="str">
        <f t="shared" si="3"/>
        <v>Prime</v>
      </c>
      <c r="Q71" s="12" t="str">
        <f t="shared" si="4"/>
        <v>Happy</v>
      </c>
      <c r="R71" s="12" t="str">
        <f t="shared" si="5"/>
        <v>Budget</v>
      </c>
    </row>
    <row r="72" spans="1:18" ht="19.899999999999999" customHeight="1">
      <c r="A72" s="16">
        <v>71</v>
      </c>
      <c r="B72" s="16">
        <v>42</v>
      </c>
      <c r="C72" s="16" t="s">
        <v>53</v>
      </c>
      <c r="D72" s="16" t="s">
        <v>54</v>
      </c>
      <c r="E72" s="16">
        <v>0</v>
      </c>
      <c r="F72" s="16">
        <v>1</v>
      </c>
      <c r="G72" s="16" t="s">
        <v>58</v>
      </c>
      <c r="H72" s="16">
        <v>1150</v>
      </c>
      <c r="I72" s="16">
        <v>904</v>
      </c>
      <c r="J72" s="16">
        <v>126</v>
      </c>
      <c r="K72" s="16">
        <v>0</v>
      </c>
      <c r="L72" s="16">
        <v>549</v>
      </c>
      <c r="M72" s="16">
        <v>196</v>
      </c>
      <c r="N72" s="16">
        <v>2925</v>
      </c>
      <c r="O72" s="16">
        <v>68</v>
      </c>
      <c r="P72" s="12" t="str">
        <f t="shared" si="3"/>
        <v>Core</v>
      </c>
      <c r="Q72" s="12" t="str">
        <f t="shared" si="4"/>
        <v>Acceptable</v>
      </c>
      <c r="R72" s="12" t="str">
        <f t="shared" si="5"/>
        <v>Medium</v>
      </c>
    </row>
    <row r="73" spans="1:18" ht="19.899999999999999" customHeight="1">
      <c r="A73" s="16">
        <v>72</v>
      </c>
      <c r="B73" s="16">
        <v>34</v>
      </c>
      <c r="C73" s="16" t="s">
        <v>50</v>
      </c>
      <c r="D73" s="16" t="s">
        <v>57</v>
      </c>
      <c r="E73" s="16">
        <v>4</v>
      </c>
      <c r="F73" s="16">
        <v>6</v>
      </c>
      <c r="G73" s="16" t="s">
        <v>58</v>
      </c>
      <c r="H73" s="16">
        <v>1150</v>
      </c>
      <c r="I73" s="16">
        <v>444</v>
      </c>
      <c r="J73" s="16">
        <v>756</v>
      </c>
      <c r="K73" s="16">
        <v>302</v>
      </c>
      <c r="L73" s="16">
        <v>119</v>
      </c>
      <c r="M73" s="16">
        <v>0</v>
      </c>
      <c r="N73" s="16">
        <v>2771</v>
      </c>
      <c r="O73" s="16">
        <v>85</v>
      </c>
      <c r="P73" s="12" t="str">
        <f t="shared" si="3"/>
        <v>Core</v>
      </c>
      <c r="Q73" s="12" t="str">
        <f t="shared" si="4"/>
        <v>Delighted</v>
      </c>
      <c r="R73" s="12" t="str">
        <f t="shared" si="5"/>
        <v>Medium</v>
      </c>
    </row>
    <row r="74" spans="1:18" ht="19.899999999999999" customHeight="1">
      <c r="A74" s="16">
        <v>73</v>
      </c>
      <c r="B74" s="16">
        <v>41</v>
      </c>
      <c r="C74" s="16" t="s">
        <v>53</v>
      </c>
      <c r="D74" s="16" t="s">
        <v>57</v>
      </c>
      <c r="E74" s="16">
        <v>1</v>
      </c>
      <c r="F74" s="16">
        <v>3</v>
      </c>
      <c r="G74" s="16" t="s">
        <v>52</v>
      </c>
      <c r="H74" s="16">
        <v>1950</v>
      </c>
      <c r="I74" s="16">
        <v>0</v>
      </c>
      <c r="J74" s="16">
        <v>528</v>
      </c>
      <c r="K74" s="16">
        <v>0</v>
      </c>
      <c r="L74" s="16">
        <v>366</v>
      </c>
      <c r="M74" s="16">
        <v>392</v>
      </c>
      <c r="N74" s="16">
        <v>3236</v>
      </c>
      <c r="O74" s="16">
        <v>97</v>
      </c>
      <c r="P74" s="12" t="str">
        <f t="shared" si="3"/>
        <v>Core</v>
      </c>
      <c r="Q74" s="12" t="str">
        <f t="shared" si="4"/>
        <v>Delighted</v>
      </c>
      <c r="R74" s="12" t="str">
        <f t="shared" si="5"/>
        <v>Medium</v>
      </c>
    </row>
    <row r="75" spans="1:18" ht="19.899999999999999" customHeight="1">
      <c r="A75" s="16">
        <v>74</v>
      </c>
      <c r="B75" s="16">
        <v>24</v>
      </c>
      <c r="C75" s="16" t="s">
        <v>53</v>
      </c>
      <c r="D75" s="16" t="s">
        <v>51</v>
      </c>
      <c r="E75" s="16">
        <v>0</v>
      </c>
      <c r="F75" s="16">
        <v>2</v>
      </c>
      <c r="G75" s="16" t="s">
        <v>60</v>
      </c>
      <c r="H75" s="16">
        <v>500</v>
      </c>
      <c r="I75" s="16">
        <v>348</v>
      </c>
      <c r="J75" s="16">
        <v>168</v>
      </c>
      <c r="K75" s="16">
        <v>0</v>
      </c>
      <c r="L75" s="16">
        <v>366</v>
      </c>
      <c r="M75" s="16">
        <v>441</v>
      </c>
      <c r="N75" s="16">
        <v>1823</v>
      </c>
      <c r="O75" s="16">
        <v>96</v>
      </c>
      <c r="P75" s="12" t="str">
        <f t="shared" si="3"/>
        <v>Young</v>
      </c>
      <c r="Q75" s="12" t="str">
        <f t="shared" si="4"/>
        <v>Delighted</v>
      </c>
      <c r="R75" s="12" t="str">
        <f t="shared" si="5"/>
        <v>Budget</v>
      </c>
    </row>
    <row r="76" spans="1:18" ht="19.899999999999999" customHeight="1">
      <c r="A76" s="16">
        <v>75</v>
      </c>
      <c r="B76" s="16">
        <v>32</v>
      </c>
      <c r="C76" s="16" t="s">
        <v>56</v>
      </c>
      <c r="D76" s="16" t="s">
        <v>51</v>
      </c>
      <c r="E76" s="16">
        <v>0</v>
      </c>
      <c r="F76" s="16">
        <v>2</v>
      </c>
      <c r="G76" s="16" t="s">
        <v>60</v>
      </c>
      <c r="H76" s="16">
        <v>500</v>
      </c>
      <c r="I76" s="16">
        <v>174</v>
      </c>
      <c r="J76" s="16">
        <v>168</v>
      </c>
      <c r="K76" s="16">
        <v>501</v>
      </c>
      <c r="L76" s="16">
        <v>334</v>
      </c>
      <c r="M76" s="16">
        <v>196</v>
      </c>
      <c r="N76" s="16">
        <v>1873</v>
      </c>
      <c r="O76" s="16">
        <v>71</v>
      </c>
      <c r="P76" s="12" t="str">
        <f t="shared" si="3"/>
        <v>Core</v>
      </c>
      <c r="Q76" s="12" t="str">
        <f t="shared" si="4"/>
        <v>Happy</v>
      </c>
      <c r="R76" s="12" t="str">
        <f t="shared" si="5"/>
        <v>Budget</v>
      </c>
    </row>
    <row r="77" spans="1:18" ht="19.899999999999999" customHeight="1">
      <c r="A77" s="16">
        <v>76</v>
      </c>
      <c r="B77" s="16">
        <v>74</v>
      </c>
      <c r="C77" s="16" t="s">
        <v>53</v>
      </c>
      <c r="D77" s="16" t="s">
        <v>51</v>
      </c>
      <c r="E77" s="16">
        <v>0</v>
      </c>
      <c r="F77" s="16">
        <v>2</v>
      </c>
      <c r="G77" s="16" t="s">
        <v>52</v>
      </c>
      <c r="H77" s="16">
        <v>1950</v>
      </c>
      <c r="I77" s="16">
        <v>522</v>
      </c>
      <c r="J77" s="16">
        <v>352</v>
      </c>
      <c r="K77" s="16">
        <v>357</v>
      </c>
      <c r="L77" s="16">
        <v>183</v>
      </c>
      <c r="M77" s="16">
        <v>447</v>
      </c>
      <c r="N77" s="16">
        <v>3811</v>
      </c>
      <c r="O77" s="16">
        <v>61</v>
      </c>
      <c r="P77" s="12" t="str">
        <f t="shared" si="3"/>
        <v>Senior</v>
      </c>
      <c r="Q77" s="12" t="str">
        <f t="shared" si="4"/>
        <v>Acceptable</v>
      </c>
      <c r="R77" s="12" t="str">
        <f t="shared" si="5"/>
        <v>High</v>
      </c>
    </row>
    <row r="78" spans="1:18" ht="19.899999999999999" customHeight="1">
      <c r="A78" s="16">
        <v>77</v>
      </c>
      <c r="B78" s="16">
        <v>56</v>
      </c>
      <c r="C78" s="16" t="s">
        <v>50</v>
      </c>
      <c r="D78" s="16" t="s">
        <v>57</v>
      </c>
      <c r="E78" s="16">
        <v>3</v>
      </c>
      <c r="F78" s="16">
        <v>5</v>
      </c>
      <c r="G78" s="16" t="s">
        <v>52</v>
      </c>
      <c r="H78" s="16">
        <v>1950</v>
      </c>
      <c r="I78" s="16">
        <v>444</v>
      </c>
      <c r="J78" s="16">
        <v>880</v>
      </c>
      <c r="K78" s="16">
        <v>755</v>
      </c>
      <c r="L78" s="16">
        <v>119</v>
      </c>
      <c r="M78" s="16">
        <v>447</v>
      </c>
      <c r="N78" s="16">
        <v>4595</v>
      </c>
      <c r="O78" s="16">
        <v>52</v>
      </c>
      <c r="P78" s="12" t="str">
        <f t="shared" si="3"/>
        <v>Prime</v>
      </c>
      <c r="Q78" s="12" t="str">
        <f t="shared" si="4"/>
        <v>Unimpressed</v>
      </c>
      <c r="R78" s="12" t="str">
        <f t="shared" si="5"/>
        <v>Premium</v>
      </c>
    </row>
    <row r="79" spans="1:18" ht="19.899999999999999" customHeight="1">
      <c r="A79" s="16">
        <v>78</v>
      </c>
      <c r="B79" s="16">
        <v>60</v>
      </c>
      <c r="C79" s="16" t="s">
        <v>53</v>
      </c>
      <c r="D79" s="16" t="s">
        <v>51</v>
      </c>
      <c r="E79" s="16">
        <v>0</v>
      </c>
      <c r="F79" s="16">
        <v>2</v>
      </c>
      <c r="G79" s="16" t="s">
        <v>55</v>
      </c>
      <c r="H79" s="16">
        <v>2950</v>
      </c>
      <c r="I79" s="16">
        <v>174</v>
      </c>
      <c r="J79" s="16">
        <v>502</v>
      </c>
      <c r="K79" s="16">
        <v>0</v>
      </c>
      <c r="L79" s="16">
        <v>183</v>
      </c>
      <c r="M79" s="16">
        <v>0</v>
      </c>
      <c r="N79" s="16">
        <v>3809</v>
      </c>
      <c r="O79" s="16">
        <v>70</v>
      </c>
      <c r="P79" s="12" t="str">
        <f t="shared" si="3"/>
        <v>Mature</v>
      </c>
      <c r="Q79" s="12" t="str">
        <f t="shared" si="4"/>
        <v>Happy</v>
      </c>
      <c r="R79" s="12" t="str">
        <f t="shared" si="5"/>
        <v>High</v>
      </c>
    </row>
    <row r="80" spans="1:18" ht="19.899999999999999" customHeight="1">
      <c r="A80" s="16">
        <v>79</v>
      </c>
      <c r="B80" s="16">
        <v>51</v>
      </c>
      <c r="C80" s="16" t="s">
        <v>53</v>
      </c>
      <c r="D80" s="16" t="s">
        <v>57</v>
      </c>
      <c r="E80" s="16">
        <v>2</v>
      </c>
      <c r="F80" s="16">
        <v>4</v>
      </c>
      <c r="G80" s="16" t="s">
        <v>52</v>
      </c>
      <c r="H80" s="16">
        <v>1950</v>
      </c>
      <c r="I80" s="16">
        <v>592</v>
      </c>
      <c r="J80" s="16">
        <v>704</v>
      </c>
      <c r="K80" s="16">
        <v>357</v>
      </c>
      <c r="L80" s="16">
        <v>732</v>
      </c>
      <c r="M80" s="16">
        <v>298</v>
      </c>
      <c r="N80" s="16">
        <v>4633</v>
      </c>
      <c r="O80" s="16">
        <v>64</v>
      </c>
      <c r="P80" s="12" t="str">
        <f t="shared" si="3"/>
        <v>Prime</v>
      </c>
      <c r="Q80" s="12" t="str">
        <f t="shared" si="4"/>
        <v>Acceptable</v>
      </c>
      <c r="R80" s="12" t="str">
        <f t="shared" si="5"/>
        <v>Premium</v>
      </c>
    </row>
    <row r="81" spans="1:18" ht="19.899999999999999" customHeight="1">
      <c r="A81" s="16">
        <v>80</v>
      </c>
      <c r="B81" s="16">
        <v>59</v>
      </c>
      <c r="C81" s="16" t="s">
        <v>53</v>
      </c>
      <c r="D81" s="16" t="s">
        <v>57</v>
      </c>
      <c r="E81" s="16">
        <v>4</v>
      </c>
      <c r="F81" s="16">
        <v>6</v>
      </c>
      <c r="G81" s="16" t="s">
        <v>52</v>
      </c>
      <c r="H81" s="16">
        <v>1950</v>
      </c>
      <c r="I81" s="16">
        <v>296</v>
      </c>
      <c r="J81" s="16">
        <v>1056</v>
      </c>
      <c r="K81" s="16">
        <v>119</v>
      </c>
      <c r="L81" s="16">
        <v>366</v>
      </c>
      <c r="M81" s="16">
        <v>298</v>
      </c>
      <c r="N81" s="16">
        <v>4085</v>
      </c>
      <c r="O81" s="16">
        <v>78</v>
      </c>
      <c r="P81" s="12" t="str">
        <f t="shared" si="3"/>
        <v>Prime</v>
      </c>
      <c r="Q81" s="12" t="str">
        <f t="shared" si="4"/>
        <v>Happy</v>
      </c>
      <c r="R81" s="12" t="str">
        <f t="shared" si="5"/>
        <v>High</v>
      </c>
    </row>
    <row r="82" spans="1:18" ht="19.899999999999999" customHeight="1">
      <c r="A82" s="16">
        <v>81</v>
      </c>
      <c r="B82" s="16">
        <v>35</v>
      </c>
      <c r="C82" s="16" t="s">
        <v>53</v>
      </c>
      <c r="D82" s="16" t="s">
        <v>57</v>
      </c>
      <c r="E82" s="16">
        <v>4</v>
      </c>
      <c r="F82" s="16">
        <v>6</v>
      </c>
      <c r="G82" s="16" t="s">
        <v>58</v>
      </c>
      <c r="H82" s="16">
        <v>1150</v>
      </c>
      <c r="I82" s="16">
        <v>148</v>
      </c>
      <c r="J82" s="16">
        <v>756</v>
      </c>
      <c r="K82" s="16">
        <v>119</v>
      </c>
      <c r="L82" s="16">
        <v>183</v>
      </c>
      <c r="M82" s="16">
        <v>0</v>
      </c>
      <c r="N82" s="16">
        <v>2356</v>
      </c>
      <c r="O82" s="16">
        <v>52</v>
      </c>
      <c r="P82" s="12" t="str">
        <f t="shared" si="3"/>
        <v>Core</v>
      </c>
      <c r="Q82" s="12" t="str">
        <f t="shared" si="4"/>
        <v>Unimpressed</v>
      </c>
      <c r="R82" s="12" t="str">
        <f t="shared" si="5"/>
        <v>Budget</v>
      </c>
    </row>
    <row r="83" spans="1:18" ht="19.899999999999999" customHeight="1">
      <c r="A83" s="16">
        <v>82</v>
      </c>
      <c r="B83" s="16">
        <v>54</v>
      </c>
      <c r="C83" s="16" t="s">
        <v>53</v>
      </c>
      <c r="D83" s="16" t="s">
        <v>57</v>
      </c>
      <c r="E83" s="16">
        <v>1</v>
      </c>
      <c r="F83" s="16">
        <v>3</v>
      </c>
      <c r="G83" s="16" t="s">
        <v>52</v>
      </c>
      <c r="H83" s="16">
        <v>1950</v>
      </c>
      <c r="I83" s="16">
        <v>592</v>
      </c>
      <c r="J83" s="16">
        <v>528</v>
      </c>
      <c r="K83" s="16">
        <v>238</v>
      </c>
      <c r="L83" s="16">
        <v>549</v>
      </c>
      <c r="M83" s="16">
        <v>149</v>
      </c>
      <c r="N83" s="16">
        <v>4006</v>
      </c>
      <c r="O83" s="16">
        <v>65</v>
      </c>
      <c r="P83" s="12" t="str">
        <f t="shared" si="3"/>
        <v>Prime</v>
      </c>
      <c r="Q83" s="12" t="str">
        <f t="shared" si="4"/>
        <v>Acceptable</v>
      </c>
      <c r="R83" s="12" t="str">
        <f t="shared" si="5"/>
        <v>High</v>
      </c>
    </row>
    <row r="84" spans="1:18" ht="19.899999999999999" customHeight="1">
      <c r="A84" s="16">
        <v>83</v>
      </c>
      <c r="B84" s="16">
        <v>26</v>
      </c>
      <c r="C84" s="16" t="s">
        <v>53</v>
      </c>
      <c r="D84" s="16" t="s">
        <v>51</v>
      </c>
      <c r="E84" s="16">
        <v>0</v>
      </c>
      <c r="F84" s="16">
        <v>2</v>
      </c>
      <c r="G84" s="16" t="s">
        <v>60</v>
      </c>
      <c r="H84" s="16">
        <v>500</v>
      </c>
      <c r="I84" s="16">
        <v>696</v>
      </c>
      <c r="J84" s="16">
        <v>168</v>
      </c>
      <c r="K84" s="16">
        <v>119</v>
      </c>
      <c r="L84" s="16">
        <v>915</v>
      </c>
      <c r="M84" s="16">
        <v>441</v>
      </c>
      <c r="N84" s="16">
        <v>2839</v>
      </c>
      <c r="O84" s="16">
        <v>59</v>
      </c>
      <c r="P84" s="12" t="str">
        <f t="shared" si="3"/>
        <v>Young</v>
      </c>
      <c r="Q84" s="12" t="str">
        <f t="shared" si="4"/>
        <v>Unimpressed</v>
      </c>
      <c r="R84" s="12" t="str">
        <f t="shared" si="5"/>
        <v>Medium</v>
      </c>
    </row>
    <row r="85" spans="1:18" ht="19.899999999999999" customHeight="1">
      <c r="A85" s="16">
        <v>84</v>
      </c>
      <c r="B85" s="16">
        <v>26</v>
      </c>
      <c r="C85" s="16" t="s">
        <v>53</v>
      </c>
      <c r="D85" s="16" t="s">
        <v>51</v>
      </c>
      <c r="E85" s="16">
        <v>0</v>
      </c>
      <c r="F85" s="16">
        <v>2</v>
      </c>
      <c r="G85" s="16" t="s">
        <v>60</v>
      </c>
      <c r="H85" s="16">
        <v>500</v>
      </c>
      <c r="I85" s="16">
        <v>0</v>
      </c>
      <c r="J85" s="16">
        <v>168</v>
      </c>
      <c r="K85" s="16">
        <v>238</v>
      </c>
      <c r="L85" s="16">
        <v>915</v>
      </c>
      <c r="M85" s="16">
        <v>441</v>
      </c>
      <c r="N85" s="16">
        <v>2262</v>
      </c>
      <c r="O85" s="16">
        <v>83</v>
      </c>
      <c r="P85" s="12" t="str">
        <f t="shared" si="3"/>
        <v>Young</v>
      </c>
      <c r="Q85" s="12" t="str">
        <f t="shared" si="4"/>
        <v>Delighted</v>
      </c>
      <c r="R85" s="12" t="str">
        <f t="shared" si="5"/>
        <v>Budget</v>
      </c>
    </row>
    <row r="86" spans="1:18" ht="19.899999999999999" customHeight="1">
      <c r="A86" s="16">
        <v>85</v>
      </c>
      <c r="B86" s="16">
        <v>82</v>
      </c>
      <c r="C86" s="16" t="s">
        <v>50</v>
      </c>
      <c r="D86" s="16" t="s">
        <v>59</v>
      </c>
      <c r="E86" s="16">
        <v>0</v>
      </c>
      <c r="F86" s="16">
        <v>7</v>
      </c>
      <c r="G86" s="16" t="s">
        <v>60</v>
      </c>
      <c r="H86" s="16">
        <v>500</v>
      </c>
      <c r="I86" s="16">
        <v>0</v>
      </c>
      <c r="J86" s="16">
        <v>588</v>
      </c>
      <c r="K86" s="16">
        <v>755</v>
      </c>
      <c r="L86" s="16">
        <v>238</v>
      </c>
      <c r="M86" s="16">
        <v>149</v>
      </c>
      <c r="N86" s="16">
        <v>2230</v>
      </c>
      <c r="O86" s="16">
        <v>89</v>
      </c>
      <c r="P86" s="12" t="str">
        <f t="shared" si="3"/>
        <v>Senior</v>
      </c>
      <c r="Q86" s="12" t="str">
        <f t="shared" si="4"/>
        <v>Delighted</v>
      </c>
      <c r="R86" s="12" t="str">
        <f t="shared" si="5"/>
        <v>Budget</v>
      </c>
    </row>
    <row r="87" spans="1:18" ht="19.899999999999999" customHeight="1">
      <c r="A87" s="16">
        <v>86</v>
      </c>
      <c r="B87" s="16">
        <v>63</v>
      </c>
      <c r="C87" s="16" t="s">
        <v>53</v>
      </c>
      <c r="D87" s="16" t="s">
        <v>51</v>
      </c>
      <c r="E87" s="16">
        <v>0</v>
      </c>
      <c r="F87" s="16">
        <v>2</v>
      </c>
      <c r="G87" s="16" t="s">
        <v>55</v>
      </c>
      <c r="H87" s="16">
        <v>2950</v>
      </c>
      <c r="I87" s="16">
        <v>696</v>
      </c>
      <c r="J87" s="16">
        <v>502</v>
      </c>
      <c r="K87" s="16">
        <v>119</v>
      </c>
      <c r="L87" s="16">
        <v>366</v>
      </c>
      <c r="M87" s="16">
        <v>0</v>
      </c>
      <c r="N87" s="16">
        <v>4633</v>
      </c>
      <c r="O87" s="16">
        <v>53</v>
      </c>
      <c r="P87" s="12" t="str">
        <f t="shared" si="3"/>
        <v>Mature</v>
      </c>
      <c r="Q87" s="12" t="str">
        <f t="shared" si="4"/>
        <v>Unimpressed</v>
      </c>
      <c r="R87" s="12" t="str">
        <f t="shared" si="5"/>
        <v>Premium</v>
      </c>
    </row>
    <row r="88" spans="1:18" ht="19.899999999999999" customHeight="1">
      <c r="A88" s="16">
        <v>87</v>
      </c>
      <c r="B88" s="16">
        <v>44</v>
      </c>
      <c r="C88" s="16" t="s">
        <v>50</v>
      </c>
      <c r="D88" s="16" t="s">
        <v>57</v>
      </c>
      <c r="E88" s="16">
        <v>3</v>
      </c>
      <c r="F88" s="16">
        <v>5</v>
      </c>
      <c r="G88" s="16" t="s">
        <v>58</v>
      </c>
      <c r="H88" s="16">
        <v>1150</v>
      </c>
      <c r="I88" s="16">
        <v>592</v>
      </c>
      <c r="J88" s="16">
        <v>630</v>
      </c>
      <c r="K88" s="16">
        <v>0</v>
      </c>
      <c r="L88" s="16">
        <v>238</v>
      </c>
      <c r="M88" s="16">
        <v>392</v>
      </c>
      <c r="N88" s="16">
        <v>3002</v>
      </c>
      <c r="O88" s="16">
        <v>91</v>
      </c>
      <c r="P88" s="12" t="str">
        <f t="shared" si="3"/>
        <v>Core</v>
      </c>
      <c r="Q88" s="12" t="str">
        <f t="shared" si="4"/>
        <v>Delighted</v>
      </c>
      <c r="R88" s="12" t="str">
        <f t="shared" si="5"/>
        <v>Medium</v>
      </c>
    </row>
    <row r="89" spans="1:18" ht="19.899999999999999" customHeight="1">
      <c r="A89" s="16">
        <v>88</v>
      </c>
      <c r="B89" s="16">
        <v>28</v>
      </c>
      <c r="C89" s="16" t="s">
        <v>50</v>
      </c>
      <c r="D89" s="16" t="s">
        <v>54</v>
      </c>
      <c r="E89" s="16">
        <v>0</v>
      </c>
      <c r="F89" s="16">
        <v>1</v>
      </c>
      <c r="G89" s="16" t="s">
        <v>60</v>
      </c>
      <c r="H89" s="16">
        <v>500</v>
      </c>
      <c r="I89" s="16">
        <v>904</v>
      </c>
      <c r="J89" s="16">
        <v>84</v>
      </c>
      <c r="K89" s="16">
        <v>453</v>
      </c>
      <c r="L89" s="16">
        <v>357</v>
      </c>
      <c r="M89" s="16">
        <v>441</v>
      </c>
      <c r="N89" s="16">
        <v>2739</v>
      </c>
      <c r="O89" s="16">
        <v>81</v>
      </c>
      <c r="P89" s="12" t="str">
        <f t="shared" si="3"/>
        <v>Young</v>
      </c>
      <c r="Q89" s="12" t="str">
        <f t="shared" si="4"/>
        <v>Delighted</v>
      </c>
      <c r="R89" s="12" t="str">
        <f t="shared" si="5"/>
        <v>Medium</v>
      </c>
    </row>
    <row r="90" spans="1:18" ht="19.899999999999999" customHeight="1">
      <c r="A90" s="16">
        <v>89</v>
      </c>
      <c r="B90" s="16">
        <v>25</v>
      </c>
      <c r="C90" s="16" t="s">
        <v>50</v>
      </c>
      <c r="D90" s="16" t="s">
        <v>54</v>
      </c>
      <c r="E90" s="16">
        <v>0</v>
      </c>
      <c r="F90" s="16">
        <v>1</v>
      </c>
      <c r="G90" s="16" t="s">
        <v>60</v>
      </c>
      <c r="H90" s="16">
        <v>500</v>
      </c>
      <c r="I90" s="16">
        <v>0</v>
      </c>
      <c r="J90" s="16">
        <v>84</v>
      </c>
      <c r="K90" s="16">
        <v>151</v>
      </c>
      <c r="L90" s="16">
        <v>238</v>
      </c>
      <c r="M90" s="16">
        <v>441</v>
      </c>
      <c r="N90" s="16">
        <v>1414</v>
      </c>
      <c r="O90" s="16">
        <v>53</v>
      </c>
      <c r="P90" s="12" t="str">
        <f t="shared" si="3"/>
        <v>Young</v>
      </c>
      <c r="Q90" s="12" t="str">
        <f t="shared" si="4"/>
        <v>Unimpressed</v>
      </c>
      <c r="R90" s="12" t="str">
        <f t="shared" si="5"/>
        <v>Budget</v>
      </c>
    </row>
    <row r="91" spans="1:18" ht="19.899999999999999" customHeight="1">
      <c r="A91" s="16">
        <v>90</v>
      </c>
      <c r="B91" s="16">
        <v>65</v>
      </c>
      <c r="C91" s="16" t="s">
        <v>50</v>
      </c>
      <c r="D91" s="16" t="s">
        <v>54</v>
      </c>
      <c r="E91" s="16">
        <v>0</v>
      </c>
      <c r="F91" s="16">
        <v>1</v>
      </c>
      <c r="G91" s="16" t="s">
        <v>52</v>
      </c>
      <c r="H91" s="16">
        <v>1950</v>
      </c>
      <c r="I91" s="16">
        <v>0</v>
      </c>
      <c r="J91" s="16">
        <v>176</v>
      </c>
      <c r="K91" s="16">
        <v>604</v>
      </c>
      <c r="L91" s="16">
        <v>238</v>
      </c>
      <c r="M91" s="16">
        <v>604</v>
      </c>
      <c r="N91" s="16">
        <v>3572</v>
      </c>
      <c r="O91" s="16">
        <v>48</v>
      </c>
      <c r="P91" s="12" t="str">
        <f t="shared" si="3"/>
        <v>Mature</v>
      </c>
      <c r="Q91" s="12" t="str">
        <f t="shared" si="4"/>
        <v>Unhappy</v>
      </c>
      <c r="R91" s="12" t="str">
        <f t="shared" si="5"/>
        <v>High</v>
      </c>
    </row>
    <row r="92" spans="1:18" ht="19.899999999999999" customHeight="1">
      <c r="A92" s="16">
        <v>91</v>
      </c>
      <c r="B92" s="16">
        <v>57</v>
      </c>
      <c r="C92" s="16" t="s">
        <v>50</v>
      </c>
      <c r="D92" s="16" t="s">
        <v>57</v>
      </c>
      <c r="E92" s="16">
        <v>2</v>
      </c>
      <c r="F92" s="16">
        <v>4</v>
      </c>
      <c r="G92" s="16" t="s">
        <v>60</v>
      </c>
      <c r="H92" s="16">
        <v>500</v>
      </c>
      <c r="I92" s="16">
        <v>0</v>
      </c>
      <c r="J92" s="16">
        <v>336</v>
      </c>
      <c r="K92" s="16">
        <v>0</v>
      </c>
      <c r="L92" s="16">
        <v>0</v>
      </c>
      <c r="M92" s="16">
        <v>447</v>
      </c>
      <c r="N92" s="16">
        <v>1283</v>
      </c>
      <c r="O92" s="16">
        <v>68</v>
      </c>
      <c r="P92" s="12" t="str">
        <f t="shared" si="3"/>
        <v>Prime</v>
      </c>
      <c r="Q92" s="12" t="str">
        <f t="shared" si="4"/>
        <v>Acceptable</v>
      </c>
      <c r="R92" s="12" t="str">
        <f t="shared" si="5"/>
        <v>Budget</v>
      </c>
    </row>
    <row r="93" spans="1:18" ht="19.899999999999999" customHeight="1">
      <c r="A93" s="16">
        <v>92</v>
      </c>
      <c r="B93" s="16">
        <v>60</v>
      </c>
      <c r="C93" s="16" t="s">
        <v>53</v>
      </c>
      <c r="D93" s="16" t="s">
        <v>59</v>
      </c>
      <c r="E93" s="16">
        <v>0</v>
      </c>
      <c r="F93" s="16">
        <v>6</v>
      </c>
      <c r="G93" s="16" t="s">
        <v>60</v>
      </c>
      <c r="H93" s="16">
        <v>500</v>
      </c>
      <c r="I93" s="16">
        <v>186</v>
      </c>
      <c r="J93" s="16">
        <v>504</v>
      </c>
      <c r="K93" s="16">
        <v>119</v>
      </c>
      <c r="L93" s="16">
        <v>366</v>
      </c>
      <c r="M93" s="16">
        <v>151</v>
      </c>
      <c r="N93" s="16">
        <v>1826</v>
      </c>
      <c r="O93" s="16">
        <v>58</v>
      </c>
      <c r="P93" s="12" t="str">
        <f t="shared" si="3"/>
        <v>Mature</v>
      </c>
      <c r="Q93" s="12" t="str">
        <f t="shared" si="4"/>
        <v>Unimpressed</v>
      </c>
      <c r="R93" s="12" t="str">
        <f t="shared" si="5"/>
        <v>Budget</v>
      </c>
    </row>
    <row r="94" spans="1:18" ht="19.899999999999999" customHeight="1">
      <c r="A94" s="16">
        <v>93</v>
      </c>
      <c r="B94" s="16">
        <v>77</v>
      </c>
      <c r="C94" s="16" t="s">
        <v>53</v>
      </c>
      <c r="D94" s="16" t="s">
        <v>51</v>
      </c>
      <c r="E94" s="16">
        <v>0</v>
      </c>
      <c r="F94" s="16">
        <v>2</v>
      </c>
      <c r="G94" s="16" t="s">
        <v>55</v>
      </c>
      <c r="H94" s="16">
        <v>2950</v>
      </c>
      <c r="I94" s="16">
        <v>0</v>
      </c>
      <c r="J94" s="16">
        <v>502</v>
      </c>
      <c r="K94" s="16">
        <v>238</v>
      </c>
      <c r="L94" s="16">
        <v>366</v>
      </c>
      <c r="M94" s="16">
        <v>149</v>
      </c>
      <c r="N94" s="16">
        <v>4205</v>
      </c>
      <c r="O94" s="16">
        <v>71</v>
      </c>
      <c r="P94" s="12" t="str">
        <f t="shared" si="3"/>
        <v>Senior</v>
      </c>
      <c r="Q94" s="12" t="str">
        <f t="shared" si="4"/>
        <v>Happy</v>
      </c>
      <c r="R94" s="12" t="str">
        <f t="shared" si="5"/>
        <v>High</v>
      </c>
    </row>
    <row r="95" spans="1:18" ht="19.899999999999999" customHeight="1">
      <c r="A95" s="16">
        <v>94</v>
      </c>
      <c r="B95" s="16">
        <v>63</v>
      </c>
      <c r="C95" s="16" t="s">
        <v>53</v>
      </c>
      <c r="D95" s="16" t="s">
        <v>54</v>
      </c>
      <c r="E95" s="16">
        <v>0</v>
      </c>
      <c r="F95" s="16">
        <v>1</v>
      </c>
      <c r="G95" s="16" t="s">
        <v>52</v>
      </c>
      <c r="H95" s="16">
        <v>1950</v>
      </c>
      <c r="I95" s="16">
        <v>678</v>
      </c>
      <c r="J95" s="16">
        <v>176</v>
      </c>
      <c r="K95" s="16">
        <v>357</v>
      </c>
      <c r="L95" s="16">
        <v>549</v>
      </c>
      <c r="M95" s="16">
        <v>0</v>
      </c>
      <c r="N95" s="16">
        <v>3710</v>
      </c>
      <c r="O95" s="16">
        <v>72</v>
      </c>
      <c r="P95" s="12" t="str">
        <f t="shared" si="3"/>
        <v>Mature</v>
      </c>
      <c r="Q95" s="12" t="str">
        <f t="shared" si="4"/>
        <v>Happy</v>
      </c>
      <c r="R95" s="12" t="str">
        <f t="shared" si="5"/>
        <v>High</v>
      </c>
    </row>
    <row r="96" spans="1:18" ht="19.899999999999999" customHeight="1">
      <c r="A96" s="16">
        <v>95</v>
      </c>
      <c r="B96" s="16">
        <v>85</v>
      </c>
      <c r="C96" s="16" t="s">
        <v>53</v>
      </c>
      <c r="D96" s="16" t="s">
        <v>51</v>
      </c>
      <c r="E96" s="16">
        <v>0</v>
      </c>
      <c r="F96" s="16">
        <v>2</v>
      </c>
      <c r="G96" s="16" t="s">
        <v>52</v>
      </c>
      <c r="H96" s="16">
        <v>1950</v>
      </c>
      <c r="I96" s="16">
        <v>522</v>
      </c>
      <c r="J96" s="16">
        <v>352</v>
      </c>
      <c r="K96" s="16">
        <v>119</v>
      </c>
      <c r="L96" s="16">
        <v>0</v>
      </c>
      <c r="M96" s="16">
        <v>0</v>
      </c>
      <c r="N96" s="16">
        <v>2943</v>
      </c>
      <c r="O96" s="16">
        <v>63</v>
      </c>
      <c r="P96" s="12" t="str">
        <f t="shared" si="3"/>
        <v>Senior</v>
      </c>
      <c r="Q96" s="12" t="str">
        <f t="shared" si="4"/>
        <v>Acceptable</v>
      </c>
      <c r="R96" s="12" t="str">
        <f t="shared" si="5"/>
        <v>Medium</v>
      </c>
    </row>
    <row r="97" spans="1:18" ht="19.899999999999999" customHeight="1">
      <c r="A97" s="16">
        <v>96</v>
      </c>
      <c r="B97" s="16">
        <v>61</v>
      </c>
      <c r="C97" s="16" t="s">
        <v>53</v>
      </c>
      <c r="D97" s="16" t="s">
        <v>54</v>
      </c>
      <c r="E97" s="16">
        <v>0</v>
      </c>
      <c r="F97" s="16">
        <v>1</v>
      </c>
      <c r="G97" s="16" t="s">
        <v>52</v>
      </c>
      <c r="H97" s="16">
        <v>1950</v>
      </c>
      <c r="I97" s="16">
        <v>678</v>
      </c>
      <c r="J97" s="16">
        <v>176</v>
      </c>
      <c r="K97" s="16">
        <v>238</v>
      </c>
      <c r="L97" s="16">
        <v>915</v>
      </c>
      <c r="M97" s="16">
        <v>453</v>
      </c>
      <c r="N97" s="16">
        <v>4410</v>
      </c>
      <c r="O97" s="16">
        <v>51</v>
      </c>
      <c r="P97" s="12" t="str">
        <f t="shared" si="3"/>
        <v>Mature</v>
      </c>
      <c r="Q97" s="12" t="str">
        <f t="shared" si="4"/>
        <v>Unimpressed</v>
      </c>
      <c r="R97" s="12" t="str">
        <f t="shared" si="5"/>
        <v>High</v>
      </c>
    </row>
    <row r="98" spans="1:18" ht="19.899999999999999" customHeight="1">
      <c r="A98" s="16">
        <v>97</v>
      </c>
      <c r="B98" s="16">
        <v>40</v>
      </c>
      <c r="C98" s="16" t="s">
        <v>50</v>
      </c>
      <c r="D98" s="16" t="s">
        <v>57</v>
      </c>
      <c r="E98" s="16">
        <v>2</v>
      </c>
      <c r="F98" s="16">
        <v>4</v>
      </c>
      <c r="G98" s="16" t="s">
        <v>52</v>
      </c>
      <c r="H98" s="16">
        <v>1950</v>
      </c>
      <c r="I98" s="16">
        <v>148</v>
      </c>
      <c r="J98" s="16">
        <v>704</v>
      </c>
      <c r="K98" s="16">
        <v>755</v>
      </c>
      <c r="L98" s="16">
        <v>0</v>
      </c>
      <c r="M98" s="16">
        <v>392</v>
      </c>
      <c r="N98" s="16">
        <v>3949</v>
      </c>
      <c r="O98" s="16">
        <v>66</v>
      </c>
      <c r="P98" s="12" t="str">
        <f t="shared" si="3"/>
        <v>Core</v>
      </c>
      <c r="Q98" s="12" t="str">
        <f t="shared" si="4"/>
        <v>Acceptable</v>
      </c>
      <c r="R98" s="12" t="str">
        <f t="shared" si="5"/>
        <v>High</v>
      </c>
    </row>
    <row r="99" spans="1:18" ht="19.899999999999999" customHeight="1">
      <c r="A99" s="16">
        <v>98</v>
      </c>
      <c r="B99" s="16">
        <v>50</v>
      </c>
      <c r="C99" s="16" t="s">
        <v>56</v>
      </c>
      <c r="D99" s="16" t="s">
        <v>57</v>
      </c>
      <c r="E99" s="16">
        <v>3</v>
      </c>
      <c r="F99" s="16">
        <v>5</v>
      </c>
      <c r="G99" s="16" t="s">
        <v>52</v>
      </c>
      <c r="H99" s="16">
        <v>1950</v>
      </c>
      <c r="I99" s="16">
        <v>592</v>
      </c>
      <c r="J99" s="16">
        <v>880</v>
      </c>
      <c r="K99" s="16">
        <v>167</v>
      </c>
      <c r="L99" s="16">
        <v>0</v>
      </c>
      <c r="M99" s="16">
        <v>0</v>
      </c>
      <c r="N99" s="16">
        <v>3589</v>
      </c>
      <c r="O99" s="16">
        <v>69</v>
      </c>
      <c r="P99" s="12" t="str">
        <f t="shared" si="3"/>
        <v>Prime</v>
      </c>
      <c r="Q99" s="12" t="str">
        <f t="shared" si="4"/>
        <v>Acceptable</v>
      </c>
      <c r="R99" s="12" t="str">
        <f t="shared" si="5"/>
        <v>High</v>
      </c>
    </row>
    <row r="100" spans="1:18" ht="19.899999999999999" customHeight="1">
      <c r="A100" s="16">
        <v>99</v>
      </c>
      <c r="B100" s="16">
        <v>59</v>
      </c>
      <c r="C100" s="16" t="s">
        <v>50</v>
      </c>
      <c r="D100" s="16" t="s">
        <v>57</v>
      </c>
      <c r="E100" s="16">
        <v>2</v>
      </c>
      <c r="F100" s="16">
        <v>4</v>
      </c>
      <c r="G100" s="16" t="s">
        <v>55</v>
      </c>
      <c r="H100" s="16">
        <v>2950</v>
      </c>
      <c r="I100" s="16">
        <v>296</v>
      </c>
      <c r="J100" s="16">
        <v>1004</v>
      </c>
      <c r="K100" s="16">
        <v>755</v>
      </c>
      <c r="L100" s="16">
        <v>119</v>
      </c>
      <c r="M100" s="16">
        <v>149</v>
      </c>
      <c r="N100" s="16">
        <v>5273</v>
      </c>
      <c r="O100" s="16">
        <v>55</v>
      </c>
      <c r="P100" s="12" t="str">
        <f t="shared" si="3"/>
        <v>Prime</v>
      </c>
      <c r="Q100" s="12" t="str">
        <f t="shared" si="4"/>
        <v>Unimpressed</v>
      </c>
      <c r="R100" s="12" t="str">
        <f t="shared" si="5"/>
        <v>Premium</v>
      </c>
    </row>
    <row r="101" spans="1:18" ht="19.899999999999999" customHeight="1">
      <c r="A101" s="16">
        <v>100</v>
      </c>
      <c r="B101" s="16">
        <v>38</v>
      </c>
      <c r="C101" s="16" t="s">
        <v>53</v>
      </c>
      <c r="D101" s="16" t="s">
        <v>57</v>
      </c>
      <c r="E101" s="16">
        <v>3</v>
      </c>
      <c r="F101" s="16">
        <v>5</v>
      </c>
      <c r="G101" s="16" t="s">
        <v>55</v>
      </c>
      <c r="H101" s="16">
        <v>2950</v>
      </c>
      <c r="I101" s="16">
        <v>148</v>
      </c>
      <c r="J101" s="16">
        <v>1255</v>
      </c>
      <c r="K101" s="16">
        <v>119</v>
      </c>
      <c r="L101" s="16">
        <v>915</v>
      </c>
      <c r="M101" s="16">
        <v>392</v>
      </c>
      <c r="N101" s="16">
        <v>5779</v>
      </c>
      <c r="O101" s="16">
        <v>56</v>
      </c>
      <c r="P101" s="12" t="str">
        <f t="shared" si="3"/>
        <v>Core</v>
      </c>
      <c r="Q101" s="12" t="str">
        <f t="shared" si="4"/>
        <v>Unimpressed</v>
      </c>
      <c r="R101" s="12" t="str">
        <f t="shared" si="5"/>
        <v>Premium</v>
      </c>
    </row>
    <row r="102" spans="1:18" ht="19.899999999999999" customHeight="1">
      <c r="A102" s="16">
        <v>101</v>
      </c>
      <c r="B102" s="16">
        <v>63</v>
      </c>
      <c r="C102" s="16" t="s">
        <v>53</v>
      </c>
      <c r="D102" s="16" t="s">
        <v>51</v>
      </c>
      <c r="E102" s="16">
        <v>0</v>
      </c>
      <c r="F102" s="16">
        <v>2</v>
      </c>
      <c r="G102" s="16" t="s">
        <v>55</v>
      </c>
      <c r="H102" s="16">
        <v>2950</v>
      </c>
      <c r="I102" s="16">
        <v>696</v>
      </c>
      <c r="J102" s="16">
        <v>502</v>
      </c>
      <c r="K102" s="16">
        <v>0</v>
      </c>
      <c r="L102" s="16">
        <v>0</v>
      </c>
      <c r="M102" s="16">
        <v>604</v>
      </c>
      <c r="N102" s="16">
        <v>4752</v>
      </c>
      <c r="O102" s="16">
        <v>63</v>
      </c>
      <c r="P102" s="12" t="str">
        <f t="shared" si="3"/>
        <v>Mature</v>
      </c>
      <c r="Q102" s="12" t="str">
        <f t="shared" si="4"/>
        <v>Acceptable</v>
      </c>
      <c r="R102" s="12" t="str">
        <f t="shared" si="5"/>
        <v>Premium</v>
      </c>
    </row>
    <row r="103" spans="1:18" ht="19.899999999999999" customHeight="1">
      <c r="A103" s="16">
        <v>102</v>
      </c>
      <c r="B103" s="16">
        <v>49</v>
      </c>
      <c r="C103" s="16" t="s">
        <v>53</v>
      </c>
      <c r="D103" s="16" t="s">
        <v>57</v>
      </c>
      <c r="E103" s="16">
        <v>1</v>
      </c>
      <c r="F103" s="16">
        <v>3</v>
      </c>
      <c r="G103" s="16" t="s">
        <v>52</v>
      </c>
      <c r="H103" s="16">
        <v>1950</v>
      </c>
      <c r="I103" s="16">
        <v>444</v>
      </c>
      <c r="J103" s="16">
        <v>528</v>
      </c>
      <c r="K103" s="16">
        <v>238</v>
      </c>
      <c r="L103" s="16">
        <v>183</v>
      </c>
      <c r="M103" s="16">
        <v>298</v>
      </c>
      <c r="N103" s="16">
        <v>3641</v>
      </c>
      <c r="O103" s="16">
        <v>72</v>
      </c>
      <c r="P103" s="12" t="str">
        <f t="shared" si="3"/>
        <v>Prime</v>
      </c>
      <c r="Q103" s="12" t="str">
        <f t="shared" si="4"/>
        <v>Happy</v>
      </c>
      <c r="R103" s="12" t="str">
        <f t="shared" si="5"/>
        <v>High</v>
      </c>
    </row>
    <row r="104" spans="1:18" ht="19.899999999999999" customHeight="1">
      <c r="A104" s="16">
        <v>103</v>
      </c>
      <c r="B104" s="16">
        <v>69</v>
      </c>
      <c r="C104" s="16" t="s">
        <v>50</v>
      </c>
      <c r="D104" s="16" t="s">
        <v>57</v>
      </c>
      <c r="E104" s="16">
        <v>1</v>
      </c>
      <c r="F104" s="16">
        <v>3</v>
      </c>
      <c r="G104" s="16" t="s">
        <v>58</v>
      </c>
      <c r="H104" s="16">
        <v>1150</v>
      </c>
      <c r="I104" s="16">
        <v>148</v>
      </c>
      <c r="J104" s="16">
        <v>378</v>
      </c>
      <c r="K104" s="16">
        <v>604</v>
      </c>
      <c r="L104" s="16">
        <v>357</v>
      </c>
      <c r="M104" s="16">
        <v>0</v>
      </c>
      <c r="N104" s="16">
        <v>2637</v>
      </c>
      <c r="O104" s="16">
        <v>58</v>
      </c>
      <c r="P104" s="12" t="str">
        <f t="shared" si="3"/>
        <v>Mature</v>
      </c>
      <c r="Q104" s="12" t="str">
        <f t="shared" si="4"/>
        <v>Unimpressed</v>
      </c>
      <c r="R104" s="12" t="str">
        <f t="shared" si="5"/>
        <v>Medium</v>
      </c>
    </row>
    <row r="105" spans="1:18" ht="19.899999999999999" customHeight="1">
      <c r="A105" s="16">
        <v>104</v>
      </c>
      <c r="B105" s="16">
        <v>32</v>
      </c>
      <c r="C105" s="16" t="s">
        <v>53</v>
      </c>
      <c r="D105" s="16" t="s">
        <v>57</v>
      </c>
      <c r="E105" s="16">
        <v>3</v>
      </c>
      <c r="F105" s="16">
        <v>5</v>
      </c>
      <c r="G105" s="16" t="s">
        <v>58</v>
      </c>
      <c r="H105" s="16">
        <v>1150</v>
      </c>
      <c r="I105" s="16">
        <v>148</v>
      </c>
      <c r="J105" s="16">
        <v>630</v>
      </c>
      <c r="K105" s="16">
        <v>238</v>
      </c>
      <c r="L105" s="16">
        <v>0</v>
      </c>
      <c r="M105" s="16">
        <v>392</v>
      </c>
      <c r="N105" s="16">
        <v>2558</v>
      </c>
      <c r="O105" s="16">
        <v>80</v>
      </c>
      <c r="P105" s="12" t="str">
        <f t="shared" si="3"/>
        <v>Core</v>
      </c>
      <c r="Q105" s="12" t="str">
        <f t="shared" si="4"/>
        <v>Delighted</v>
      </c>
      <c r="R105" s="12" t="str">
        <f t="shared" si="5"/>
        <v>Medium</v>
      </c>
    </row>
    <row r="106" spans="1:18" ht="19.899999999999999" customHeight="1">
      <c r="A106" s="16">
        <v>105</v>
      </c>
      <c r="B106" s="16">
        <v>68</v>
      </c>
      <c r="C106" s="16" t="s">
        <v>50</v>
      </c>
      <c r="D106" s="16" t="s">
        <v>57</v>
      </c>
      <c r="E106" s="16">
        <v>2</v>
      </c>
      <c r="F106" s="16">
        <v>4</v>
      </c>
      <c r="G106" s="16" t="s">
        <v>55</v>
      </c>
      <c r="H106" s="16">
        <v>2950</v>
      </c>
      <c r="I106" s="16">
        <v>444</v>
      </c>
      <c r="J106" s="16">
        <v>1004</v>
      </c>
      <c r="K106" s="16">
        <v>151</v>
      </c>
      <c r="L106" s="16">
        <v>238</v>
      </c>
      <c r="M106" s="16">
        <v>453</v>
      </c>
      <c r="N106" s="16">
        <v>5240</v>
      </c>
      <c r="O106" s="16">
        <v>64</v>
      </c>
      <c r="P106" s="12" t="str">
        <f t="shared" si="3"/>
        <v>Mature</v>
      </c>
      <c r="Q106" s="12" t="str">
        <f t="shared" si="4"/>
        <v>Acceptable</v>
      </c>
      <c r="R106" s="12" t="str">
        <f t="shared" si="5"/>
        <v>Premium</v>
      </c>
    </row>
    <row r="107" spans="1:18" ht="19.899999999999999" customHeight="1">
      <c r="A107" s="16">
        <v>106</v>
      </c>
      <c r="B107" s="16">
        <v>37</v>
      </c>
      <c r="C107" s="16" t="s">
        <v>53</v>
      </c>
      <c r="D107" s="16" t="s">
        <v>59</v>
      </c>
      <c r="E107" s="16">
        <v>0</v>
      </c>
      <c r="F107" s="16">
        <v>3</v>
      </c>
      <c r="G107" s="16" t="s">
        <v>58</v>
      </c>
      <c r="H107" s="16">
        <v>1150</v>
      </c>
      <c r="I107" s="16">
        <v>0</v>
      </c>
      <c r="J107" s="16">
        <v>378</v>
      </c>
      <c r="K107" s="16">
        <v>0</v>
      </c>
      <c r="L107" s="16">
        <v>549</v>
      </c>
      <c r="M107" s="16">
        <v>196</v>
      </c>
      <c r="N107" s="16">
        <v>2273</v>
      </c>
      <c r="O107" s="16">
        <v>89</v>
      </c>
      <c r="P107" s="12" t="str">
        <f t="shared" si="3"/>
        <v>Core</v>
      </c>
      <c r="Q107" s="12" t="str">
        <f t="shared" si="4"/>
        <v>Delighted</v>
      </c>
      <c r="R107" s="12" t="str">
        <f t="shared" si="5"/>
        <v>Budget</v>
      </c>
    </row>
    <row r="108" spans="1:18" ht="19.899999999999999" customHeight="1">
      <c r="A108" s="16">
        <v>107</v>
      </c>
      <c r="B108" s="16">
        <v>55</v>
      </c>
      <c r="C108" s="16" t="s">
        <v>50</v>
      </c>
      <c r="D108" s="16" t="s">
        <v>57</v>
      </c>
      <c r="E108" s="16">
        <v>3</v>
      </c>
      <c r="F108" s="16">
        <v>5</v>
      </c>
      <c r="G108" s="16" t="s">
        <v>52</v>
      </c>
      <c r="H108" s="16">
        <v>1950</v>
      </c>
      <c r="I108" s="16">
        <v>592</v>
      </c>
      <c r="J108" s="16">
        <v>880</v>
      </c>
      <c r="K108" s="16">
        <v>302</v>
      </c>
      <c r="L108" s="16">
        <v>119</v>
      </c>
      <c r="M108" s="16">
        <v>447</v>
      </c>
      <c r="N108" s="16">
        <v>4290</v>
      </c>
      <c r="O108" s="16">
        <v>86</v>
      </c>
      <c r="P108" s="12" t="str">
        <f t="shared" si="3"/>
        <v>Prime</v>
      </c>
      <c r="Q108" s="12" t="str">
        <f t="shared" si="4"/>
        <v>Delighted</v>
      </c>
      <c r="R108" s="12" t="str">
        <f t="shared" si="5"/>
        <v>High</v>
      </c>
    </row>
    <row r="109" spans="1:18" ht="19.899999999999999" customHeight="1">
      <c r="A109" s="16">
        <v>108</v>
      </c>
      <c r="B109" s="16">
        <v>61</v>
      </c>
      <c r="C109" s="16" t="s">
        <v>53</v>
      </c>
      <c r="D109" s="16" t="s">
        <v>51</v>
      </c>
      <c r="E109" s="16">
        <v>0</v>
      </c>
      <c r="F109" s="16">
        <v>2</v>
      </c>
      <c r="G109" s="16" t="s">
        <v>55</v>
      </c>
      <c r="H109" s="16">
        <v>2950</v>
      </c>
      <c r="I109" s="16">
        <v>348</v>
      </c>
      <c r="J109" s="16">
        <v>502</v>
      </c>
      <c r="K109" s="16">
        <v>357</v>
      </c>
      <c r="L109" s="16">
        <v>0</v>
      </c>
      <c r="M109" s="16">
        <v>0</v>
      </c>
      <c r="N109" s="16">
        <v>4157</v>
      </c>
      <c r="O109" s="16">
        <v>68</v>
      </c>
      <c r="P109" s="12" t="str">
        <f t="shared" si="3"/>
        <v>Mature</v>
      </c>
      <c r="Q109" s="12" t="str">
        <f t="shared" si="4"/>
        <v>Acceptable</v>
      </c>
      <c r="R109" s="12" t="str">
        <f t="shared" si="5"/>
        <v>High</v>
      </c>
    </row>
    <row r="110" spans="1:18" ht="19.899999999999999" customHeight="1">
      <c r="A110" s="16">
        <v>109</v>
      </c>
      <c r="B110" s="16">
        <v>39</v>
      </c>
      <c r="C110" s="16" t="s">
        <v>53</v>
      </c>
      <c r="D110" s="16" t="s">
        <v>51</v>
      </c>
      <c r="E110" s="16">
        <v>0</v>
      </c>
      <c r="F110" s="16">
        <v>2</v>
      </c>
      <c r="G110" s="16" t="s">
        <v>58</v>
      </c>
      <c r="H110" s="16">
        <v>1150</v>
      </c>
      <c r="I110" s="16">
        <v>0</v>
      </c>
      <c r="J110" s="16">
        <v>252</v>
      </c>
      <c r="K110" s="16">
        <v>0</v>
      </c>
      <c r="L110" s="16">
        <v>732</v>
      </c>
      <c r="M110" s="16">
        <v>0</v>
      </c>
      <c r="N110" s="16">
        <v>2134</v>
      </c>
      <c r="O110" s="16">
        <v>68</v>
      </c>
      <c r="P110" s="12" t="str">
        <f t="shared" si="3"/>
        <v>Core</v>
      </c>
      <c r="Q110" s="12" t="str">
        <f t="shared" si="4"/>
        <v>Acceptable</v>
      </c>
      <c r="R110" s="12" t="str">
        <f t="shared" si="5"/>
        <v>Budget</v>
      </c>
    </row>
    <row r="111" spans="1:18" ht="19.899999999999999" customHeight="1">
      <c r="A111" s="16">
        <v>110</v>
      </c>
      <c r="B111" s="16">
        <v>69</v>
      </c>
      <c r="C111" s="16" t="s">
        <v>53</v>
      </c>
      <c r="D111" s="16" t="s">
        <v>59</v>
      </c>
      <c r="E111" s="16">
        <v>0</v>
      </c>
      <c r="F111" s="16">
        <v>8</v>
      </c>
      <c r="G111" s="16" t="s">
        <v>60</v>
      </c>
      <c r="H111" s="16">
        <v>500</v>
      </c>
      <c r="I111" s="16">
        <v>186</v>
      </c>
      <c r="J111" s="16">
        <v>672</v>
      </c>
      <c r="K111" s="16">
        <v>0</v>
      </c>
      <c r="L111" s="16">
        <v>732</v>
      </c>
      <c r="M111" s="16">
        <v>453</v>
      </c>
      <c r="N111" s="16">
        <v>2543</v>
      </c>
      <c r="O111" s="16">
        <v>51</v>
      </c>
      <c r="P111" s="12" t="str">
        <f t="shared" si="3"/>
        <v>Mature</v>
      </c>
      <c r="Q111" s="12" t="str">
        <f t="shared" si="4"/>
        <v>Unimpressed</v>
      </c>
      <c r="R111" s="12" t="str">
        <f t="shared" si="5"/>
        <v>Medium</v>
      </c>
    </row>
    <row r="112" spans="1:18" ht="19.899999999999999" customHeight="1">
      <c r="A112" s="16">
        <v>111</v>
      </c>
      <c r="B112" s="16">
        <v>43</v>
      </c>
      <c r="C112" s="16" t="s">
        <v>50</v>
      </c>
      <c r="D112" s="16" t="s">
        <v>51</v>
      </c>
      <c r="E112" s="16">
        <v>0</v>
      </c>
      <c r="F112" s="16">
        <v>2</v>
      </c>
      <c r="G112" s="16" t="s">
        <v>58</v>
      </c>
      <c r="H112" s="16">
        <v>1150</v>
      </c>
      <c r="I112" s="16">
        <v>522</v>
      </c>
      <c r="J112" s="16">
        <v>252</v>
      </c>
      <c r="K112" s="16">
        <v>151</v>
      </c>
      <c r="L112" s="16">
        <v>238</v>
      </c>
      <c r="M112" s="16">
        <v>392</v>
      </c>
      <c r="N112" s="16">
        <v>2705</v>
      </c>
      <c r="O112" s="16">
        <v>92</v>
      </c>
      <c r="P112" s="12" t="str">
        <f t="shared" si="3"/>
        <v>Core</v>
      </c>
      <c r="Q112" s="12" t="str">
        <f t="shared" si="4"/>
        <v>Delighted</v>
      </c>
      <c r="R112" s="12" t="str">
        <f t="shared" si="5"/>
        <v>Medium</v>
      </c>
    </row>
    <row r="113" spans="1:18" ht="19.899999999999999" customHeight="1">
      <c r="A113" s="16">
        <v>112</v>
      </c>
      <c r="B113" s="16">
        <v>48</v>
      </c>
      <c r="C113" s="16" t="s">
        <v>50</v>
      </c>
      <c r="D113" s="16" t="s">
        <v>59</v>
      </c>
      <c r="E113" s="16">
        <v>0</v>
      </c>
      <c r="F113" s="16">
        <v>6</v>
      </c>
      <c r="G113" s="16" t="s">
        <v>60</v>
      </c>
      <c r="H113" s="16">
        <v>500</v>
      </c>
      <c r="I113" s="16">
        <v>93</v>
      </c>
      <c r="J113" s="16">
        <v>504</v>
      </c>
      <c r="K113" s="16">
        <v>151</v>
      </c>
      <c r="L113" s="16">
        <v>238</v>
      </c>
      <c r="M113" s="16">
        <v>298</v>
      </c>
      <c r="N113" s="16">
        <v>1784</v>
      </c>
      <c r="O113" s="16">
        <v>89</v>
      </c>
      <c r="P113" s="12" t="str">
        <f t="shared" si="3"/>
        <v>Prime</v>
      </c>
      <c r="Q113" s="12" t="str">
        <f t="shared" si="4"/>
        <v>Delighted</v>
      </c>
      <c r="R113" s="12" t="str">
        <f t="shared" si="5"/>
        <v>Budget</v>
      </c>
    </row>
    <row r="114" spans="1:18" ht="19.899999999999999" customHeight="1">
      <c r="A114" s="16">
        <v>113</v>
      </c>
      <c r="B114" s="16">
        <v>24</v>
      </c>
      <c r="C114" s="16" t="s">
        <v>53</v>
      </c>
      <c r="D114" s="16" t="s">
        <v>59</v>
      </c>
      <c r="E114" s="16">
        <v>0</v>
      </c>
      <c r="F114" s="16">
        <v>6</v>
      </c>
      <c r="G114" s="16" t="s">
        <v>60</v>
      </c>
      <c r="H114" s="16">
        <v>500</v>
      </c>
      <c r="I114" s="16">
        <v>0</v>
      </c>
      <c r="J114" s="16">
        <v>504</v>
      </c>
      <c r="K114" s="16">
        <v>238</v>
      </c>
      <c r="L114" s="16">
        <v>366</v>
      </c>
      <c r="M114" s="16">
        <v>147</v>
      </c>
      <c r="N114" s="16">
        <v>1755</v>
      </c>
      <c r="O114" s="16">
        <v>94</v>
      </c>
      <c r="P114" s="12" t="str">
        <f t="shared" si="3"/>
        <v>Young</v>
      </c>
      <c r="Q114" s="12" t="str">
        <f t="shared" si="4"/>
        <v>Delighted</v>
      </c>
      <c r="R114" s="12" t="str">
        <f t="shared" si="5"/>
        <v>Budget</v>
      </c>
    </row>
    <row r="115" spans="1:18" ht="19.899999999999999" customHeight="1">
      <c r="A115" s="16">
        <v>114</v>
      </c>
      <c r="B115" s="16">
        <v>63</v>
      </c>
      <c r="C115" s="16" t="s">
        <v>53</v>
      </c>
      <c r="D115" s="16" t="s">
        <v>51</v>
      </c>
      <c r="E115" s="16">
        <v>0</v>
      </c>
      <c r="F115" s="16">
        <v>2</v>
      </c>
      <c r="G115" s="16" t="s">
        <v>55</v>
      </c>
      <c r="H115" s="16">
        <v>2950</v>
      </c>
      <c r="I115" s="16">
        <v>522</v>
      </c>
      <c r="J115" s="16">
        <v>502</v>
      </c>
      <c r="K115" s="16">
        <v>0</v>
      </c>
      <c r="L115" s="16">
        <v>366</v>
      </c>
      <c r="M115" s="16">
        <v>604</v>
      </c>
      <c r="N115" s="16">
        <v>4944</v>
      </c>
      <c r="O115" s="16">
        <v>88</v>
      </c>
      <c r="P115" s="12" t="str">
        <f t="shared" si="3"/>
        <v>Mature</v>
      </c>
      <c r="Q115" s="12" t="str">
        <f t="shared" si="4"/>
        <v>Delighted</v>
      </c>
      <c r="R115" s="12" t="str">
        <f t="shared" si="5"/>
        <v>Premium</v>
      </c>
    </row>
    <row r="116" spans="1:18" ht="19.899999999999999" customHeight="1">
      <c r="A116" s="16">
        <v>115</v>
      </c>
      <c r="B116" s="16">
        <v>41</v>
      </c>
      <c r="C116" s="16" t="s">
        <v>53</v>
      </c>
      <c r="D116" s="16" t="s">
        <v>59</v>
      </c>
      <c r="E116" s="16">
        <v>0</v>
      </c>
      <c r="F116" s="16">
        <v>6</v>
      </c>
      <c r="G116" s="16" t="s">
        <v>58</v>
      </c>
      <c r="H116" s="16">
        <v>1150</v>
      </c>
      <c r="I116" s="16">
        <v>0</v>
      </c>
      <c r="J116" s="16">
        <v>756</v>
      </c>
      <c r="K116" s="16">
        <v>0</v>
      </c>
      <c r="L116" s="16">
        <v>183</v>
      </c>
      <c r="M116" s="16">
        <v>392</v>
      </c>
      <c r="N116" s="16">
        <v>2481</v>
      </c>
      <c r="O116" s="16">
        <v>81</v>
      </c>
      <c r="P116" s="12" t="str">
        <f t="shared" si="3"/>
        <v>Core</v>
      </c>
      <c r="Q116" s="12" t="str">
        <f t="shared" si="4"/>
        <v>Delighted</v>
      </c>
      <c r="R116" s="12" t="str">
        <f t="shared" si="5"/>
        <v>Budget</v>
      </c>
    </row>
    <row r="117" spans="1:18" ht="19.899999999999999" customHeight="1">
      <c r="A117" s="16">
        <v>116</v>
      </c>
      <c r="B117" s="16">
        <v>39</v>
      </c>
      <c r="C117" s="16" t="s">
        <v>53</v>
      </c>
      <c r="D117" s="16" t="s">
        <v>59</v>
      </c>
      <c r="E117" s="16">
        <v>0</v>
      </c>
      <c r="F117" s="16">
        <v>8</v>
      </c>
      <c r="G117" s="16" t="s">
        <v>58</v>
      </c>
      <c r="H117" s="16">
        <v>1150</v>
      </c>
      <c r="I117" s="16">
        <v>0</v>
      </c>
      <c r="J117" s="16">
        <v>1008</v>
      </c>
      <c r="K117" s="16">
        <v>0</v>
      </c>
      <c r="L117" s="16">
        <v>366</v>
      </c>
      <c r="M117" s="16">
        <v>196</v>
      </c>
      <c r="N117" s="16">
        <v>2720</v>
      </c>
      <c r="O117" s="16">
        <v>97</v>
      </c>
      <c r="P117" s="12" t="str">
        <f t="shared" si="3"/>
        <v>Core</v>
      </c>
      <c r="Q117" s="12" t="str">
        <f t="shared" si="4"/>
        <v>Delighted</v>
      </c>
      <c r="R117" s="12" t="str">
        <f t="shared" si="5"/>
        <v>Medium</v>
      </c>
    </row>
    <row r="118" spans="1:18" ht="19.899999999999999" customHeight="1">
      <c r="A118" s="16">
        <v>117</v>
      </c>
      <c r="B118" s="16">
        <v>56</v>
      </c>
      <c r="C118" s="16" t="s">
        <v>53</v>
      </c>
      <c r="D118" s="16" t="s">
        <v>57</v>
      </c>
      <c r="E118" s="16">
        <v>2</v>
      </c>
      <c r="F118" s="16">
        <v>4</v>
      </c>
      <c r="G118" s="16" t="s">
        <v>60</v>
      </c>
      <c r="H118" s="16">
        <v>500</v>
      </c>
      <c r="I118" s="16">
        <v>444</v>
      </c>
      <c r="J118" s="16">
        <v>336</v>
      </c>
      <c r="K118" s="16">
        <v>238</v>
      </c>
      <c r="L118" s="16">
        <v>732</v>
      </c>
      <c r="M118" s="16">
        <v>447</v>
      </c>
      <c r="N118" s="16">
        <v>2697</v>
      </c>
      <c r="O118" s="16">
        <v>53</v>
      </c>
      <c r="P118" s="12" t="str">
        <f t="shared" si="3"/>
        <v>Prime</v>
      </c>
      <c r="Q118" s="12" t="str">
        <f t="shared" si="4"/>
        <v>Unimpressed</v>
      </c>
      <c r="R118" s="12" t="str">
        <f t="shared" si="5"/>
        <v>Medium</v>
      </c>
    </row>
    <row r="119" spans="1:18" ht="19.899999999999999" customHeight="1">
      <c r="A119" s="16">
        <v>118</v>
      </c>
      <c r="B119" s="16">
        <v>68</v>
      </c>
      <c r="C119" s="16" t="s">
        <v>50</v>
      </c>
      <c r="D119" s="16" t="s">
        <v>51</v>
      </c>
      <c r="E119" s="16">
        <v>0</v>
      </c>
      <c r="F119" s="16">
        <v>2</v>
      </c>
      <c r="G119" s="16" t="s">
        <v>55</v>
      </c>
      <c r="H119" s="16">
        <v>2950</v>
      </c>
      <c r="I119" s="16">
        <v>696</v>
      </c>
      <c r="J119" s="16">
        <v>502</v>
      </c>
      <c r="K119" s="16">
        <v>604</v>
      </c>
      <c r="L119" s="16">
        <v>357</v>
      </c>
      <c r="M119" s="16">
        <v>453</v>
      </c>
      <c r="N119" s="16">
        <v>5562</v>
      </c>
      <c r="O119" s="16">
        <v>80</v>
      </c>
      <c r="P119" s="12" t="str">
        <f t="shared" si="3"/>
        <v>Mature</v>
      </c>
      <c r="Q119" s="12" t="str">
        <f t="shared" si="4"/>
        <v>Delighted</v>
      </c>
      <c r="R119" s="12" t="str">
        <f t="shared" si="5"/>
        <v>Premium</v>
      </c>
    </row>
    <row r="120" spans="1:18" ht="19.899999999999999" customHeight="1">
      <c r="A120" s="16">
        <v>119</v>
      </c>
      <c r="B120" s="16">
        <v>68</v>
      </c>
      <c r="C120" s="16" t="s">
        <v>53</v>
      </c>
      <c r="D120" s="16" t="s">
        <v>57</v>
      </c>
      <c r="E120" s="16">
        <v>3</v>
      </c>
      <c r="F120" s="16">
        <v>5</v>
      </c>
      <c r="G120" s="16" t="s">
        <v>55</v>
      </c>
      <c r="H120" s="16">
        <v>2950</v>
      </c>
      <c r="I120" s="16">
        <v>0</v>
      </c>
      <c r="J120" s="16">
        <v>1255</v>
      </c>
      <c r="K120" s="16">
        <v>119</v>
      </c>
      <c r="L120" s="16">
        <v>0</v>
      </c>
      <c r="M120" s="16">
        <v>302</v>
      </c>
      <c r="N120" s="16">
        <v>4626</v>
      </c>
      <c r="O120" s="16">
        <v>80</v>
      </c>
      <c r="P120" s="12" t="str">
        <f t="shared" si="3"/>
        <v>Mature</v>
      </c>
      <c r="Q120" s="12" t="str">
        <f t="shared" si="4"/>
        <v>Delighted</v>
      </c>
      <c r="R120" s="12" t="str">
        <f t="shared" si="5"/>
        <v>Premium</v>
      </c>
    </row>
    <row r="121" spans="1:18" ht="19.899999999999999" customHeight="1">
      <c r="A121" s="16">
        <v>120</v>
      </c>
      <c r="B121" s="16">
        <v>45</v>
      </c>
      <c r="C121" s="16" t="s">
        <v>53</v>
      </c>
      <c r="D121" s="16" t="s">
        <v>57</v>
      </c>
      <c r="E121" s="16">
        <v>4</v>
      </c>
      <c r="F121" s="16">
        <v>6</v>
      </c>
      <c r="G121" s="16" t="s">
        <v>58</v>
      </c>
      <c r="H121" s="16">
        <v>1150</v>
      </c>
      <c r="I121" s="16">
        <v>592</v>
      </c>
      <c r="J121" s="16">
        <v>756</v>
      </c>
      <c r="K121" s="16">
        <v>119</v>
      </c>
      <c r="L121" s="16">
        <v>366</v>
      </c>
      <c r="M121" s="16">
        <v>392</v>
      </c>
      <c r="N121" s="16">
        <v>3375</v>
      </c>
      <c r="O121" s="16">
        <v>95</v>
      </c>
      <c r="P121" s="12" t="str">
        <f t="shared" si="3"/>
        <v>Core</v>
      </c>
      <c r="Q121" s="12" t="str">
        <f t="shared" si="4"/>
        <v>Delighted</v>
      </c>
      <c r="R121" s="12" t="str">
        <f t="shared" si="5"/>
        <v>Medium</v>
      </c>
    </row>
    <row r="122" spans="1:18" ht="19.899999999999999" customHeight="1">
      <c r="A122" s="16">
        <v>121</v>
      </c>
      <c r="B122" s="16">
        <v>58</v>
      </c>
      <c r="C122" s="16" t="s">
        <v>53</v>
      </c>
      <c r="D122" s="16" t="s">
        <v>54</v>
      </c>
      <c r="E122" s="16">
        <v>0</v>
      </c>
      <c r="F122" s="16">
        <v>1</v>
      </c>
      <c r="G122" s="16" t="s">
        <v>58</v>
      </c>
      <c r="H122" s="16">
        <v>1150</v>
      </c>
      <c r="I122" s="16">
        <v>226</v>
      </c>
      <c r="J122" s="16">
        <v>126</v>
      </c>
      <c r="K122" s="16">
        <v>0</v>
      </c>
      <c r="L122" s="16">
        <v>915</v>
      </c>
      <c r="M122" s="16">
        <v>0</v>
      </c>
      <c r="N122" s="16">
        <v>2417</v>
      </c>
      <c r="O122" s="16">
        <v>89</v>
      </c>
      <c r="P122" s="12" t="str">
        <f t="shared" si="3"/>
        <v>Prime</v>
      </c>
      <c r="Q122" s="12" t="str">
        <f t="shared" si="4"/>
        <v>Delighted</v>
      </c>
      <c r="R122" s="12" t="str">
        <f t="shared" si="5"/>
        <v>Budget</v>
      </c>
    </row>
    <row r="123" spans="1:18" ht="19.899999999999999" customHeight="1">
      <c r="A123" s="16">
        <v>122</v>
      </c>
      <c r="B123" s="16">
        <v>25</v>
      </c>
      <c r="C123" s="16" t="s">
        <v>53</v>
      </c>
      <c r="D123" s="16" t="s">
        <v>51</v>
      </c>
      <c r="E123" s="16">
        <v>0</v>
      </c>
      <c r="F123" s="16">
        <v>2</v>
      </c>
      <c r="G123" s="16" t="s">
        <v>60</v>
      </c>
      <c r="H123" s="16">
        <v>500</v>
      </c>
      <c r="I123" s="16">
        <v>0</v>
      </c>
      <c r="J123" s="16">
        <v>168</v>
      </c>
      <c r="K123" s="16">
        <v>357</v>
      </c>
      <c r="L123" s="16">
        <v>0</v>
      </c>
      <c r="M123" s="16">
        <v>147</v>
      </c>
      <c r="N123" s="16">
        <v>1172</v>
      </c>
      <c r="O123" s="16">
        <v>85</v>
      </c>
      <c r="P123" s="12" t="str">
        <f t="shared" si="3"/>
        <v>Young</v>
      </c>
      <c r="Q123" s="12" t="str">
        <f t="shared" si="4"/>
        <v>Delighted</v>
      </c>
      <c r="R123" s="12" t="str">
        <f t="shared" si="5"/>
        <v>Budget</v>
      </c>
    </row>
    <row r="124" spans="1:18" ht="19.899999999999999" customHeight="1">
      <c r="A124" s="16">
        <v>123</v>
      </c>
      <c r="B124" s="16">
        <v>75</v>
      </c>
      <c r="C124" s="16" t="s">
        <v>50</v>
      </c>
      <c r="D124" s="16" t="s">
        <v>59</v>
      </c>
      <c r="E124" s="16">
        <v>0</v>
      </c>
      <c r="F124" s="16">
        <v>4</v>
      </c>
      <c r="G124" s="16" t="s">
        <v>60</v>
      </c>
      <c r="H124" s="16">
        <v>500</v>
      </c>
      <c r="I124" s="16">
        <v>93</v>
      </c>
      <c r="J124" s="16">
        <v>336</v>
      </c>
      <c r="K124" s="16">
        <v>755</v>
      </c>
      <c r="L124" s="16">
        <v>357</v>
      </c>
      <c r="M124" s="16">
        <v>0</v>
      </c>
      <c r="N124" s="16">
        <v>2041</v>
      </c>
      <c r="O124" s="16">
        <v>60</v>
      </c>
      <c r="P124" s="12" t="str">
        <f t="shared" si="3"/>
        <v>Senior</v>
      </c>
      <c r="Q124" s="12" t="str">
        <f t="shared" si="4"/>
        <v>Acceptable</v>
      </c>
      <c r="R124" s="12" t="str">
        <f t="shared" si="5"/>
        <v>Budget</v>
      </c>
    </row>
    <row r="125" spans="1:18" ht="19.899999999999999" customHeight="1">
      <c r="A125" s="16">
        <v>124</v>
      </c>
      <c r="B125" s="16">
        <v>40</v>
      </c>
      <c r="C125" s="16" t="s">
        <v>50</v>
      </c>
      <c r="D125" s="16" t="s">
        <v>57</v>
      </c>
      <c r="E125" s="16">
        <v>3</v>
      </c>
      <c r="F125" s="16">
        <v>5</v>
      </c>
      <c r="G125" s="16" t="s">
        <v>58</v>
      </c>
      <c r="H125" s="16">
        <v>1150</v>
      </c>
      <c r="I125" s="16">
        <v>148</v>
      </c>
      <c r="J125" s="16">
        <v>630</v>
      </c>
      <c r="K125" s="16">
        <v>302</v>
      </c>
      <c r="L125" s="16">
        <v>0</v>
      </c>
      <c r="M125" s="16">
        <v>0</v>
      </c>
      <c r="N125" s="16">
        <v>2230</v>
      </c>
      <c r="O125" s="16">
        <v>66</v>
      </c>
      <c r="P125" s="12" t="str">
        <f t="shared" si="3"/>
        <v>Core</v>
      </c>
      <c r="Q125" s="12" t="str">
        <f t="shared" si="4"/>
        <v>Acceptable</v>
      </c>
      <c r="R125" s="12" t="str">
        <f t="shared" si="5"/>
        <v>Budget</v>
      </c>
    </row>
    <row r="126" spans="1:18" ht="19.899999999999999" customHeight="1">
      <c r="A126" s="16">
        <v>125</v>
      </c>
      <c r="B126" s="16">
        <v>62</v>
      </c>
      <c r="C126" s="16" t="s">
        <v>53</v>
      </c>
      <c r="D126" s="16" t="s">
        <v>54</v>
      </c>
      <c r="E126" s="16">
        <v>0</v>
      </c>
      <c r="F126" s="16">
        <v>1</v>
      </c>
      <c r="G126" s="16" t="s">
        <v>52</v>
      </c>
      <c r="H126" s="16">
        <v>1950</v>
      </c>
      <c r="I126" s="16">
        <v>678</v>
      </c>
      <c r="J126" s="16">
        <v>176</v>
      </c>
      <c r="K126" s="16">
        <v>119</v>
      </c>
      <c r="L126" s="16">
        <v>732</v>
      </c>
      <c r="M126" s="16">
        <v>604</v>
      </c>
      <c r="N126" s="16">
        <v>4259</v>
      </c>
      <c r="O126" s="16">
        <v>71</v>
      </c>
      <c r="P126" s="12" t="str">
        <f t="shared" si="3"/>
        <v>Mature</v>
      </c>
      <c r="Q126" s="12" t="str">
        <f t="shared" si="4"/>
        <v>Happy</v>
      </c>
      <c r="R126" s="12" t="str">
        <f t="shared" si="5"/>
        <v>High</v>
      </c>
    </row>
    <row r="127" spans="1:18" ht="19.899999999999999" customHeight="1">
      <c r="A127" s="16">
        <v>126</v>
      </c>
      <c r="B127" s="16">
        <v>40</v>
      </c>
      <c r="C127" s="16" t="s">
        <v>56</v>
      </c>
      <c r="D127" s="16" t="s">
        <v>51</v>
      </c>
      <c r="E127" s="16">
        <v>0</v>
      </c>
      <c r="F127" s="16">
        <v>2</v>
      </c>
      <c r="G127" s="16" t="s">
        <v>60</v>
      </c>
      <c r="H127" s="16">
        <v>500</v>
      </c>
      <c r="I127" s="16">
        <v>348</v>
      </c>
      <c r="J127" s="16">
        <v>168</v>
      </c>
      <c r="K127" s="16">
        <v>501</v>
      </c>
      <c r="L127" s="16">
        <v>0</v>
      </c>
      <c r="M127" s="16">
        <v>0</v>
      </c>
      <c r="N127" s="16">
        <v>1517</v>
      </c>
      <c r="O127" s="16">
        <v>50</v>
      </c>
      <c r="P127" s="12" t="str">
        <f t="shared" si="3"/>
        <v>Core</v>
      </c>
      <c r="Q127" s="12" t="str">
        <f t="shared" si="4"/>
        <v>Unimpressed</v>
      </c>
      <c r="R127" s="12" t="str">
        <f t="shared" si="5"/>
        <v>Budget</v>
      </c>
    </row>
    <row r="128" spans="1:18" ht="19.899999999999999" customHeight="1">
      <c r="A128" s="16">
        <v>127</v>
      </c>
      <c r="B128" s="16">
        <v>53</v>
      </c>
      <c r="C128" s="16" t="s">
        <v>50</v>
      </c>
      <c r="D128" s="16" t="s">
        <v>51</v>
      </c>
      <c r="E128" s="16">
        <v>0</v>
      </c>
      <c r="F128" s="16">
        <v>2</v>
      </c>
      <c r="G128" s="16" t="s">
        <v>58</v>
      </c>
      <c r="H128" s="16">
        <v>1150</v>
      </c>
      <c r="I128" s="16">
        <v>522</v>
      </c>
      <c r="J128" s="16">
        <v>252</v>
      </c>
      <c r="K128" s="16">
        <v>302</v>
      </c>
      <c r="L128" s="16">
        <v>0</v>
      </c>
      <c r="M128" s="16">
        <v>298</v>
      </c>
      <c r="N128" s="16">
        <v>2524</v>
      </c>
      <c r="O128" s="16">
        <v>78</v>
      </c>
      <c r="P128" s="12" t="str">
        <f t="shared" si="3"/>
        <v>Prime</v>
      </c>
      <c r="Q128" s="12" t="str">
        <f t="shared" si="4"/>
        <v>Happy</v>
      </c>
      <c r="R128" s="12" t="str">
        <f t="shared" si="5"/>
        <v>Medium</v>
      </c>
    </row>
    <row r="129" spans="1:18" ht="19.899999999999999" customHeight="1">
      <c r="A129" s="16">
        <v>128</v>
      </c>
      <c r="B129" s="16">
        <v>63</v>
      </c>
      <c r="C129" s="16" t="s">
        <v>50</v>
      </c>
      <c r="D129" s="16" t="s">
        <v>57</v>
      </c>
      <c r="E129" s="16">
        <v>4</v>
      </c>
      <c r="F129" s="16">
        <v>6</v>
      </c>
      <c r="G129" s="16" t="s">
        <v>58</v>
      </c>
      <c r="H129" s="16">
        <v>1150</v>
      </c>
      <c r="I129" s="16">
        <v>592</v>
      </c>
      <c r="J129" s="16">
        <v>756</v>
      </c>
      <c r="K129" s="16">
        <v>755</v>
      </c>
      <c r="L129" s="16">
        <v>238</v>
      </c>
      <c r="M129" s="16">
        <v>302</v>
      </c>
      <c r="N129" s="16">
        <v>3793</v>
      </c>
      <c r="O129" s="16">
        <v>76</v>
      </c>
      <c r="P129" s="12" t="str">
        <f t="shared" si="3"/>
        <v>Mature</v>
      </c>
      <c r="Q129" s="12" t="str">
        <f t="shared" si="4"/>
        <v>Happy</v>
      </c>
      <c r="R129" s="12" t="str">
        <f t="shared" si="5"/>
        <v>High</v>
      </c>
    </row>
    <row r="130" spans="1:18" ht="19.899999999999999" customHeight="1">
      <c r="A130" s="16">
        <v>129</v>
      </c>
      <c r="B130" s="16">
        <v>38</v>
      </c>
      <c r="C130" s="16" t="s">
        <v>53</v>
      </c>
      <c r="D130" s="16" t="s">
        <v>59</v>
      </c>
      <c r="E130" s="16">
        <v>0</v>
      </c>
      <c r="F130" s="16">
        <v>7</v>
      </c>
      <c r="G130" s="16" t="s">
        <v>58</v>
      </c>
      <c r="H130" s="16">
        <v>1150</v>
      </c>
      <c r="I130" s="16">
        <v>93</v>
      </c>
      <c r="J130" s="16">
        <v>882</v>
      </c>
      <c r="K130" s="16">
        <v>357</v>
      </c>
      <c r="L130" s="16">
        <v>366</v>
      </c>
      <c r="M130" s="16">
        <v>196</v>
      </c>
      <c r="N130" s="16">
        <v>3044</v>
      </c>
      <c r="O130" s="16">
        <v>65</v>
      </c>
      <c r="P130" s="12" t="str">
        <f t="shared" si="3"/>
        <v>Core</v>
      </c>
      <c r="Q130" s="12" t="str">
        <f t="shared" si="4"/>
        <v>Acceptable</v>
      </c>
      <c r="R130" s="12" t="str">
        <f t="shared" si="5"/>
        <v>Medium</v>
      </c>
    </row>
    <row r="131" spans="1:18" ht="19.899999999999999" customHeight="1">
      <c r="A131" s="16">
        <v>130</v>
      </c>
      <c r="B131" s="16">
        <v>66</v>
      </c>
      <c r="C131" s="16" t="s">
        <v>53</v>
      </c>
      <c r="D131" s="16" t="s">
        <v>57</v>
      </c>
      <c r="E131" s="16">
        <v>2</v>
      </c>
      <c r="F131" s="16">
        <v>4</v>
      </c>
      <c r="G131" s="16" t="s">
        <v>58</v>
      </c>
      <c r="H131" s="16">
        <v>1150</v>
      </c>
      <c r="I131" s="16">
        <v>0</v>
      </c>
      <c r="J131" s="16">
        <v>504</v>
      </c>
      <c r="K131" s="16">
        <v>119</v>
      </c>
      <c r="L131" s="16">
        <v>915</v>
      </c>
      <c r="M131" s="16">
        <v>151</v>
      </c>
      <c r="N131" s="16">
        <v>2839</v>
      </c>
      <c r="O131" s="16">
        <v>88</v>
      </c>
      <c r="P131" s="12" t="str">
        <f t="shared" ref="P131:P194" si="6">IF(B131&gt;=70,"Senior",IF(B131&gt;=60,"Mature",IF(B131&gt;=46,"Prime",IF(B131&gt;=30,"Core","Young"))))</f>
        <v>Mature</v>
      </c>
      <c r="Q131" s="12" t="str">
        <f t="shared" ref="Q131:Q194" si="7">IF(O131&gt;=80,"Delighted",IF(O131&gt;=70,"Happy",IF(O131&gt;=60,"Acceptable",IF(O131&gt;=50,"Unimpressed",IF(O131&lt;50,"Unhappy")))))</f>
        <v>Delighted</v>
      </c>
      <c r="R131" s="12" t="str">
        <f t="shared" ref="R131:R194" si="8">IF(N131&lt;2500,"Budget", IF(N131&lt;3499,"Medium",IF(N131&lt;4499,"High","Premium")))</f>
        <v>Medium</v>
      </c>
    </row>
    <row r="132" spans="1:18" ht="19.899999999999999" customHeight="1">
      <c r="A132" s="16">
        <v>131</v>
      </c>
      <c r="B132" s="16">
        <v>63</v>
      </c>
      <c r="C132" s="16" t="s">
        <v>50</v>
      </c>
      <c r="D132" s="16" t="s">
        <v>51</v>
      </c>
      <c r="E132" s="16">
        <v>0</v>
      </c>
      <c r="F132" s="16">
        <v>2</v>
      </c>
      <c r="G132" s="16" t="s">
        <v>52</v>
      </c>
      <c r="H132" s="16">
        <v>1950</v>
      </c>
      <c r="I132" s="16">
        <v>696</v>
      </c>
      <c r="J132" s="16">
        <v>352</v>
      </c>
      <c r="K132" s="16">
        <v>302</v>
      </c>
      <c r="L132" s="16">
        <v>357</v>
      </c>
      <c r="M132" s="16">
        <v>453</v>
      </c>
      <c r="N132" s="16">
        <v>4110</v>
      </c>
      <c r="O132" s="16">
        <v>58</v>
      </c>
      <c r="P132" s="12" t="str">
        <f t="shared" si="6"/>
        <v>Mature</v>
      </c>
      <c r="Q132" s="12" t="str">
        <f t="shared" si="7"/>
        <v>Unimpressed</v>
      </c>
      <c r="R132" s="12" t="str">
        <f t="shared" si="8"/>
        <v>High</v>
      </c>
    </row>
    <row r="133" spans="1:18" ht="19.899999999999999" customHeight="1">
      <c r="A133" s="16">
        <v>132</v>
      </c>
      <c r="B133" s="16">
        <v>89</v>
      </c>
      <c r="C133" s="16" t="s">
        <v>50</v>
      </c>
      <c r="D133" s="16" t="s">
        <v>51</v>
      </c>
      <c r="E133" s="16">
        <v>0</v>
      </c>
      <c r="F133" s="16">
        <v>2</v>
      </c>
      <c r="G133" s="16" t="s">
        <v>52</v>
      </c>
      <c r="H133" s="16">
        <v>1950</v>
      </c>
      <c r="I133" s="16">
        <v>174</v>
      </c>
      <c r="J133" s="16">
        <v>352</v>
      </c>
      <c r="K133" s="16">
        <v>604</v>
      </c>
      <c r="L133" s="16">
        <v>0</v>
      </c>
      <c r="M133" s="16">
        <v>149</v>
      </c>
      <c r="N133" s="16">
        <v>3229</v>
      </c>
      <c r="O133" s="16">
        <v>52</v>
      </c>
      <c r="P133" s="12" t="str">
        <f t="shared" si="6"/>
        <v>Senior</v>
      </c>
      <c r="Q133" s="12" t="str">
        <f t="shared" si="7"/>
        <v>Unimpressed</v>
      </c>
      <c r="R133" s="12" t="str">
        <f t="shared" si="8"/>
        <v>Medium</v>
      </c>
    </row>
    <row r="134" spans="1:18" ht="19.899999999999999" customHeight="1">
      <c r="A134" s="16">
        <v>133</v>
      </c>
      <c r="B134" s="16">
        <v>65</v>
      </c>
      <c r="C134" s="16" t="s">
        <v>53</v>
      </c>
      <c r="D134" s="16" t="s">
        <v>59</v>
      </c>
      <c r="E134" s="16">
        <v>0</v>
      </c>
      <c r="F134" s="16">
        <v>3</v>
      </c>
      <c r="G134" s="16" t="s">
        <v>60</v>
      </c>
      <c r="H134" s="16">
        <v>500</v>
      </c>
      <c r="I134" s="16">
        <v>186</v>
      </c>
      <c r="J134" s="16">
        <v>252</v>
      </c>
      <c r="K134" s="16">
        <v>0</v>
      </c>
      <c r="L134" s="16">
        <v>0</v>
      </c>
      <c r="M134" s="16">
        <v>0</v>
      </c>
      <c r="N134" s="16">
        <v>938</v>
      </c>
      <c r="O134" s="16">
        <v>59</v>
      </c>
      <c r="P134" s="12" t="str">
        <f t="shared" si="6"/>
        <v>Mature</v>
      </c>
      <c r="Q134" s="12" t="str">
        <f t="shared" si="7"/>
        <v>Unimpressed</v>
      </c>
      <c r="R134" s="12" t="str">
        <f t="shared" si="8"/>
        <v>Budget</v>
      </c>
    </row>
    <row r="135" spans="1:18" ht="19.899999999999999" customHeight="1">
      <c r="A135" s="16">
        <v>134</v>
      </c>
      <c r="B135" s="16">
        <v>59</v>
      </c>
      <c r="C135" s="16" t="s">
        <v>53</v>
      </c>
      <c r="D135" s="16" t="s">
        <v>51</v>
      </c>
      <c r="E135" s="16">
        <v>0</v>
      </c>
      <c r="F135" s="16">
        <v>2</v>
      </c>
      <c r="G135" s="16" t="s">
        <v>58</v>
      </c>
      <c r="H135" s="16">
        <v>1150</v>
      </c>
      <c r="I135" s="16">
        <v>174</v>
      </c>
      <c r="J135" s="16">
        <v>252</v>
      </c>
      <c r="K135" s="16">
        <v>119</v>
      </c>
      <c r="L135" s="16">
        <v>366</v>
      </c>
      <c r="M135" s="16">
        <v>0</v>
      </c>
      <c r="N135" s="16">
        <v>2061</v>
      </c>
      <c r="O135" s="16">
        <v>58</v>
      </c>
      <c r="P135" s="12" t="str">
        <f t="shared" si="6"/>
        <v>Prime</v>
      </c>
      <c r="Q135" s="12" t="str">
        <f t="shared" si="7"/>
        <v>Unimpressed</v>
      </c>
      <c r="R135" s="12" t="str">
        <f t="shared" si="8"/>
        <v>Budget</v>
      </c>
    </row>
    <row r="136" spans="1:18" ht="19.899999999999999" customHeight="1">
      <c r="A136" s="16">
        <v>135</v>
      </c>
      <c r="B136" s="16">
        <v>84</v>
      </c>
      <c r="C136" s="16" t="s">
        <v>53</v>
      </c>
      <c r="D136" s="16" t="s">
        <v>57</v>
      </c>
      <c r="E136" s="16">
        <v>1</v>
      </c>
      <c r="F136" s="16">
        <v>3</v>
      </c>
      <c r="G136" s="16" t="s">
        <v>58</v>
      </c>
      <c r="H136" s="16">
        <v>1150</v>
      </c>
      <c r="I136" s="16">
        <v>148</v>
      </c>
      <c r="J136" s="16">
        <v>378</v>
      </c>
      <c r="K136" s="16">
        <v>357</v>
      </c>
      <c r="L136" s="16">
        <v>366</v>
      </c>
      <c r="M136" s="16">
        <v>0</v>
      </c>
      <c r="N136" s="16">
        <v>2399</v>
      </c>
      <c r="O136" s="16">
        <v>91</v>
      </c>
      <c r="P136" s="12" t="str">
        <f t="shared" si="6"/>
        <v>Senior</v>
      </c>
      <c r="Q136" s="12" t="str">
        <f t="shared" si="7"/>
        <v>Delighted</v>
      </c>
      <c r="R136" s="12" t="str">
        <f t="shared" si="8"/>
        <v>Budget</v>
      </c>
    </row>
    <row r="137" spans="1:18" ht="19.899999999999999" customHeight="1">
      <c r="A137" s="16">
        <v>136</v>
      </c>
      <c r="B137" s="16">
        <v>25</v>
      </c>
      <c r="C137" s="16" t="s">
        <v>50</v>
      </c>
      <c r="D137" s="16" t="s">
        <v>54</v>
      </c>
      <c r="E137" s="16">
        <v>0</v>
      </c>
      <c r="F137" s="16">
        <v>1</v>
      </c>
      <c r="G137" s="16" t="s">
        <v>60</v>
      </c>
      <c r="H137" s="16">
        <v>500</v>
      </c>
      <c r="I137" s="16">
        <v>1130</v>
      </c>
      <c r="J137" s="16">
        <v>84</v>
      </c>
      <c r="K137" s="16">
        <v>755</v>
      </c>
      <c r="L137" s="16">
        <v>0</v>
      </c>
      <c r="M137" s="16">
        <v>0</v>
      </c>
      <c r="N137" s="16">
        <v>2469</v>
      </c>
      <c r="O137" s="16">
        <v>67</v>
      </c>
      <c r="P137" s="12" t="str">
        <f t="shared" si="6"/>
        <v>Young</v>
      </c>
      <c r="Q137" s="12" t="str">
        <f t="shared" si="7"/>
        <v>Acceptable</v>
      </c>
      <c r="R137" s="12" t="str">
        <f t="shared" si="8"/>
        <v>Budget</v>
      </c>
    </row>
    <row r="138" spans="1:18" ht="19.899999999999999" customHeight="1">
      <c r="A138" s="16">
        <v>137</v>
      </c>
      <c r="B138" s="16">
        <v>58</v>
      </c>
      <c r="C138" s="16" t="s">
        <v>50</v>
      </c>
      <c r="D138" s="16" t="s">
        <v>51</v>
      </c>
      <c r="E138" s="16">
        <v>0</v>
      </c>
      <c r="F138" s="16">
        <v>2</v>
      </c>
      <c r="G138" s="16" t="s">
        <v>58</v>
      </c>
      <c r="H138" s="16">
        <v>1150</v>
      </c>
      <c r="I138" s="16">
        <v>348</v>
      </c>
      <c r="J138" s="16">
        <v>252</v>
      </c>
      <c r="K138" s="16">
        <v>151</v>
      </c>
      <c r="L138" s="16">
        <v>119</v>
      </c>
      <c r="M138" s="16">
        <v>298</v>
      </c>
      <c r="N138" s="16">
        <v>2318</v>
      </c>
      <c r="O138" s="16">
        <v>89</v>
      </c>
      <c r="P138" s="12" t="str">
        <f t="shared" si="6"/>
        <v>Prime</v>
      </c>
      <c r="Q138" s="12" t="str">
        <f t="shared" si="7"/>
        <v>Delighted</v>
      </c>
      <c r="R138" s="12" t="str">
        <f t="shared" si="8"/>
        <v>Budget</v>
      </c>
    </row>
    <row r="139" spans="1:18" ht="19.899999999999999" customHeight="1">
      <c r="A139" s="16">
        <v>138</v>
      </c>
      <c r="B139" s="16">
        <v>62</v>
      </c>
      <c r="C139" s="16" t="s">
        <v>53</v>
      </c>
      <c r="D139" s="16" t="s">
        <v>57</v>
      </c>
      <c r="E139" s="16">
        <v>2</v>
      </c>
      <c r="F139" s="16">
        <v>4</v>
      </c>
      <c r="G139" s="16" t="s">
        <v>58</v>
      </c>
      <c r="H139" s="16">
        <v>1150</v>
      </c>
      <c r="I139" s="16">
        <v>0</v>
      </c>
      <c r="J139" s="16">
        <v>504</v>
      </c>
      <c r="K139" s="16">
        <v>119</v>
      </c>
      <c r="L139" s="16">
        <v>549</v>
      </c>
      <c r="M139" s="16">
        <v>453</v>
      </c>
      <c r="N139" s="16">
        <v>2775</v>
      </c>
      <c r="O139" s="16">
        <v>68</v>
      </c>
      <c r="P139" s="12" t="str">
        <f t="shared" si="6"/>
        <v>Mature</v>
      </c>
      <c r="Q139" s="12" t="str">
        <f t="shared" si="7"/>
        <v>Acceptable</v>
      </c>
      <c r="R139" s="12" t="str">
        <f t="shared" si="8"/>
        <v>Medium</v>
      </c>
    </row>
    <row r="140" spans="1:18" ht="19.899999999999999" customHeight="1">
      <c r="A140" s="16">
        <v>139</v>
      </c>
      <c r="B140" s="16">
        <v>51</v>
      </c>
      <c r="C140" s="16" t="s">
        <v>53</v>
      </c>
      <c r="D140" s="16" t="s">
        <v>57</v>
      </c>
      <c r="E140" s="16">
        <v>1</v>
      </c>
      <c r="F140" s="16">
        <v>3</v>
      </c>
      <c r="G140" s="16" t="s">
        <v>58</v>
      </c>
      <c r="H140" s="16">
        <v>1150</v>
      </c>
      <c r="I140" s="16">
        <v>444</v>
      </c>
      <c r="J140" s="16">
        <v>378</v>
      </c>
      <c r="K140" s="16">
        <v>119</v>
      </c>
      <c r="L140" s="16">
        <v>183</v>
      </c>
      <c r="M140" s="16">
        <v>447</v>
      </c>
      <c r="N140" s="16">
        <v>2721</v>
      </c>
      <c r="O140" s="16">
        <v>79</v>
      </c>
      <c r="P140" s="12" t="str">
        <f t="shared" si="6"/>
        <v>Prime</v>
      </c>
      <c r="Q140" s="12" t="str">
        <f t="shared" si="7"/>
        <v>Happy</v>
      </c>
      <c r="R140" s="12" t="str">
        <f t="shared" si="8"/>
        <v>Medium</v>
      </c>
    </row>
    <row r="141" spans="1:18" ht="19.899999999999999" customHeight="1">
      <c r="A141" s="16">
        <v>140</v>
      </c>
      <c r="B141" s="16">
        <v>65</v>
      </c>
      <c r="C141" s="16" t="s">
        <v>50</v>
      </c>
      <c r="D141" s="16" t="s">
        <v>57</v>
      </c>
      <c r="E141" s="16">
        <v>1</v>
      </c>
      <c r="F141" s="16">
        <v>3</v>
      </c>
      <c r="G141" s="16" t="s">
        <v>58</v>
      </c>
      <c r="H141" s="16">
        <v>1150</v>
      </c>
      <c r="I141" s="16">
        <v>0</v>
      </c>
      <c r="J141" s="16">
        <v>378</v>
      </c>
      <c r="K141" s="16">
        <v>755</v>
      </c>
      <c r="L141" s="16">
        <v>0</v>
      </c>
      <c r="M141" s="16">
        <v>0</v>
      </c>
      <c r="N141" s="16">
        <v>2283</v>
      </c>
      <c r="O141" s="16">
        <v>41</v>
      </c>
      <c r="P141" s="12" t="str">
        <f t="shared" si="6"/>
        <v>Mature</v>
      </c>
      <c r="Q141" s="12" t="str">
        <f t="shared" si="7"/>
        <v>Unhappy</v>
      </c>
      <c r="R141" s="12" t="str">
        <f t="shared" si="8"/>
        <v>Budget</v>
      </c>
    </row>
    <row r="142" spans="1:18" ht="19.899999999999999" customHeight="1">
      <c r="A142" s="16">
        <v>141</v>
      </c>
      <c r="B142" s="16">
        <v>63</v>
      </c>
      <c r="C142" s="16" t="s">
        <v>56</v>
      </c>
      <c r="D142" s="16" t="s">
        <v>57</v>
      </c>
      <c r="E142" s="16">
        <v>1</v>
      </c>
      <c r="F142" s="16">
        <v>3</v>
      </c>
      <c r="G142" s="16" t="s">
        <v>55</v>
      </c>
      <c r="H142" s="16">
        <v>2950</v>
      </c>
      <c r="I142" s="16">
        <v>444</v>
      </c>
      <c r="J142" s="16">
        <v>753</v>
      </c>
      <c r="K142" s="16">
        <v>334</v>
      </c>
      <c r="L142" s="16">
        <v>501</v>
      </c>
      <c r="M142" s="16">
        <v>302</v>
      </c>
      <c r="N142" s="16">
        <v>5284</v>
      </c>
      <c r="O142" s="16">
        <v>44</v>
      </c>
      <c r="P142" s="12" t="str">
        <f t="shared" si="6"/>
        <v>Mature</v>
      </c>
      <c r="Q142" s="12" t="str">
        <f t="shared" si="7"/>
        <v>Unhappy</v>
      </c>
      <c r="R142" s="12" t="str">
        <f t="shared" si="8"/>
        <v>Premium</v>
      </c>
    </row>
    <row r="143" spans="1:18" ht="19.899999999999999" customHeight="1">
      <c r="A143" s="16">
        <v>142</v>
      </c>
      <c r="B143" s="16">
        <v>60</v>
      </c>
      <c r="C143" s="16" t="s">
        <v>53</v>
      </c>
      <c r="D143" s="16" t="s">
        <v>59</v>
      </c>
      <c r="E143" s="16">
        <v>0</v>
      </c>
      <c r="F143" s="16">
        <v>3</v>
      </c>
      <c r="G143" s="16" t="s">
        <v>60</v>
      </c>
      <c r="H143" s="16">
        <v>500</v>
      </c>
      <c r="I143" s="16">
        <v>93</v>
      </c>
      <c r="J143" s="16">
        <v>252</v>
      </c>
      <c r="K143" s="16">
        <v>357</v>
      </c>
      <c r="L143" s="16">
        <v>549</v>
      </c>
      <c r="M143" s="16">
        <v>302</v>
      </c>
      <c r="N143" s="16">
        <v>2053</v>
      </c>
      <c r="O143" s="16">
        <v>74</v>
      </c>
      <c r="P143" s="12" t="str">
        <f t="shared" si="6"/>
        <v>Mature</v>
      </c>
      <c r="Q143" s="12" t="str">
        <f t="shared" si="7"/>
        <v>Happy</v>
      </c>
      <c r="R143" s="12" t="str">
        <f t="shared" si="8"/>
        <v>Budget</v>
      </c>
    </row>
    <row r="144" spans="1:18" ht="19.899999999999999" customHeight="1">
      <c r="A144" s="16">
        <v>143</v>
      </c>
      <c r="B144" s="16">
        <v>52</v>
      </c>
      <c r="C144" s="16" t="s">
        <v>53</v>
      </c>
      <c r="D144" s="16" t="s">
        <v>59</v>
      </c>
      <c r="E144" s="16">
        <v>0</v>
      </c>
      <c r="F144" s="16">
        <v>3</v>
      </c>
      <c r="G144" s="16" t="s">
        <v>58</v>
      </c>
      <c r="H144" s="16">
        <v>1150</v>
      </c>
      <c r="I144" s="16">
        <v>93</v>
      </c>
      <c r="J144" s="16">
        <v>378</v>
      </c>
      <c r="K144" s="16">
        <v>238</v>
      </c>
      <c r="L144" s="16">
        <v>915</v>
      </c>
      <c r="M144" s="16">
        <v>0</v>
      </c>
      <c r="N144" s="16">
        <v>2774</v>
      </c>
      <c r="O144" s="16">
        <v>44</v>
      </c>
      <c r="P144" s="12" t="str">
        <f t="shared" si="6"/>
        <v>Prime</v>
      </c>
      <c r="Q144" s="12" t="str">
        <f t="shared" si="7"/>
        <v>Unhappy</v>
      </c>
      <c r="R144" s="12" t="str">
        <f t="shared" si="8"/>
        <v>Medium</v>
      </c>
    </row>
    <row r="145" spans="1:18" ht="19.899999999999999" customHeight="1">
      <c r="A145" s="16">
        <v>144</v>
      </c>
      <c r="B145" s="16">
        <v>44</v>
      </c>
      <c r="C145" s="16" t="s">
        <v>50</v>
      </c>
      <c r="D145" s="16" t="s">
        <v>57</v>
      </c>
      <c r="E145" s="16">
        <v>4</v>
      </c>
      <c r="F145" s="16">
        <v>6</v>
      </c>
      <c r="G145" s="16" t="s">
        <v>55</v>
      </c>
      <c r="H145" s="16">
        <v>2950</v>
      </c>
      <c r="I145" s="16">
        <v>444</v>
      </c>
      <c r="J145" s="16">
        <v>1506</v>
      </c>
      <c r="K145" s="16">
        <v>302</v>
      </c>
      <c r="L145" s="16">
        <v>238</v>
      </c>
      <c r="M145" s="16">
        <v>392</v>
      </c>
      <c r="N145" s="16">
        <v>5832</v>
      </c>
      <c r="O145" s="16">
        <v>91</v>
      </c>
      <c r="P145" s="12" t="str">
        <f t="shared" si="6"/>
        <v>Core</v>
      </c>
      <c r="Q145" s="12" t="str">
        <f t="shared" si="7"/>
        <v>Delighted</v>
      </c>
      <c r="R145" s="12" t="str">
        <f t="shared" si="8"/>
        <v>Premium</v>
      </c>
    </row>
    <row r="146" spans="1:18" ht="19.899999999999999" customHeight="1">
      <c r="A146" s="16">
        <v>145</v>
      </c>
      <c r="B146" s="16">
        <v>42</v>
      </c>
      <c r="C146" s="16" t="s">
        <v>53</v>
      </c>
      <c r="D146" s="16" t="s">
        <v>57</v>
      </c>
      <c r="E146" s="16">
        <v>4</v>
      </c>
      <c r="F146" s="16">
        <v>6</v>
      </c>
      <c r="G146" s="16" t="s">
        <v>55</v>
      </c>
      <c r="H146" s="16">
        <v>2950</v>
      </c>
      <c r="I146" s="16">
        <v>148</v>
      </c>
      <c r="J146" s="16">
        <v>1506</v>
      </c>
      <c r="K146" s="16">
        <v>357</v>
      </c>
      <c r="L146" s="16">
        <v>732</v>
      </c>
      <c r="M146" s="16">
        <v>392</v>
      </c>
      <c r="N146" s="16">
        <v>6085</v>
      </c>
      <c r="O146" s="16">
        <v>48</v>
      </c>
      <c r="P146" s="12" t="str">
        <f t="shared" si="6"/>
        <v>Core</v>
      </c>
      <c r="Q146" s="12" t="str">
        <f t="shared" si="7"/>
        <v>Unhappy</v>
      </c>
      <c r="R146" s="12" t="str">
        <f t="shared" si="8"/>
        <v>Premium</v>
      </c>
    </row>
    <row r="147" spans="1:18" ht="19.899999999999999" customHeight="1">
      <c r="A147" s="16">
        <v>146</v>
      </c>
      <c r="B147" s="16">
        <v>26</v>
      </c>
      <c r="C147" s="16" t="s">
        <v>50</v>
      </c>
      <c r="D147" s="16" t="s">
        <v>54</v>
      </c>
      <c r="E147" s="16">
        <v>0</v>
      </c>
      <c r="F147" s="16">
        <v>1</v>
      </c>
      <c r="G147" s="16" t="s">
        <v>60</v>
      </c>
      <c r="H147" s="16">
        <v>500</v>
      </c>
      <c r="I147" s="16">
        <v>452</v>
      </c>
      <c r="J147" s="16">
        <v>84</v>
      </c>
      <c r="K147" s="16">
        <v>0</v>
      </c>
      <c r="L147" s="16">
        <v>0</v>
      </c>
      <c r="M147" s="16">
        <v>0</v>
      </c>
      <c r="N147" s="16">
        <v>1036</v>
      </c>
      <c r="O147" s="16">
        <v>60</v>
      </c>
      <c r="P147" s="12" t="str">
        <f t="shared" si="6"/>
        <v>Young</v>
      </c>
      <c r="Q147" s="12" t="str">
        <f t="shared" si="7"/>
        <v>Acceptable</v>
      </c>
      <c r="R147" s="12" t="str">
        <f t="shared" si="8"/>
        <v>Budget</v>
      </c>
    </row>
    <row r="148" spans="1:18" ht="19.899999999999999" customHeight="1">
      <c r="A148" s="16">
        <v>147</v>
      </c>
      <c r="B148" s="16">
        <v>77</v>
      </c>
      <c r="C148" s="16" t="s">
        <v>53</v>
      </c>
      <c r="D148" s="16" t="s">
        <v>57</v>
      </c>
      <c r="E148" s="16">
        <v>1</v>
      </c>
      <c r="F148" s="16">
        <v>3</v>
      </c>
      <c r="G148" s="16" t="s">
        <v>58</v>
      </c>
      <c r="H148" s="16">
        <v>1150</v>
      </c>
      <c r="I148" s="16">
        <v>592</v>
      </c>
      <c r="J148" s="16">
        <v>378</v>
      </c>
      <c r="K148" s="16">
        <v>0</v>
      </c>
      <c r="L148" s="16">
        <v>0</v>
      </c>
      <c r="M148" s="16">
        <v>0</v>
      </c>
      <c r="N148" s="16">
        <v>2120</v>
      </c>
      <c r="O148" s="16">
        <v>91</v>
      </c>
      <c r="P148" s="12" t="str">
        <f t="shared" si="6"/>
        <v>Senior</v>
      </c>
      <c r="Q148" s="12" t="str">
        <f t="shared" si="7"/>
        <v>Delighted</v>
      </c>
      <c r="R148" s="12" t="str">
        <f t="shared" si="8"/>
        <v>Budget</v>
      </c>
    </row>
    <row r="149" spans="1:18" ht="19.899999999999999" customHeight="1">
      <c r="A149" s="16">
        <v>148</v>
      </c>
      <c r="B149" s="16">
        <v>61</v>
      </c>
      <c r="C149" s="16" t="s">
        <v>53</v>
      </c>
      <c r="D149" s="16" t="s">
        <v>51</v>
      </c>
      <c r="E149" s="16">
        <v>0</v>
      </c>
      <c r="F149" s="16">
        <v>2</v>
      </c>
      <c r="G149" s="16" t="s">
        <v>58</v>
      </c>
      <c r="H149" s="16">
        <v>1150</v>
      </c>
      <c r="I149" s="16">
        <v>522</v>
      </c>
      <c r="J149" s="16">
        <v>252</v>
      </c>
      <c r="K149" s="16">
        <v>0</v>
      </c>
      <c r="L149" s="16">
        <v>366</v>
      </c>
      <c r="M149" s="16">
        <v>0</v>
      </c>
      <c r="N149" s="16">
        <v>2290</v>
      </c>
      <c r="O149" s="16">
        <v>51</v>
      </c>
      <c r="P149" s="12" t="str">
        <f t="shared" si="6"/>
        <v>Mature</v>
      </c>
      <c r="Q149" s="12" t="str">
        <f t="shared" si="7"/>
        <v>Unimpressed</v>
      </c>
      <c r="R149" s="12" t="str">
        <f t="shared" si="8"/>
        <v>Budget</v>
      </c>
    </row>
    <row r="150" spans="1:18" ht="19.899999999999999" customHeight="1">
      <c r="A150" s="16">
        <v>149</v>
      </c>
      <c r="B150" s="16">
        <v>31</v>
      </c>
      <c r="C150" s="16" t="s">
        <v>50</v>
      </c>
      <c r="D150" s="16" t="s">
        <v>59</v>
      </c>
      <c r="E150" s="16">
        <v>0</v>
      </c>
      <c r="F150" s="16">
        <v>6</v>
      </c>
      <c r="G150" s="16" t="s">
        <v>58</v>
      </c>
      <c r="H150" s="16">
        <v>1150</v>
      </c>
      <c r="I150" s="16">
        <v>93</v>
      </c>
      <c r="J150" s="16">
        <v>756</v>
      </c>
      <c r="K150" s="16">
        <v>0</v>
      </c>
      <c r="L150" s="16">
        <v>238</v>
      </c>
      <c r="M150" s="16">
        <v>196</v>
      </c>
      <c r="N150" s="16">
        <v>2433</v>
      </c>
      <c r="O150" s="16">
        <v>85</v>
      </c>
      <c r="P150" s="12" t="str">
        <f t="shared" si="6"/>
        <v>Core</v>
      </c>
      <c r="Q150" s="12" t="str">
        <f t="shared" si="7"/>
        <v>Delighted</v>
      </c>
      <c r="R150" s="12" t="str">
        <f t="shared" si="8"/>
        <v>Budget</v>
      </c>
    </row>
    <row r="151" spans="1:18" ht="19.899999999999999" customHeight="1">
      <c r="A151" s="16">
        <v>150</v>
      </c>
      <c r="B151" s="16">
        <v>94</v>
      </c>
      <c r="C151" s="16" t="s">
        <v>50</v>
      </c>
      <c r="D151" s="16" t="s">
        <v>51</v>
      </c>
      <c r="E151" s="16">
        <v>0</v>
      </c>
      <c r="F151" s="16">
        <v>2</v>
      </c>
      <c r="G151" s="16" t="s">
        <v>52</v>
      </c>
      <c r="H151" s="16">
        <v>1950</v>
      </c>
      <c r="I151" s="16">
        <v>348</v>
      </c>
      <c r="J151" s="16">
        <v>352</v>
      </c>
      <c r="K151" s="16">
        <v>0</v>
      </c>
      <c r="L151" s="16">
        <v>119</v>
      </c>
      <c r="M151" s="16">
        <v>298</v>
      </c>
      <c r="N151" s="16">
        <v>3067</v>
      </c>
      <c r="O151" s="16">
        <v>89</v>
      </c>
      <c r="P151" s="12" t="str">
        <f t="shared" si="6"/>
        <v>Senior</v>
      </c>
      <c r="Q151" s="12" t="str">
        <f t="shared" si="7"/>
        <v>Delighted</v>
      </c>
      <c r="R151" s="12" t="str">
        <f t="shared" si="8"/>
        <v>Medium</v>
      </c>
    </row>
    <row r="152" spans="1:18" ht="19.899999999999999" customHeight="1">
      <c r="A152" s="16">
        <v>151</v>
      </c>
      <c r="B152" s="16">
        <v>68</v>
      </c>
      <c r="C152" s="16" t="s">
        <v>53</v>
      </c>
      <c r="D152" s="16" t="s">
        <v>54</v>
      </c>
      <c r="E152" s="16">
        <v>0</v>
      </c>
      <c r="F152" s="16">
        <v>1</v>
      </c>
      <c r="G152" s="16" t="s">
        <v>52</v>
      </c>
      <c r="H152" s="16">
        <v>1950</v>
      </c>
      <c r="I152" s="16">
        <v>904</v>
      </c>
      <c r="J152" s="16">
        <v>176</v>
      </c>
      <c r="K152" s="16">
        <v>119</v>
      </c>
      <c r="L152" s="16">
        <v>732</v>
      </c>
      <c r="M152" s="16">
        <v>453</v>
      </c>
      <c r="N152" s="16">
        <v>4334</v>
      </c>
      <c r="O152" s="16">
        <v>49</v>
      </c>
      <c r="P152" s="12" t="str">
        <f t="shared" si="6"/>
        <v>Mature</v>
      </c>
      <c r="Q152" s="12" t="str">
        <f t="shared" si="7"/>
        <v>Unhappy</v>
      </c>
      <c r="R152" s="12" t="str">
        <f t="shared" si="8"/>
        <v>High</v>
      </c>
    </row>
    <row r="153" spans="1:18" ht="19.899999999999999" customHeight="1">
      <c r="A153" s="16">
        <v>152</v>
      </c>
      <c r="B153" s="16">
        <v>28</v>
      </c>
      <c r="C153" s="16" t="s">
        <v>56</v>
      </c>
      <c r="D153" s="16" t="s">
        <v>59</v>
      </c>
      <c r="E153" s="16">
        <v>0</v>
      </c>
      <c r="F153" s="16">
        <v>7</v>
      </c>
      <c r="G153" s="16" t="s">
        <v>52</v>
      </c>
      <c r="H153" s="16">
        <v>1950</v>
      </c>
      <c r="I153" s="16">
        <v>93</v>
      </c>
      <c r="J153" s="16">
        <v>1232</v>
      </c>
      <c r="K153" s="16">
        <v>167</v>
      </c>
      <c r="L153" s="16">
        <v>501</v>
      </c>
      <c r="M153" s="16">
        <v>294</v>
      </c>
      <c r="N153" s="16">
        <v>4237</v>
      </c>
      <c r="O153" s="16">
        <v>81</v>
      </c>
      <c r="P153" s="12" t="str">
        <f t="shared" si="6"/>
        <v>Young</v>
      </c>
      <c r="Q153" s="12" t="str">
        <f t="shared" si="7"/>
        <v>Delighted</v>
      </c>
      <c r="R153" s="12" t="str">
        <f t="shared" si="8"/>
        <v>High</v>
      </c>
    </row>
    <row r="154" spans="1:18" ht="19.899999999999999" customHeight="1">
      <c r="A154" s="16">
        <v>153</v>
      </c>
      <c r="B154" s="16">
        <v>54</v>
      </c>
      <c r="C154" s="16" t="s">
        <v>53</v>
      </c>
      <c r="D154" s="16" t="s">
        <v>51</v>
      </c>
      <c r="E154" s="16">
        <v>0</v>
      </c>
      <c r="F154" s="16">
        <v>2</v>
      </c>
      <c r="G154" s="16" t="s">
        <v>58</v>
      </c>
      <c r="H154" s="16">
        <v>1150</v>
      </c>
      <c r="I154" s="16">
        <v>0</v>
      </c>
      <c r="J154" s="16">
        <v>252</v>
      </c>
      <c r="K154" s="16">
        <v>238</v>
      </c>
      <c r="L154" s="16">
        <v>183</v>
      </c>
      <c r="M154" s="16">
        <v>0</v>
      </c>
      <c r="N154" s="16">
        <v>1823</v>
      </c>
      <c r="O154" s="16">
        <v>43</v>
      </c>
      <c r="P154" s="12" t="str">
        <f t="shared" si="6"/>
        <v>Prime</v>
      </c>
      <c r="Q154" s="12" t="str">
        <f t="shared" si="7"/>
        <v>Unhappy</v>
      </c>
      <c r="R154" s="12" t="str">
        <f t="shared" si="8"/>
        <v>Budget</v>
      </c>
    </row>
    <row r="155" spans="1:18" ht="19.899999999999999" customHeight="1">
      <c r="A155" s="16">
        <v>154</v>
      </c>
      <c r="B155" s="16">
        <v>55</v>
      </c>
      <c r="C155" s="16" t="s">
        <v>53</v>
      </c>
      <c r="D155" s="16" t="s">
        <v>59</v>
      </c>
      <c r="E155" s="16">
        <v>0</v>
      </c>
      <c r="F155" s="16">
        <v>6</v>
      </c>
      <c r="G155" s="16" t="s">
        <v>58</v>
      </c>
      <c r="H155" s="16">
        <v>1150</v>
      </c>
      <c r="I155" s="16">
        <v>0</v>
      </c>
      <c r="J155" s="16">
        <v>756</v>
      </c>
      <c r="K155" s="16">
        <v>0</v>
      </c>
      <c r="L155" s="16">
        <v>183</v>
      </c>
      <c r="M155" s="16">
        <v>149</v>
      </c>
      <c r="N155" s="16">
        <v>2238</v>
      </c>
      <c r="O155" s="16">
        <v>72</v>
      </c>
      <c r="P155" s="12" t="str">
        <f t="shared" si="6"/>
        <v>Prime</v>
      </c>
      <c r="Q155" s="12" t="str">
        <f t="shared" si="7"/>
        <v>Happy</v>
      </c>
      <c r="R155" s="12" t="str">
        <f t="shared" si="8"/>
        <v>Budget</v>
      </c>
    </row>
    <row r="156" spans="1:18" ht="19.899999999999999" customHeight="1">
      <c r="A156" s="16">
        <v>155</v>
      </c>
      <c r="B156" s="16">
        <v>39</v>
      </c>
      <c r="C156" s="16" t="s">
        <v>50</v>
      </c>
      <c r="D156" s="16" t="s">
        <v>54</v>
      </c>
      <c r="E156" s="16">
        <v>0</v>
      </c>
      <c r="F156" s="16">
        <v>1</v>
      </c>
      <c r="G156" s="16" t="s">
        <v>60</v>
      </c>
      <c r="H156" s="16">
        <v>500</v>
      </c>
      <c r="I156" s="16">
        <v>452</v>
      </c>
      <c r="J156" s="16">
        <v>84</v>
      </c>
      <c r="K156" s="16">
        <v>453</v>
      </c>
      <c r="L156" s="16">
        <v>0</v>
      </c>
      <c r="M156" s="16">
        <v>0</v>
      </c>
      <c r="N156" s="16">
        <v>1489</v>
      </c>
      <c r="O156" s="16">
        <v>62</v>
      </c>
      <c r="P156" s="12" t="str">
        <f t="shared" si="6"/>
        <v>Core</v>
      </c>
      <c r="Q156" s="12" t="str">
        <f t="shared" si="7"/>
        <v>Acceptable</v>
      </c>
      <c r="R156" s="12" t="str">
        <f t="shared" si="8"/>
        <v>Budget</v>
      </c>
    </row>
    <row r="157" spans="1:18" ht="19.899999999999999" customHeight="1">
      <c r="A157" s="16">
        <v>156</v>
      </c>
      <c r="B157" s="16">
        <v>43</v>
      </c>
      <c r="C157" s="16" t="s">
        <v>53</v>
      </c>
      <c r="D157" s="16" t="s">
        <v>57</v>
      </c>
      <c r="E157" s="16">
        <v>2</v>
      </c>
      <c r="F157" s="16">
        <v>4</v>
      </c>
      <c r="G157" s="16" t="s">
        <v>58</v>
      </c>
      <c r="H157" s="16">
        <v>1150</v>
      </c>
      <c r="I157" s="16">
        <v>592</v>
      </c>
      <c r="J157" s="16">
        <v>504</v>
      </c>
      <c r="K157" s="16">
        <v>119</v>
      </c>
      <c r="L157" s="16">
        <v>915</v>
      </c>
      <c r="M157" s="16">
        <v>392</v>
      </c>
      <c r="N157" s="16">
        <v>3672</v>
      </c>
      <c r="O157" s="16">
        <v>59</v>
      </c>
      <c r="P157" s="12" t="str">
        <f t="shared" si="6"/>
        <v>Core</v>
      </c>
      <c r="Q157" s="12" t="str">
        <f t="shared" si="7"/>
        <v>Unimpressed</v>
      </c>
      <c r="R157" s="12" t="str">
        <f t="shared" si="8"/>
        <v>High</v>
      </c>
    </row>
    <row r="158" spans="1:18" ht="19.899999999999999" customHeight="1">
      <c r="A158" s="16">
        <v>157</v>
      </c>
      <c r="B158" s="16">
        <v>64</v>
      </c>
      <c r="C158" s="16" t="s">
        <v>53</v>
      </c>
      <c r="D158" s="16" t="s">
        <v>57</v>
      </c>
      <c r="E158" s="16">
        <v>4</v>
      </c>
      <c r="F158" s="16">
        <v>6</v>
      </c>
      <c r="G158" s="16" t="s">
        <v>58</v>
      </c>
      <c r="H158" s="16">
        <v>1150</v>
      </c>
      <c r="I158" s="16">
        <v>0</v>
      </c>
      <c r="J158" s="16">
        <v>756</v>
      </c>
      <c r="K158" s="16">
        <v>238</v>
      </c>
      <c r="L158" s="16">
        <v>183</v>
      </c>
      <c r="M158" s="16">
        <v>0</v>
      </c>
      <c r="N158" s="16">
        <v>2327</v>
      </c>
      <c r="O158" s="16">
        <v>79</v>
      </c>
      <c r="P158" s="12" t="str">
        <f t="shared" si="6"/>
        <v>Mature</v>
      </c>
      <c r="Q158" s="12" t="str">
        <f t="shared" si="7"/>
        <v>Happy</v>
      </c>
      <c r="R158" s="12" t="str">
        <f t="shared" si="8"/>
        <v>Budget</v>
      </c>
    </row>
    <row r="159" spans="1:18" ht="19.899999999999999" customHeight="1">
      <c r="A159" s="16">
        <v>158</v>
      </c>
      <c r="B159" s="16">
        <v>65</v>
      </c>
      <c r="C159" s="16" t="s">
        <v>50</v>
      </c>
      <c r="D159" s="16" t="s">
        <v>57</v>
      </c>
      <c r="E159" s="16">
        <v>2</v>
      </c>
      <c r="F159" s="16">
        <v>4</v>
      </c>
      <c r="G159" s="16" t="s">
        <v>58</v>
      </c>
      <c r="H159" s="16">
        <v>1150</v>
      </c>
      <c r="I159" s="16">
        <v>296</v>
      </c>
      <c r="J159" s="16">
        <v>504</v>
      </c>
      <c r="K159" s="16">
        <v>151</v>
      </c>
      <c r="L159" s="16">
        <v>238</v>
      </c>
      <c r="M159" s="16">
        <v>151</v>
      </c>
      <c r="N159" s="16">
        <v>2490</v>
      </c>
      <c r="O159" s="16">
        <v>83</v>
      </c>
      <c r="P159" s="12" t="str">
        <f t="shared" si="6"/>
        <v>Mature</v>
      </c>
      <c r="Q159" s="12" t="str">
        <f t="shared" si="7"/>
        <v>Delighted</v>
      </c>
      <c r="R159" s="12" t="str">
        <f t="shared" si="8"/>
        <v>Budget</v>
      </c>
    </row>
    <row r="160" spans="1:18" ht="19.899999999999999" customHeight="1">
      <c r="A160" s="16">
        <v>159</v>
      </c>
      <c r="B160" s="16">
        <v>29</v>
      </c>
      <c r="C160" s="16" t="s">
        <v>50</v>
      </c>
      <c r="D160" s="16" t="s">
        <v>59</v>
      </c>
      <c r="E160" s="16">
        <v>0</v>
      </c>
      <c r="F160" s="16">
        <v>8</v>
      </c>
      <c r="G160" s="16" t="s">
        <v>60</v>
      </c>
      <c r="H160" s="16">
        <v>500</v>
      </c>
      <c r="I160" s="16">
        <v>93</v>
      </c>
      <c r="J160" s="16">
        <v>672</v>
      </c>
      <c r="K160" s="16">
        <v>755</v>
      </c>
      <c r="L160" s="16">
        <v>0</v>
      </c>
      <c r="M160" s="16">
        <v>294</v>
      </c>
      <c r="N160" s="16">
        <v>2314</v>
      </c>
      <c r="O160" s="16">
        <v>79</v>
      </c>
      <c r="P160" s="12" t="str">
        <f t="shared" si="6"/>
        <v>Young</v>
      </c>
      <c r="Q160" s="12" t="str">
        <f t="shared" si="7"/>
        <v>Happy</v>
      </c>
      <c r="R160" s="12" t="str">
        <f t="shared" si="8"/>
        <v>Budget</v>
      </c>
    </row>
    <row r="161" spans="1:18" ht="19.899999999999999" customHeight="1">
      <c r="A161" s="16">
        <v>160</v>
      </c>
      <c r="B161" s="16">
        <v>27</v>
      </c>
      <c r="C161" s="16" t="s">
        <v>50</v>
      </c>
      <c r="D161" s="16" t="s">
        <v>59</v>
      </c>
      <c r="E161" s="16">
        <v>0</v>
      </c>
      <c r="F161" s="16">
        <v>3</v>
      </c>
      <c r="G161" s="16" t="s">
        <v>60</v>
      </c>
      <c r="H161" s="16">
        <v>500</v>
      </c>
      <c r="I161" s="16">
        <v>0</v>
      </c>
      <c r="J161" s="16">
        <v>252</v>
      </c>
      <c r="K161" s="16">
        <v>151</v>
      </c>
      <c r="L161" s="16">
        <v>0</v>
      </c>
      <c r="M161" s="16">
        <v>0</v>
      </c>
      <c r="N161" s="16">
        <v>903</v>
      </c>
      <c r="O161" s="16">
        <v>90</v>
      </c>
      <c r="P161" s="12" t="str">
        <f t="shared" si="6"/>
        <v>Young</v>
      </c>
      <c r="Q161" s="12" t="str">
        <f t="shared" si="7"/>
        <v>Delighted</v>
      </c>
      <c r="R161" s="12" t="str">
        <f t="shared" si="8"/>
        <v>Budget</v>
      </c>
    </row>
    <row r="162" spans="1:18" ht="19.899999999999999" customHeight="1">
      <c r="A162" s="16">
        <v>161</v>
      </c>
      <c r="B162" s="16">
        <v>46</v>
      </c>
      <c r="C162" s="16" t="s">
        <v>53</v>
      </c>
      <c r="D162" s="16" t="s">
        <v>54</v>
      </c>
      <c r="E162" s="16">
        <v>0</v>
      </c>
      <c r="F162" s="16">
        <v>1</v>
      </c>
      <c r="G162" s="16" t="s">
        <v>58</v>
      </c>
      <c r="H162" s="16">
        <v>1150</v>
      </c>
      <c r="I162" s="16">
        <v>1130</v>
      </c>
      <c r="J162" s="16">
        <v>126</v>
      </c>
      <c r="K162" s="16">
        <v>357</v>
      </c>
      <c r="L162" s="16">
        <v>732</v>
      </c>
      <c r="M162" s="16">
        <v>0</v>
      </c>
      <c r="N162" s="16">
        <v>3495</v>
      </c>
      <c r="O162" s="16">
        <v>55</v>
      </c>
      <c r="P162" s="12" t="str">
        <f t="shared" si="6"/>
        <v>Prime</v>
      </c>
      <c r="Q162" s="12" t="str">
        <f t="shared" si="7"/>
        <v>Unimpressed</v>
      </c>
      <c r="R162" s="12" t="str">
        <f t="shared" si="8"/>
        <v>Medium</v>
      </c>
    </row>
    <row r="163" spans="1:18" ht="19.899999999999999" customHeight="1">
      <c r="A163" s="16">
        <v>162</v>
      </c>
      <c r="B163" s="16">
        <v>45</v>
      </c>
      <c r="C163" s="16" t="s">
        <v>50</v>
      </c>
      <c r="D163" s="16" t="s">
        <v>59</v>
      </c>
      <c r="E163" s="16">
        <v>0</v>
      </c>
      <c r="F163" s="16">
        <v>7</v>
      </c>
      <c r="G163" s="16" t="s">
        <v>58</v>
      </c>
      <c r="H163" s="16">
        <v>1150</v>
      </c>
      <c r="I163" s="16">
        <v>0</v>
      </c>
      <c r="J163" s="16">
        <v>882</v>
      </c>
      <c r="K163" s="16">
        <v>302</v>
      </c>
      <c r="L163" s="16">
        <v>357</v>
      </c>
      <c r="M163" s="16">
        <v>196</v>
      </c>
      <c r="N163" s="16">
        <v>2887</v>
      </c>
      <c r="O163" s="16">
        <v>93</v>
      </c>
      <c r="P163" s="12" t="str">
        <f t="shared" si="6"/>
        <v>Core</v>
      </c>
      <c r="Q163" s="12" t="str">
        <f t="shared" si="7"/>
        <v>Delighted</v>
      </c>
      <c r="R163" s="12" t="str">
        <f t="shared" si="8"/>
        <v>Medium</v>
      </c>
    </row>
    <row r="164" spans="1:18" ht="19.899999999999999" customHeight="1">
      <c r="A164" s="16">
        <v>163</v>
      </c>
      <c r="B164" s="16">
        <v>57</v>
      </c>
      <c r="C164" s="16" t="s">
        <v>53</v>
      </c>
      <c r="D164" s="16" t="s">
        <v>57</v>
      </c>
      <c r="E164" s="16">
        <v>3</v>
      </c>
      <c r="F164" s="16">
        <v>5</v>
      </c>
      <c r="G164" s="16" t="s">
        <v>52</v>
      </c>
      <c r="H164" s="16">
        <v>1950</v>
      </c>
      <c r="I164" s="16">
        <v>148</v>
      </c>
      <c r="J164" s="16">
        <v>880</v>
      </c>
      <c r="K164" s="16">
        <v>238</v>
      </c>
      <c r="L164" s="16">
        <v>732</v>
      </c>
      <c r="M164" s="16">
        <v>447</v>
      </c>
      <c r="N164" s="16">
        <v>4395</v>
      </c>
      <c r="O164" s="16">
        <v>53</v>
      </c>
      <c r="P164" s="12" t="str">
        <f t="shared" si="6"/>
        <v>Prime</v>
      </c>
      <c r="Q164" s="12" t="str">
        <f t="shared" si="7"/>
        <v>Unimpressed</v>
      </c>
      <c r="R164" s="12" t="str">
        <f t="shared" si="8"/>
        <v>High</v>
      </c>
    </row>
    <row r="165" spans="1:18" ht="19.899999999999999" customHeight="1">
      <c r="A165" s="16">
        <v>164</v>
      </c>
      <c r="B165" s="16">
        <v>37</v>
      </c>
      <c r="C165" s="16" t="s">
        <v>53</v>
      </c>
      <c r="D165" s="16" t="s">
        <v>54</v>
      </c>
      <c r="E165" s="16">
        <v>0</v>
      </c>
      <c r="F165" s="16">
        <v>1</v>
      </c>
      <c r="G165" s="16" t="s">
        <v>58</v>
      </c>
      <c r="H165" s="16">
        <v>1150</v>
      </c>
      <c r="I165" s="16">
        <v>0</v>
      </c>
      <c r="J165" s="16">
        <v>126</v>
      </c>
      <c r="K165" s="16">
        <v>357</v>
      </c>
      <c r="L165" s="16">
        <v>915</v>
      </c>
      <c r="M165" s="16">
        <v>196</v>
      </c>
      <c r="N165" s="16">
        <v>2744</v>
      </c>
      <c r="O165" s="16">
        <v>59</v>
      </c>
      <c r="P165" s="12" t="str">
        <f t="shared" si="6"/>
        <v>Core</v>
      </c>
      <c r="Q165" s="12" t="str">
        <f t="shared" si="7"/>
        <v>Unimpressed</v>
      </c>
      <c r="R165" s="12" t="str">
        <f t="shared" si="8"/>
        <v>Medium</v>
      </c>
    </row>
    <row r="166" spans="1:18" ht="19.899999999999999" customHeight="1">
      <c r="A166" s="16">
        <v>165</v>
      </c>
      <c r="B166" s="16">
        <v>45</v>
      </c>
      <c r="C166" s="16" t="s">
        <v>53</v>
      </c>
      <c r="D166" s="16" t="s">
        <v>54</v>
      </c>
      <c r="E166" s="16">
        <v>0</v>
      </c>
      <c r="F166" s="16">
        <v>1</v>
      </c>
      <c r="G166" s="16" t="s">
        <v>58</v>
      </c>
      <c r="H166" s="16">
        <v>1150</v>
      </c>
      <c r="I166" s="16">
        <v>226</v>
      </c>
      <c r="J166" s="16">
        <v>126</v>
      </c>
      <c r="K166" s="16">
        <v>119</v>
      </c>
      <c r="L166" s="16">
        <v>0</v>
      </c>
      <c r="M166" s="16">
        <v>196</v>
      </c>
      <c r="N166" s="16">
        <v>1817</v>
      </c>
      <c r="O166" s="16">
        <v>73</v>
      </c>
      <c r="P166" s="12" t="str">
        <f t="shared" si="6"/>
        <v>Core</v>
      </c>
      <c r="Q166" s="12" t="str">
        <f t="shared" si="7"/>
        <v>Happy</v>
      </c>
      <c r="R166" s="12" t="str">
        <f t="shared" si="8"/>
        <v>Budget</v>
      </c>
    </row>
    <row r="167" spans="1:18" ht="19.899999999999999" customHeight="1">
      <c r="A167" s="16">
        <v>166</v>
      </c>
      <c r="B167" s="16">
        <v>44</v>
      </c>
      <c r="C167" s="16" t="s">
        <v>50</v>
      </c>
      <c r="D167" s="16" t="s">
        <v>51</v>
      </c>
      <c r="E167" s="16">
        <v>0</v>
      </c>
      <c r="F167" s="16">
        <v>2</v>
      </c>
      <c r="G167" s="16" t="s">
        <v>58</v>
      </c>
      <c r="H167" s="16">
        <v>1150</v>
      </c>
      <c r="I167" s="16">
        <v>348</v>
      </c>
      <c r="J167" s="16">
        <v>252</v>
      </c>
      <c r="K167" s="16">
        <v>755</v>
      </c>
      <c r="L167" s="16">
        <v>357</v>
      </c>
      <c r="M167" s="16">
        <v>392</v>
      </c>
      <c r="N167" s="16">
        <v>3254</v>
      </c>
      <c r="O167" s="16">
        <v>74</v>
      </c>
      <c r="P167" s="12" t="str">
        <f t="shared" si="6"/>
        <v>Core</v>
      </c>
      <c r="Q167" s="12" t="str">
        <f t="shared" si="7"/>
        <v>Happy</v>
      </c>
      <c r="R167" s="12" t="str">
        <f t="shared" si="8"/>
        <v>Medium</v>
      </c>
    </row>
    <row r="168" spans="1:18" ht="19.899999999999999" customHeight="1">
      <c r="A168" s="16">
        <v>167</v>
      </c>
      <c r="B168" s="16">
        <v>79</v>
      </c>
      <c r="C168" s="16" t="s">
        <v>53</v>
      </c>
      <c r="D168" s="16" t="s">
        <v>54</v>
      </c>
      <c r="E168" s="16">
        <v>0</v>
      </c>
      <c r="F168" s="16">
        <v>1</v>
      </c>
      <c r="G168" s="16" t="s">
        <v>55</v>
      </c>
      <c r="H168" s="16">
        <v>2950</v>
      </c>
      <c r="I168" s="16">
        <v>904</v>
      </c>
      <c r="J168" s="16">
        <v>251</v>
      </c>
      <c r="K168" s="16">
        <v>119</v>
      </c>
      <c r="L168" s="16">
        <v>0</v>
      </c>
      <c r="M168" s="16">
        <v>447</v>
      </c>
      <c r="N168" s="16">
        <v>4671</v>
      </c>
      <c r="O168" s="16">
        <v>77</v>
      </c>
      <c r="P168" s="12" t="str">
        <f t="shared" si="6"/>
        <v>Senior</v>
      </c>
      <c r="Q168" s="12" t="str">
        <f t="shared" si="7"/>
        <v>Happy</v>
      </c>
      <c r="R168" s="12" t="str">
        <f t="shared" si="8"/>
        <v>Premium</v>
      </c>
    </row>
    <row r="169" spans="1:18" ht="19.899999999999999" customHeight="1">
      <c r="A169" s="16">
        <v>168</v>
      </c>
      <c r="B169" s="16">
        <v>31</v>
      </c>
      <c r="C169" s="16" t="s">
        <v>53</v>
      </c>
      <c r="D169" s="16" t="s">
        <v>57</v>
      </c>
      <c r="E169" s="16">
        <v>1</v>
      </c>
      <c r="F169" s="16">
        <v>3</v>
      </c>
      <c r="G169" s="16" t="s">
        <v>55</v>
      </c>
      <c r="H169" s="16">
        <v>2950</v>
      </c>
      <c r="I169" s="16">
        <v>592</v>
      </c>
      <c r="J169" s="16">
        <v>753</v>
      </c>
      <c r="K169" s="16">
        <v>357</v>
      </c>
      <c r="L169" s="16">
        <v>366</v>
      </c>
      <c r="M169" s="16">
        <v>392</v>
      </c>
      <c r="N169" s="16">
        <v>5410</v>
      </c>
      <c r="O169" s="16">
        <v>51</v>
      </c>
      <c r="P169" s="12" t="str">
        <f t="shared" si="6"/>
        <v>Core</v>
      </c>
      <c r="Q169" s="12" t="str">
        <f t="shared" si="7"/>
        <v>Unimpressed</v>
      </c>
      <c r="R169" s="12" t="str">
        <f t="shared" si="8"/>
        <v>Premium</v>
      </c>
    </row>
    <row r="170" spans="1:18" ht="19.899999999999999" customHeight="1">
      <c r="A170" s="16">
        <v>169</v>
      </c>
      <c r="B170" s="16">
        <v>69</v>
      </c>
      <c r="C170" s="16" t="s">
        <v>53</v>
      </c>
      <c r="D170" s="16" t="s">
        <v>57</v>
      </c>
      <c r="E170" s="16">
        <v>2</v>
      </c>
      <c r="F170" s="16">
        <v>4</v>
      </c>
      <c r="G170" s="16" t="s">
        <v>58</v>
      </c>
      <c r="H170" s="16">
        <v>1150</v>
      </c>
      <c r="I170" s="16">
        <v>0</v>
      </c>
      <c r="J170" s="16">
        <v>504</v>
      </c>
      <c r="K170" s="16">
        <v>238</v>
      </c>
      <c r="L170" s="16">
        <v>732</v>
      </c>
      <c r="M170" s="16">
        <v>302</v>
      </c>
      <c r="N170" s="16">
        <v>2926</v>
      </c>
      <c r="O170" s="16">
        <v>39</v>
      </c>
      <c r="P170" s="12" t="str">
        <f t="shared" si="6"/>
        <v>Mature</v>
      </c>
      <c r="Q170" s="12" t="str">
        <f t="shared" si="7"/>
        <v>Unhappy</v>
      </c>
      <c r="R170" s="12" t="str">
        <f t="shared" si="8"/>
        <v>Medium</v>
      </c>
    </row>
    <row r="171" spans="1:18" ht="19.899999999999999" customHeight="1">
      <c r="A171" s="16">
        <v>170</v>
      </c>
      <c r="B171" s="16">
        <v>67</v>
      </c>
      <c r="C171" s="16" t="s">
        <v>50</v>
      </c>
      <c r="D171" s="16" t="s">
        <v>51</v>
      </c>
      <c r="E171" s="16">
        <v>0</v>
      </c>
      <c r="F171" s="16">
        <v>2</v>
      </c>
      <c r="G171" s="16" t="s">
        <v>52</v>
      </c>
      <c r="H171" s="16">
        <v>1950</v>
      </c>
      <c r="I171" s="16">
        <v>174</v>
      </c>
      <c r="J171" s="16">
        <v>352</v>
      </c>
      <c r="K171" s="16">
        <v>755</v>
      </c>
      <c r="L171" s="16">
        <v>357</v>
      </c>
      <c r="M171" s="16">
        <v>453</v>
      </c>
      <c r="N171" s="16">
        <v>4041</v>
      </c>
      <c r="O171" s="16">
        <v>78</v>
      </c>
      <c r="P171" s="12" t="str">
        <f t="shared" si="6"/>
        <v>Mature</v>
      </c>
      <c r="Q171" s="12" t="str">
        <f t="shared" si="7"/>
        <v>Happy</v>
      </c>
      <c r="R171" s="12" t="str">
        <f t="shared" si="8"/>
        <v>High</v>
      </c>
    </row>
    <row r="172" spans="1:18" ht="19.899999999999999" customHeight="1">
      <c r="A172" s="16">
        <v>171</v>
      </c>
      <c r="B172" s="16">
        <v>67</v>
      </c>
      <c r="C172" s="16" t="s">
        <v>50</v>
      </c>
      <c r="D172" s="16" t="s">
        <v>51</v>
      </c>
      <c r="E172" s="16">
        <v>0</v>
      </c>
      <c r="F172" s="16">
        <v>2</v>
      </c>
      <c r="G172" s="16" t="s">
        <v>52</v>
      </c>
      <c r="H172" s="16">
        <v>1950</v>
      </c>
      <c r="I172" s="16">
        <v>696</v>
      </c>
      <c r="J172" s="16">
        <v>352</v>
      </c>
      <c r="K172" s="16">
        <v>302</v>
      </c>
      <c r="L172" s="16">
        <v>357</v>
      </c>
      <c r="M172" s="16">
        <v>604</v>
      </c>
      <c r="N172" s="16">
        <v>4261</v>
      </c>
      <c r="O172" s="16">
        <v>64</v>
      </c>
      <c r="P172" s="12" t="str">
        <f t="shared" si="6"/>
        <v>Mature</v>
      </c>
      <c r="Q172" s="12" t="str">
        <f t="shared" si="7"/>
        <v>Acceptable</v>
      </c>
      <c r="R172" s="12" t="str">
        <f t="shared" si="8"/>
        <v>High</v>
      </c>
    </row>
    <row r="173" spans="1:18" ht="19.899999999999999" customHeight="1">
      <c r="A173" s="16">
        <v>172</v>
      </c>
      <c r="B173" s="16">
        <v>59</v>
      </c>
      <c r="C173" s="16" t="s">
        <v>53</v>
      </c>
      <c r="D173" s="16" t="s">
        <v>59</v>
      </c>
      <c r="E173" s="16">
        <v>0</v>
      </c>
      <c r="F173" s="16">
        <v>5</v>
      </c>
      <c r="G173" s="16" t="s">
        <v>58</v>
      </c>
      <c r="H173" s="16">
        <v>1150</v>
      </c>
      <c r="I173" s="16">
        <v>93</v>
      </c>
      <c r="J173" s="16">
        <v>630</v>
      </c>
      <c r="K173" s="16">
        <v>357</v>
      </c>
      <c r="L173" s="16">
        <v>0</v>
      </c>
      <c r="M173" s="16">
        <v>0</v>
      </c>
      <c r="N173" s="16">
        <v>2230</v>
      </c>
      <c r="O173" s="16">
        <v>63</v>
      </c>
      <c r="P173" s="12" t="str">
        <f t="shared" si="6"/>
        <v>Prime</v>
      </c>
      <c r="Q173" s="12" t="str">
        <f t="shared" si="7"/>
        <v>Acceptable</v>
      </c>
      <c r="R173" s="12" t="str">
        <f t="shared" si="8"/>
        <v>Budget</v>
      </c>
    </row>
    <row r="174" spans="1:18" ht="19.899999999999999" customHeight="1">
      <c r="A174" s="16">
        <v>173</v>
      </c>
      <c r="B174" s="16">
        <v>94</v>
      </c>
      <c r="C174" s="16" t="s">
        <v>50</v>
      </c>
      <c r="D174" s="16" t="s">
        <v>57</v>
      </c>
      <c r="E174" s="16">
        <v>3</v>
      </c>
      <c r="F174" s="16">
        <v>5</v>
      </c>
      <c r="G174" s="16" t="s">
        <v>58</v>
      </c>
      <c r="H174" s="16">
        <v>1150</v>
      </c>
      <c r="I174" s="16">
        <v>148</v>
      </c>
      <c r="J174" s="16">
        <v>630</v>
      </c>
      <c r="K174" s="16">
        <v>302</v>
      </c>
      <c r="L174" s="16">
        <v>238</v>
      </c>
      <c r="M174" s="16">
        <v>0</v>
      </c>
      <c r="N174" s="16">
        <v>2468</v>
      </c>
      <c r="O174" s="16">
        <v>96</v>
      </c>
      <c r="P174" s="12" t="str">
        <f t="shared" si="6"/>
        <v>Senior</v>
      </c>
      <c r="Q174" s="12" t="str">
        <f t="shared" si="7"/>
        <v>Delighted</v>
      </c>
      <c r="R174" s="12" t="str">
        <f t="shared" si="8"/>
        <v>Budget</v>
      </c>
    </row>
    <row r="175" spans="1:18" ht="19.899999999999999" customHeight="1">
      <c r="A175" s="16">
        <v>174</v>
      </c>
      <c r="B175" s="16">
        <v>42</v>
      </c>
      <c r="C175" s="16" t="s">
        <v>50</v>
      </c>
      <c r="D175" s="16" t="s">
        <v>57</v>
      </c>
      <c r="E175" s="16">
        <v>1</v>
      </c>
      <c r="F175" s="16">
        <v>3</v>
      </c>
      <c r="G175" s="16" t="s">
        <v>58</v>
      </c>
      <c r="H175" s="16">
        <v>1150</v>
      </c>
      <c r="I175" s="16">
        <v>0</v>
      </c>
      <c r="J175" s="16">
        <v>378</v>
      </c>
      <c r="K175" s="16">
        <v>302</v>
      </c>
      <c r="L175" s="16">
        <v>0</v>
      </c>
      <c r="M175" s="16">
        <v>392</v>
      </c>
      <c r="N175" s="16">
        <v>2222</v>
      </c>
      <c r="O175" s="16">
        <v>75</v>
      </c>
      <c r="P175" s="12" t="str">
        <f t="shared" si="6"/>
        <v>Core</v>
      </c>
      <c r="Q175" s="12" t="str">
        <f t="shared" si="7"/>
        <v>Happy</v>
      </c>
      <c r="R175" s="12" t="str">
        <f t="shared" si="8"/>
        <v>Budget</v>
      </c>
    </row>
    <row r="176" spans="1:18" ht="19.899999999999999" customHeight="1">
      <c r="A176" s="16">
        <v>175</v>
      </c>
      <c r="B176" s="16">
        <v>70</v>
      </c>
      <c r="C176" s="16" t="s">
        <v>53</v>
      </c>
      <c r="D176" s="16" t="s">
        <v>57</v>
      </c>
      <c r="E176" s="16">
        <v>2</v>
      </c>
      <c r="F176" s="16">
        <v>4</v>
      </c>
      <c r="G176" s="16" t="s">
        <v>58</v>
      </c>
      <c r="H176" s="16">
        <v>1150</v>
      </c>
      <c r="I176" s="16">
        <v>592</v>
      </c>
      <c r="J176" s="16">
        <v>504</v>
      </c>
      <c r="K176" s="16">
        <v>119</v>
      </c>
      <c r="L176" s="16">
        <v>183</v>
      </c>
      <c r="M176" s="16">
        <v>149</v>
      </c>
      <c r="N176" s="16">
        <v>2697</v>
      </c>
      <c r="O176" s="16">
        <v>58</v>
      </c>
      <c r="P176" s="12" t="str">
        <f t="shared" si="6"/>
        <v>Senior</v>
      </c>
      <c r="Q176" s="12" t="str">
        <f t="shared" si="7"/>
        <v>Unimpressed</v>
      </c>
      <c r="R176" s="12" t="str">
        <f t="shared" si="8"/>
        <v>Medium</v>
      </c>
    </row>
    <row r="177" spans="1:18" ht="19.899999999999999" customHeight="1">
      <c r="A177" s="16">
        <v>176</v>
      </c>
      <c r="B177" s="16">
        <v>30</v>
      </c>
      <c r="C177" s="16" t="s">
        <v>50</v>
      </c>
      <c r="D177" s="16" t="s">
        <v>57</v>
      </c>
      <c r="E177" s="16">
        <v>3</v>
      </c>
      <c r="F177" s="16">
        <v>5</v>
      </c>
      <c r="G177" s="16" t="s">
        <v>52</v>
      </c>
      <c r="H177" s="16">
        <v>1950</v>
      </c>
      <c r="I177" s="16">
        <v>296</v>
      </c>
      <c r="J177" s="16">
        <v>880</v>
      </c>
      <c r="K177" s="16">
        <v>453</v>
      </c>
      <c r="L177" s="16">
        <v>0</v>
      </c>
      <c r="M177" s="16">
        <v>392</v>
      </c>
      <c r="N177" s="16">
        <v>3971</v>
      </c>
      <c r="O177" s="16">
        <v>80</v>
      </c>
      <c r="P177" s="12" t="str">
        <f t="shared" si="6"/>
        <v>Core</v>
      </c>
      <c r="Q177" s="12" t="str">
        <f t="shared" si="7"/>
        <v>Delighted</v>
      </c>
      <c r="R177" s="12" t="str">
        <f t="shared" si="8"/>
        <v>High</v>
      </c>
    </row>
    <row r="178" spans="1:18" ht="19.899999999999999" customHeight="1">
      <c r="A178" s="16">
        <v>177</v>
      </c>
      <c r="B178" s="16">
        <v>56</v>
      </c>
      <c r="C178" s="16" t="s">
        <v>53</v>
      </c>
      <c r="D178" s="16" t="s">
        <v>51</v>
      </c>
      <c r="E178" s="16">
        <v>0</v>
      </c>
      <c r="F178" s="16">
        <v>2</v>
      </c>
      <c r="G178" s="16" t="s">
        <v>58</v>
      </c>
      <c r="H178" s="16">
        <v>1150</v>
      </c>
      <c r="I178" s="16">
        <v>174</v>
      </c>
      <c r="J178" s="16">
        <v>252</v>
      </c>
      <c r="K178" s="16">
        <v>119</v>
      </c>
      <c r="L178" s="16">
        <v>915</v>
      </c>
      <c r="M178" s="16">
        <v>149</v>
      </c>
      <c r="N178" s="16">
        <v>2759</v>
      </c>
      <c r="O178" s="16">
        <v>86</v>
      </c>
      <c r="P178" s="12" t="str">
        <f t="shared" si="6"/>
        <v>Prime</v>
      </c>
      <c r="Q178" s="12" t="str">
        <f t="shared" si="7"/>
        <v>Delighted</v>
      </c>
      <c r="R178" s="12" t="str">
        <f t="shared" si="8"/>
        <v>Medium</v>
      </c>
    </row>
    <row r="179" spans="1:18" ht="19.899999999999999" customHeight="1">
      <c r="A179" s="16">
        <v>178</v>
      </c>
      <c r="B179" s="16">
        <v>57</v>
      </c>
      <c r="C179" s="16" t="s">
        <v>53</v>
      </c>
      <c r="D179" s="16" t="s">
        <v>57</v>
      </c>
      <c r="E179" s="16">
        <v>2</v>
      </c>
      <c r="F179" s="16">
        <v>4</v>
      </c>
      <c r="G179" s="16" t="s">
        <v>58</v>
      </c>
      <c r="H179" s="16">
        <v>1150</v>
      </c>
      <c r="I179" s="16">
        <v>444</v>
      </c>
      <c r="J179" s="16">
        <v>504</v>
      </c>
      <c r="K179" s="16">
        <v>0</v>
      </c>
      <c r="L179" s="16">
        <v>915</v>
      </c>
      <c r="M179" s="16">
        <v>0</v>
      </c>
      <c r="N179" s="16">
        <v>3013</v>
      </c>
      <c r="O179" s="16">
        <v>80</v>
      </c>
      <c r="P179" s="12" t="str">
        <f t="shared" si="6"/>
        <v>Prime</v>
      </c>
      <c r="Q179" s="12" t="str">
        <f t="shared" si="7"/>
        <v>Delighted</v>
      </c>
      <c r="R179" s="12" t="str">
        <f t="shared" si="8"/>
        <v>Medium</v>
      </c>
    </row>
    <row r="180" spans="1:18" ht="19.899999999999999" customHeight="1">
      <c r="A180" s="16">
        <v>179</v>
      </c>
      <c r="B180" s="16">
        <v>49</v>
      </c>
      <c r="C180" s="16" t="s">
        <v>50</v>
      </c>
      <c r="D180" s="16" t="s">
        <v>51</v>
      </c>
      <c r="E180" s="16">
        <v>0</v>
      </c>
      <c r="F180" s="16">
        <v>2</v>
      </c>
      <c r="G180" s="16" t="s">
        <v>58</v>
      </c>
      <c r="H180" s="16">
        <v>1150</v>
      </c>
      <c r="I180" s="16">
        <v>522</v>
      </c>
      <c r="J180" s="16">
        <v>252</v>
      </c>
      <c r="K180" s="16">
        <v>0</v>
      </c>
      <c r="L180" s="16">
        <v>119</v>
      </c>
      <c r="M180" s="16">
        <v>298</v>
      </c>
      <c r="N180" s="16">
        <v>2341</v>
      </c>
      <c r="O180" s="16">
        <v>55</v>
      </c>
      <c r="P180" s="12" t="str">
        <f t="shared" si="6"/>
        <v>Prime</v>
      </c>
      <c r="Q180" s="12" t="str">
        <f t="shared" si="7"/>
        <v>Unimpressed</v>
      </c>
      <c r="R180" s="12" t="str">
        <f t="shared" si="8"/>
        <v>Budget</v>
      </c>
    </row>
    <row r="181" spans="1:18" ht="19.899999999999999" customHeight="1">
      <c r="A181" s="16">
        <v>180</v>
      </c>
      <c r="B181" s="16">
        <v>57</v>
      </c>
      <c r="C181" s="16" t="s">
        <v>53</v>
      </c>
      <c r="D181" s="16" t="s">
        <v>57</v>
      </c>
      <c r="E181" s="16">
        <v>3</v>
      </c>
      <c r="F181" s="16">
        <v>5</v>
      </c>
      <c r="G181" s="16" t="s">
        <v>58</v>
      </c>
      <c r="H181" s="16">
        <v>1150</v>
      </c>
      <c r="I181" s="16">
        <v>296</v>
      </c>
      <c r="J181" s="16">
        <v>630</v>
      </c>
      <c r="K181" s="16">
        <v>238</v>
      </c>
      <c r="L181" s="16">
        <v>366</v>
      </c>
      <c r="M181" s="16">
        <v>0</v>
      </c>
      <c r="N181" s="16">
        <v>2680</v>
      </c>
      <c r="O181" s="16">
        <v>42</v>
      </c>
      <c r="P181" s="12" t="str">
        <f t="shared" si="6"/>
        <v>Prime</v>
      </c>
      <c r="Q181" s="12" t="str">
        <f t="shared" si="7"/>
        <v>Unhappy</v>
      </c>
      <c r="R181" s="12" t="str">
        <f t="shared" si="8"/>
        <v>Medium</v>
      </c>
    </row>
    <row r="182" spans="1:18" ht="19.899999999999999" customHeight="1">
      <c r="A182" s="16">
        <v>181</v>
      </c>
      <c r="B182" s="16">
        <v>31</v>
      </c>
      <c r="C182" s="16" t="s">
        <v>53</v>
      </c>
      <c r="D182" s="16" t="s">
        <v>59</v>
      </c>
      <c r="E182" s="16">
        <v>0</v>
      </c>
      <c r="F182" s="16">
        <v>5</v>
      </c>
      <c r="G182" s="16" t="s">
        <v>58</v>
      </c>
      <c r="H182" s="16">
        <v>1150</v>
      </c>
      <c r="I182" s="16">
        <v>93</v>
      </c>
      <c r="J182" s="16">
        <v>630</v>
      </c>
      <c r="K182" s="16">
        <v>357</v>
      </c>
      <c r="L182" s="16">
        <v>915</v>
      </c>
      <c r="M182" s="16">
        <v>392</v>
      </c>
      <c r="N182" s="16">
        <v>3537</v>
      </c>
      <c r="O182" s="16">
        <v>59</v>
      </c>
      <c r="P182" s="12" t="str">
        <f t="shared" si="6"/>
        <v>Core</v>
      </c>
      <c r="Q182" s="12" t="str">
        <f t="shared" si="7"/>
        <v>Unimpressed</v>
      </c>
      <c r="R182" s="12" t="str">
        <f t="shared" si="8"/>
        <v>High</v>
      </c>
    </row>
    <row r="183" spans="1:18" ht="19.899999999999999" customHeight="1">
      <c r="A183" s="16">
        <v>182</v>
      </c>
      <c r="B183" s="16">
        <v>28</v>
      </c>
      <c r="C183" s="16" t="s">
        <v>53</v>
      </c>
      <c r="D183" s="16" t="s">
        <v>54</v>
      </c>
      <c r="E183" s="16">
        <v>0</v>
      </c>
      <c r="F183" s="16">
        <v>1</v>
      </c>
      <c r="G183" s="16" t="s">
        <v>60</v>
      </c>
      <c r="H183" s="16">
        <v>500</v>
      </c>
      <c r="I183" s="16">
        <v>226</v>
      </c>
      <c r="J183" s="16">
        <v>84</v>
      </c>
      <c r="K183" s="16">
        <v>357</v>
      </c>
      <c r="L183" s="16">
        <v>915</v>
      </c>
      <c r="M183" s="16">
        <v>147</v>
      </c>
      <c r="N183" s="16">
        <v>2229</v>
      </c>
      <c r="O183" s="16">
        <v>88</v>
      </c>
      <c r="P183" s="12" t="str">
        <f t="shared" si="6"/>
        <v>Young</v>
      </c>
      <c r="Q183" s="12" t="str">
        <f t="shared" si="7"/>
        <v>Delighted</v>
      </c>
      <c r="R183" s="12" t="str">
        <f t="shared" si="8"/>
        <v>Budget</v>
      </c>
    </row>
    <row r="184" spans="1:18" ht="19.899999999999999" customHeight="1">
      <c r="A184" s="16">
        <v>183</v>
      </c>
      <c r="B184" s="16">
        <v>44</v>
      </c>
      <c r="C184" s="16" t="s">
        <v>50</v>
      </c>
      <c r="D184" s="16" t="s">
        <v>51</v>
      </c>
      <c r="E184" s="16">
        <v>0</v>
      </c>
      <c r="F184" s="16">
        <v>2</v>
      </c>
      <c r="G184" s="16" t="s">
        <v>60</v>
      </c>
      <c r="H184" s="16">
        <v>500</v>
      </c>
      <c r="I184" s="16">
        <v>522</v>
      </c>
      <c r="J184" s="16">
        <v>168</v>
      </c>
      <c r="K184" s="16">
        <v>302</v>
      </c>
      <c r="L184" s="16">
        <v>357</v>
      </c>
      <c r="M184" s="16">
        <v>0</v>
      </c>
      <c r="N184" s="16">
        <v>1849</v>
      </c>
      <c r="O184" s="16">
        <v>57</v>
      </c>
      <c r="P184" s="12" t="str">
        <f t="shared" si="6"/>
        <v>Core</v>
      </c>
      <c r="Q184" s="12" t="str">
        <f t="shared" si="7"/>
        <v>Unimpressed</v>
      </c>
      <c r="R184" s="12" t="str">
        <f t="shared" si="8"/>
        <v>Budget</v>
      </c>
    </row>
    <row r="185" spans="1:18" ht="19.899999999999999" customHeight="1">
      <c r="A185" s="16">
        <v>184</v>
      </c>
      <c r="B185" s="16">
        <v>24</v>
      </c>
      <c r="C185" s="16" t="s">
        <v>56</v>
      </c>
      <c r="D185" s="16" t="s">
        <v>51</v>
      </c>
      <c r="E185" s="16">
        <v>0</v>
      </c>
      <c r="F185" s="16">
        <v>2</v>
      </c>
      <c r="G185" s="16" t="s">
        <v>60</v>
      </c>
      <c r="H185" s="16">
        <v>500</v>
      </c>
      <c r="I185" s="16">
        <v>174</v>
      </c>
      <c r="J185" s="16">
        <v>168</v>
      </c>
      <c r="K185" s="16">
        <v>501</v>
      </c>
      <c r="L185" s="16">
        <v>334</v>
      </c>
      <c r="M185" s="16">
        <v>0</v>
      </c>
      <c r="N185" s="16">
        <v>1677</v>
      </c>
      <c r="O185" s="16">
        <v>97</v>
      </c>
      <c r="P185" s="12" t="str">
        <f t="shared" si="6"/>
        <v>Young</v>
      </c>
      <c r="Q185" s="12" t="str">
        <f t="shared" si="7"/>
        <v>Delighted</v>
      </c>
      <c r="R185" s="12" t="str">
        <f t="shared" si="8"/>
        <v>Budget</v>
      </c>
    </row>
    <row r="186" spans="1:18" ht="19.899999999999999" customHeight="1">
      <c r="A186" s="16">
        <v>185</v>
      </c>
      <c r="B186" s="16">
        <v>34</v>
      </c>
      <c r="C186" s="16" t="s">
        <v>53</v>
      </c>
      <c r="D186" s="16" t="s">
        <v>57</v>
      </c>
      <c r="E186" s="16">
        <v>1</v>
      </c>
      <c r="F186" s="16">
        <v>3</v>
      </c>
      <c r="G186" s="16" t="s">
        <v>52</v>
      </c>
      <c r="H186" s="16">
        <v>1950</v>
      </c>
      <c r="I186" s="16">
        <v>592</v>
      </c>
      <c r="J186" s="16">
        <v>528</v>
      </c>
      <c r="K186" s="16">
        <v>238</v>
      </c>
      <c r="L186" s="16">
        <v>366</v>
      </c>
      <c r="M186" s="16">
        <v>392</v>
      </c>
      <c r="N186" s="16">
        <v>4066</v>
      </c>
      <c r="O186" s="16">
        <v>91</v>
      </c>
      <c r="P186" s="12" t="str">
        <f t="shared" si="6"/>
        <v>Core</v>
      </c>
      <c r="Q186" s="12" t="str">
        <f t="shared" si="7"/>
        <v>Delighted</v>
      </c>
      <c r="R186" s="12" t="str">
        <f t="shared" si="8"/>
        <v>High</v>
      </c>
    </row>
    <row r="187" spans="1:18" ht="19.899999999999999" customHeight="1">
      <c r="A187" s="16">
        <v>186</v>
      </c>
      <c r="B187" s="16">
        <v>42</v>
      </c>
      <c r="C187" s="16" t="s">
        <v>50</v>
      </c>
      <c r="D187" s="16" t="s">
        <v>51</v>
      </c>
      <c r="E187" s="16">
        <v>0</v>
      </c>
      <c r="F187" s="16">
        <v>2</v>
      </c>
      <c r="G187" s="16" t="s">
        <v>60</v>
      </c>
      <c r="H187" s="16">
        <v>500</v>
      </c>
      <c r="I187" s="16">
        <v>174</v>
      </c>
      <c r="J187" s="16">
        <v>168</v>
      </c>
      <c r="K187" s="16">
        <v>604</v>
      </c>
      <c r="L187" s="16">
        <v>238</v>
      </c>
      <c r="M187" s="16">
        <v>392</v>
      </c>
      <c r="N187" s="16">
        <v>2076</v>
      </c>
      <c r="O187" s="16">
        <v>49</v>
      </c>
      <c r="P187" s="12" t="str">
        <f t="shared" si="6"/>
        <v>Core</v>
      </c>
      <c r="Q187" s="12" t="str">
        <f t="shared" si="7"/>
        <v>Unhappy</v>
      </c>
      <c r="R187" s="12" t="str">
        <f t="shared" si="8"/>
        <v>Budget</v>
      </c>
    </row>
    <row r="188" spans="1:18" ht="19.899999999999999" customHeight="1">
      <c r="A188" s="16">
        <v>187</v>
      </c>
      <c r="B188" s="16">
        <v>21</v>
      </c>
      <c r="C188" s="16" t="s">
        <v>53</v>
      </c>
      <c r="D188" s="16" t="s">
        <v>57</v>
      </c>
      <c r="E188" s="16">
        <v>2</v>
      </c>
      <c r="F188" s="16">
        <v>4</v>
      </c>
      <c r="G188" s="16" t="s">
        <v>52</v>
      </c>
      <c r="H188" s="16">
        <v>1950</v>
      </c>
      <c r="I188" s="16">
        <v>0</v>
      </c>
      <c r="J188" s="16">
        <v>704</v>
      </c>
      <c r="K188" s="16">
        <v>357</v>
      </c>
      <c r="L188" s="16">
        <v>366</v>
      </c>
      <c r="M188" s="16">
        <v>294</v>
      </c>
      <c r="N188" s="16">
        <v>3671</v>
      </c>
      <c r="O188" s="16">
        <v>90</v>
      </c>
      <c r="P188" s="12" t="str">
        <f t="shared" si="6"/>
        <v>Young</v>
      </c>
      <c r="Q188" s="12" t="str">
        <f t="shared" si="7"/>
        <v>Delighted</v>
      </c>
      <c r="R188" s="12" t="str">
        <f t="shared" si="8"/>
        <v>High</v>
      </c>
    </row>
    <row r="189" spans="1:18" ht="19.899999999999999" customHeight="1">
      <c r="A189" s="16">
        <v>188</v>
      </c>
      <c r="B189" s="16">
        <v>53</v>
      </c>
      <c r="C189" s="16" t="s">
        <v>50</v>
      </c>
      <c r="D189" s="16" t="s">
        <v>57</v>
      </c>
      <c r="E189" s="16">
        <v>1</v>
      </c>
      <c r="F189" s="16">
        <v>3</v>
      </c>
      <c r="G189" s="16" t="s">
        <v>60</v>
      </c>
      <c r="H189" s="16">
        <v>500</v>
      </c>
      <c r="I189" s="16">
        <v>444</v>
      </c>
      <c r="J189" s="16">
        <v>252</v>
      </c>
      <c r="K189" s="16">
        <v>755</v>
      </c>
      <c r="L189" s="16">
        <v>238</v>
      </c>
      <c r="M189" s="16">
        <v>0</v>
      </c>
      <c r="N189" s="16">
        <v>2189</v>
      </c>
      <c r="O189" s="16">
        <v>53</v>
      </c>
      <c r="P189" s="12" t="str">
        <f t="shared" si="6"/>
        <v>Prime</v>
      </c>
      <c r="Q189" s="12" t="str">
        <f t="shared" si="7"/>
        <v>Unimpressed</v>
      </c>
      <c r="R189" s="12" t="str">
        <f t="shared" si="8"/>
        <v>Budget</v>
      </c>
    </row>
    <row r="190" spans="1:18" ht="19.899999999999999" customHeight="1">
      <c r="A190" s="16">
        <v>189</v>
      </c>
      <c r="B190" s="16">
        <v>52</v>
      </c>
      <c r="C190" s="16" t="s">
        <v>53</v>
      </c>
      <c r="D190" s="16" t="s">
        <v>57</v>
      </c>
      <c r="E190" s="16">
        <v>4</v>
      </c>
      <c r="F190" s="16">
        <v>6</v>
      </c>
      <c r="G190" s="16" t="s">
        <v>58</v>
      </c>
      <c r="H190" s="16">
        <v>1150</v>
      </c>
      <c r="I190" s="16">
        <v>0</v>
      </c>
      <c r="J190" s="16">
        <v>756</v>
      </c>
      <c r="K190" s="16">
        <v>357</v>
      </c>
      <c r="L190" s="16">
        <v>549</v>
      </c>
      <c r="M190" s="16">
        <v>149</v>
      </c>
      <c r="N190" s="16">
        <v>2961</v>
      </c>
      <c r="O190" s="16">
        <v>58</v>
      </c>
      <c r="P190" s="12" t="str">
        <f t="shared" si="6"/>
        <v>Prime</v>
      </c>
      <c r="Q190" s="12" t="str">
        <f t="shared" si="7"/>
        <v>Unimpressed</v>
      </c>
      <c r="R190" s="12" t="str">
        <f t="shared" si="8"/>
        <v>Medium</v>
      </c>
    </row>
    <row r="191" spans="1:18" ht="19.899999999999999" customHeight="1">
      <c r="A191" s="16">
        <v>190</v>
      </c>
      <c r="B191" s="16">
        <v>78</v>
      </c>
      <c r="C191" s="16" t="s">
        <v>53</v>
      </c>
      <c r="D191" s="16" t="s">
        <v>54</v>
      </c>
      <c r="E191" s="16">
        <v>0</v>
      </c>
      <c r="F191" s="16">
        <v>1</v>
      </c>
      <c r="G191" s="16" t="s">
        <v>55</v>
      </c>
      <c r="H191" s="16">
        <v>2950</v>
      </c>
      <c r="I191" s="16">
        <v>0</v>
      </c>
      <c r="J191" s="16">
        <v>251</v>
      </c>
      <c r="K191" s="16">
        <v>119</v>
      </c>
      <c r="L191" s="16">
        <v>549</v>
      </c>
      <c r="M191" s="16">
        <v>447</v>
      </c>
      <c r="N191" s="16">
        <v>4316</v>
      </c>
      <c r="O191" s="16">
        <v>58</v>
      </c>
      <c r="P191" s="12" t="str">
        <f t="shared" si="6"/>
        <v>Senior</v>
      </c>
      <c r="Q191" s="12" t="str">
        <f t="shared" si="7"/>
        <v>Unimpressed</v>
      </c>
      <c r="R191" s="12" t="str">
        <f t="shared" si="8"/>
        <v>High</v>
      </c>
    </row>
    <row r="192" spans="1:18" ht="19.899999999999999" customHeight="1">
      <c r="A192" s="16">
        <v>191</v>
      </c>
      <c r="B192" s="16">
        <v>51</v>
      </c>
      <c r="C192" s="16" t="s">
        <v>53</v>
      </c>
      <c r="D192" s="16" t="s">
        <v>54</v>
      </c>
      <c r="E192" s="16">
        <v>0</v>
      </c>
      <c r="F192" s="16">
        <v>1</v>
      </c>
      <c r="G192" s="16" t="s">
        <v>58</v>
      </c>
      <c r="H192" s="16">
        <v>1150</v>
      </c>
      <c r="I192" s="16">
        <v>226</v>
      </c>
      <c r="J192" s="16">
        <v>126</v>
      </c>
      <c r="K192" s="16">
        <v>357</v>
      </c>
      <c r="L192" s="16">
        <v>549</v>
      </c>
      <c r="M192" s="16">
        <v>149</v>
      </c>
      <c r="N192" s="16">
        <v>2557</v>
      </c>
      <c r="O192" s="16">
        <v>61</v>
      </c>
      <c r="P192" s="12" t="str">
        <f t="shared" si="6"/>
        <v>Prime</v>
      </c>
      <c r="Q192" s="12" t="str">
        <f t="shared" si="7"/>
        <v>Acceptable</v>
      </c>
      <c r="R192" s="12" t="str">
        <f t="shared" si="8"/>
        <v>Medium</v>
      </c>
    </row>
    <row r="193" spans="1:18" ht="19.899999999999999" customHeight="1">
      <c r="A193" s="16">
        <v>192</v>
      </c>
      <c r="B193" s="16">
        <v>37</v>
      </c>
      <c r="C193" s="16" t="s">
        <v>53</v>
      </c>
      <c r="D193" s="16" t="s">
        <v>57</v>
      </c>
      <c r="E193" s="16">
        <v>1</v>
      </c>
      <c r="F193" s="16">
        <v>3</v>
      </c>
      <c r="G193" s="16" t="s">
        <v>55</v>
      </c>
      <c r="H193" s="16">
        <v>2950</v>
      </c>
      <c r="I193" s="16">
        <v>148</v>
      </c>
      <c r="J193" s="16">
        <v>753</v>
      </c>
      <c r="K193" s="16">
        <v>357</v>
      </c>
      <c r="L193" s="16">
        <v>915</v>
      </c>
      <c r="M193" s="16">
        <v>196</v>
      </c>
      <c r="N193" s="16">
        <v>5319</v>
      </c>
      <c r="O193" s="16">
        <v>83</v>
      </c>
      <c r="P193" s="12" t="str">
        <f t="shared" si="6"/>
        <v>Core</v>
      </c>
      <c r="Q193" s="12" t="str">
        <f t="shared" si="7"/>
        <v>Delighted</v>
      </c>
      <c r="R193" s="12" t="str">
        <f t="shared" si="8"/>
        <v>Premium</v>
      </c>
    </row>
    <row r="194" spans="1:18" ht="19.899999999999999" customHeight="1">
      <c r="A194" s="16">
        <v>193</v>
      </c>
      <c r="B194" s="16">
        <v>44</v>
      </c>
      <c r="C194" s="16" t="s">
        <v>50</v>
      </c>
      <c r="D194" s="16" t="s">
        <v>54</v>
      </c>
      <c r="E194" s="16">
        <v>0</v>
      </c>
      <c r="F194" s="16">
        <v>1</v>
      </c>
      <c r="G194" s="16" t="s">
        <v>60</v>
      </c>
      <c r="H194" s="16">
        <v>500</v>
      </c>
      <c r="I194" s="16">
        <v>904</v>
      </c>
      <c r="J194" s="16">
        <v>84</v>
      </c>
      <c r="K194" s="16">
        <v>604</v>
      </c>
      <c r="L194" s="16">
        <v>238</v>
      </c>
      <c r="M194" s="16">
        <v>0</v>
      </c>
      <c r="N194" s="16">
        <v>2330</v>
      </c>
      <c r="O194" s="16">
        <v>71</v>
      </c>
      <c r="P194" s="12" t="str">
        <f t="shared" si="6"/>
        <v>Core</v>
      </c>
      <c r="Q194" s="12" t="str">
        <f t="shared" si="7"/>
        <v>Happy</v>
      </c>
      <c r="R194" s="12" t="str">
        <f t="shared" si="8"/>
        <v>Budget</v>
      </c>
    </row>
    <row r="195" spans="1:18" ht="19.899999999999999" customHeight="1">
      <c r="A195" s="16">
        <v>194</v>
      </c>
      <c r="B195" s="16">
        <v>51</v>
      </c>
      <c r="C195" s="16" t="s">
        <v>53</v>
      </c>
      <c r="D195" s="16" t="s">
        <v>59</v>
      </c>
      <c r="E195" s="16">
        <v>0</v>
      </c>
      <c r="F195" s="16">
        <v>6</v>
      </c>
      <c r="G195" s="16" t="s">
        <v>58</v>
      </c>
      <c r="H195" s="16">
        <v>1150</v>
      </c>
      <c r="I195" s="16">
        <v>186</v>
      </c>
      <c r="J195" s="16">
        <v>756</v>
      </c>
      <c r="K195" s="16">
        <v>119</v>
      </c>
      <c r="L195" s="16">
        <v>732</v>
      </c>
      <c r="M195" s="16">
        <v>0</v>
      </c>
      <c r="N195" s="16">
        <v>2943</v>
      </c>
      <c r="O195" s="16">
        <v>59</v>
      </c>
      <c r="P195" s="12" t="str">
        <f t="shared" ref="P195:P201" si="9">IF(B195&gt;=70,"Senior",IF(B195&gt;=60,"Mature",IF(B195&gt;=46,"Prime",IF(B195&gt;=30,"Core","Young"))))</f>
        <v>Prime</v>
      </c>
      <c r="Q195" s="12" t="str">
        <f t="shared" ref="Q195:Q201" si="10">IF(O195&gt;=80,"Delighted",IF(O195&gt;=70,"Happy",IF(O195&gt;=60,"Acceptable",IF(O195&gt;=50,"Unimpressed",IF(O195&lt;50,"Unhappy")))))</f>
        <v>Unimpressed</v>
      </c>
      <c r="R195" s="12" t="str">
        <f t="shared" ref="R195:R201" si="11">IF(N195&lt;2500,"Budget", IF(N195&lt;3499,"Medium",IF(N195&lt;4499,"High","Premium")))</f>
        <v>Medium</v>
      </c>
    </row>
    <row r="196" spans="1:18" ht="19.899999999999999" customHeight="1">
      <c r="A196" s="16">
        <v>195</v>
      </c>
      <c r="B196" s="16">
        <v>35</v>
      </c>
      <c r="C196" s="16" t="s">
        <v>53</v>
      </c>
      <c r="D196" s="16" t="s">
        <v>51</v>
      </c>
      <c r="E196" s="16">
        <v>0</v>
      </c>
      <c r="F196" s="16">
        <v>2</v>
      </c>
      <c r="G196" s="16" t="s">
        <v>58</v>
      </c>
      <c r="H196" s="16">
        <v>1150</v>
      </c>
      <c r="I196" s="16">
        <v>174</v>
      </c>
      <c r="J196" s="16">
        <v>252</v>
      </c>
      <c r="K196" s="16">
        <v>357</v>
      </c>
      <c r="L196" s="16">
        <v>549</v>
      </c>
      <c r="M196" s="16">
        <v>196</v>
      </c>
      <c r="N196" s="16">
        <v>2678</v>
      </c>
      <c r="O196" s="16">
        <v>86</v>
      </c>
      <c r="P196" s="12" t="str">
        <f t="shared" si="9"/>
        <v>Core</v>
      </c>
      <c r="Q196" s="12" t="str">
        <f t="shared" si="10"/>
        <v>Delighted</v>
      </c>
      <c r="R196" s="12" t="str">
        <f t="shared" si="11"/>
        <v>Medium</v>
      </c>
    </row>
    <row r="197" spans="1:18" ht="19.899999999999999" customHeight="1">
      <c r="A197" s="16">
        <v>196</v>
      </c>
      <c r="B197" s="16">
        <v>48</v>
      </c>
      <c r="C197" s="16" t="s">
        <v>53</v>
      </c>
      <c r="D197" s="16" t="s">
        <v>57</v>
      </c>
      <c r="E197" s="16">
        <v>3</v>
      </c>
      <c r="F197" s="16">
        <v>5</v>
      </c>
      <c r="G197" s="16" t="s">
        <v>58</v>
      </c>
      <c r="H197" s="16">
        <v>1150</v>
      </c>
      <c r="I197" s="16">
        <v>148</v>
      </c>
      <c r="J197" s="16">
        <v>630</v>
      </c>
      <c r="K197" s="16">
        <v>119</v>
      </c>
      <c r="L197" s="16">
        <v>183</v>
      </c>
      <c r="M197" s="16">
        <v>298</v>
      </c>
      <c r="N197" s="16">
        <v>2528</v>
      </c>
      <c r="O197" s="16">
        <v>64</v>
      </c>
      <c r="P197" s="12" t="str">
        <f t="shared" si="9"/>
        <v>Prime</v>
      </c>
      <c r="Q197" s="12" t="str">
        <f t="shared" si="10"/>
        <v>Acceptable</v>
      </c>
      <c r="R197" s="12" t="str">
        <f t="shared" si="11"/>
        <v>Medium</v>
      </c>
    </row>
    <row r="198" spans="1:18" ht="19.899999999999999" customHeight="1">
      <c r="A198" s="16">
        <v>197</v>
      </c>
      <c r="B198" s="16">
        <v>32</v>
      </c>
      <c r="C198" s="16" t="s">
        <v>53</v>
      </c>
      <c r="D198" s="16" t="s">
        <v>59</v>
      </c>
      <c r="E198" s="16">
        <v>0</v>
      </c>
      <c r="F198" s="16">
        <v>3</v>
      </c>
      <c r="G198" s="16" t="s">
        <v>58</v>
      </c>
      <c r="H198" s="16">
        <v>1150</v>
      </c>
      <c r="I198" s="16">
        <v>186</v>
      </c>
      <c r="J198" s="16">
        <v>378</v>
      </c>
      <c r="K198" s="16">
        <v>119</v>
      </c>
      <c r="L198" s="16">
        <v>366</v>
      </c>
      <c r="M198" s="16">
        <v>392</v>
      </c>
      <c r="N198" s="16">
        <v>2591</v>
      </c>
      <c r="O198" s="16">
        <v>75</v>
      </c>
      <c r="P198" s="12" t="str">
        <f t="shared" si="9"/>
        <v>Core</v>
      </c>
      <c r="Q198" s="12" t="str">
        <f t="shared" si="10"/>
        <v>Happy</v>
      </c>
      <c r="R198" s="12" t="str">
        <f t="shared" si="11"/>
        <v>Medium</v>
      </c>
    </row>
    <row r="199" spans="1:18" ht="19.899999999999999" customHeight="1">
      <c r="A199" s="16">
        <v>198</v>
      </c>
      <c r="B199" s="16">
        <v>47</v>
      </c>
      <c r="C199" s="16" t="s">
        <v>50</v>
      </c>
      <c r="D199" s="16" t="s">
        <v>57</v>
      </c>
      <c r="E199" s="16">
        <v>3</v>
      </c>
      <c r="F199" s="16">
        <v>5</v>
      </c>
      <c r="G199" s="16" t="s">
        <v>52</v>
      </c>
      <c r="H199" s="16">
        <v>1950</v>
      </c>
      <c r="I199" s="16">
        <v>592</v>
      </c>
      <c r="J199" s="16">
        <v>880</v>
      </c>
      <c r="K199" s="16">
        <v>604</v>
      </c>
      <c r="L199" s="16">
        <v>357</v>
      </c>
      <c r="M199" s="16">
        <v>0</v>
      </c>
      <c r="N199" s="16">
        <v>4383</v>
      </c>
      <c r="O199" s="16">
        <v>66</v>
      </c>
      <c r="P199" s="12" t="str">
        <f t="shared" si="9"/>
        <v>Prime</v>
      </c>
      <c r="Q199" s="12" t="str">
        <f t="shared" si="10"/>
        <v>Acceptable</v>
      </c>
      <c r="R199" s="12" t="str">
        <f t="shared" si="11"/>
        <v>High</v>
      </c>
    </row>
    <row r="200" spans="1:18" ht="19.899999999999999" customHeight="1">
      <c r="A200" s="16">
        <v>199</v>
      </c>
      <c r="B200" s="16">
        <v>59</v>
      </c>
      <c r="C200" s="16" t="s">
        <v>50</v>
      </c>
      <c r="D200" s="16" t="s">
        <v>57</v>
      </c>
      <c r="E200" s="16">
        <v>3</v>
      </c>
      <c r="F200" s="16">
        <v>5</v>
      </c>
      <c r="G200" s="16" t="s">
        <v>52</v>
      </c>
      <c r="H200" s="16">
        <v>1950</v>
      </c>
      <c r="I200" s="16">
        <v>444</v>
      </c>
      <c r="J200" s="16">
        <v>880</v>
      </c>
      <c r="K200" s="16">
        <v>755</v>
      </c>
      <c r="L200" s="16">
        <v>238</v>
      </c>
      <c r="M200" s="16">
        <v>0</v>
      </c>
      <c r="N200" s="16">
        <v>4267</v>
      </c>
      <c r="O200" s="16">
        <v>43</v>
      </c>
      <c r="P200" s="12" t="str">
        <f t="shared" si="9"/>
        <v>Prime</v>
      </c>
      <c r="Q200" s="12" t="str">
        <f t="shared" si="10"/>
        <v>Unhappy</v>
      </c>
      <c r="R200" s="12" t="str">
        <f t="shared" si="11"/>
        <v>High</v>
      </c>
    </row>
    <row r="201" spans="1:18" ht="19.899999999999999" customHeight="1">
      <c r="A201" s="16">
        <v>200</v>
      </c>
      <c r="B201" s="16">
        <v>64</v>
      </c>
      <c r="C201" s="16" t="s">
        <v>56</v>
      </c>
      <c r="D201" s="16" t="s">
        <v>59</v>
      </c>
      <c r="E201" s="16">
        <v>0</v>
      </c>
      <c r="F201" s="16">
        <v>3</v>
      </c>
      <c r="G201" s="16" t="s">
        <v>60</v>
      </c>
      <c r="H201" s="16">
        <v>500</v>
      </c>
      <c r="I201" s="16">
        <v>186</v>
      </c>
      <c r="J201" s="16">
        <v>252</v>
      </c>
      <c r="K201" s="16">
        <v>0</v>
      </c>
      <c r="L201" s="16">
        <v>167</v>
      </c>
      <c r="M201" s="16">
        <v>302</v>
      </c>
      <c r="N201" s="16">
        <v>1407</v>
      </c>
      <c r="O201" s="16">
        <v>68</v>
      </c>
      <c r="P201" s="12" t="str">
        <f t="shared" si="9"/>
        <v>Mature</v>
      </c>
      <c r="Q201" s="12" t="str">
        <f t="shared" si="10"/>
        <v>Acceptable</v>
      </c>
      <c r="R201" s="12" t="str">
        <f t="shared" si="11"/>
        <v>Budget</v>
      </c>
    </row>
    <row r="202" spans="1:18" ht="19.899999999999999" customHeight="1">
      <c r="O202" s="26"/>
    </row>
    <row r="203" spans="1:18" s="10" customFormat="1" ht="19.899999999999999" customHeight="1">
      <c r="A203" s="17" t="s">
        <v>61</v>
      </c>
      <c r="B203" s="10">
        <f>AVERAGE(B$2:B$201)</f>
        <v>51.09</v>
      </c>
      <c r="C203" s="17"/>
      <c r="D203" s="17"/>
      <c r="E203" s="10">
        <f t="shared" ref="E203:O203" si="12">AVERAGE(E$2:E$201)</f>
        <v>1.03</v>
      </c>
      <c r="F203" s="10">
        <f t="shared" si="12"/>
        <v>3.4950000000000001</v>
      </c>
      <c r="G203" s="17"/>
      <c r="H203" s="10">
        <f t="shared" si="12"/>
        <v>1411.5</v>
      </c>
      <c r="I203" s="10">
        <f t="shared" si="12"/>
        <v>289.625</v>
      </c>
      <c r="J203" s="10">
        <f t="shared" si="12"/>
        <v>496.51499999999999</v>
      </c>
      <c r="K203" s="10">
        <f t="shared" si="12"/>
        <v>275.77</v>
      </c>
      <c r="L203" s="10">
        <f t="shared" si="12"/>
        <v>337.51499999999999</v>
      </c>
      <c r="M203" s="10">
        <f t="shared" si="12"/>
        <v>230.715</v>
      </c>
      <c r="N203" s="118">
        <f>AVERAGE(N$2:N$201)</f>
        <v>3041.64</v>
      </c>
      <c r="O203" s="10">
        <f t="shared" si="12"/>
        <v>69.435000000000002</v>
      </c>
    </row>
    <row r="204" spans="1:18" s="11" customFormat="1" ht="19.899999999999999" customHeight="1">
      <c r="A204" s="11" t="s">
        <v>62</v>
      </c>
      <c r="B204" s="10">
        <f>_xlfn.STDEV.S(B$2:B$201)</f>
        <v>16.182747187442043</v>
      </c>
      <c r="E204" s="10">
        <f t="shared" ref="E204:O204" si="13">_xlfn.STDEV.S(E$2:E$201)</f>
        <v>1.4628051801162294</v>
      </c>
      <c r="F204" s="10">
        <f t="shared" si="13"/>
        <v>1.9413446616913201</v>
      </c>
      <c r="H204" s="10">
        <f t="shared" si="13"/>
        <v>758.6968131416902</v>
      </c>
      <c r="I204" s="10">
        <f t="shared" si="13"/>
        <v>274.29004634257706</v>
      </c>
      <c r="J204" s="10">
        <f t="shared" si="13"/>
        <v>315.84531194938131</v>
      </c>
      <c r="K204" s="10">
        <f t="shared" si="13"/>
        <v>230.86487400696379</v>
      </c>
      <c r="L204" s="10">
        <f t="shared" si="13"/>
        <v>282.6764220320901</v>
      </c>
      <c r="M204" s="10">
        <f t="shared" si="13"/>
        <v>182.11668294264024</v>
      </c>
      <c r="N204" s="118">
        <f>_xlfn.STDEV.S(N$2:N$201)</f>
        <v>1110.9310145076402</v>
      </c>
      <c r="O204" s="10">
        <f t="shared" si="13"/>
        <v>14.8856875376093</v>
      </c>
    </row>
    <row r="205" spans="1:18" s="11" customFormat="1" ht="19.899999999999999" customHeight="1">
      <c r="A205" s="11" t="s">
        <v>63</v>
      </c>
      <c r="B205" s="10">
        <f>B204/B203</f>
        <v>0.31674979814918852</v>
      </c>
      <c r="E205" s="10">
        <f t="shared" ref="E205:O205" si="14">E204/E203</f>
        <v>1.4201992039963391</v>
      </c>
      <c r="F205" s="10">
        <f t="shared" si="14"/>
        <v>0.55546342251539915</v>
      </c>
      <c r="H205" s="10">
        <f t="shared" si="14"/>
        <v>0.53751102595939793</v>
      </c>
      <c r="I205" s="10">
        <f t="shared" si="14"/>
        <v>0.94705238271066738</v>
      </c>
      <c r="J205" s="10">
        <f t="shared" si="14"/>
        <v>0.63612441104373751</v>
      </c>
      <c r="K205" s="10">
        <f t="shared" si="14"/>
        <v>0.83716457195113247</v>
      </c>
      <c r="L205" s="10">
        <f t="shared" si="14"/>
        <v>0.83752254575971474</v>
      </c>
      <c r="M205" s="10">
        <f t="shared" si="14"/>
        <v>0.78935779183252164</v>
      </c>
      <c r="N205" s="118">
        <f>N204/N203</f>
        <v>0.36524079592181857</v>
      </c>
      <c r="O205" s="10">
        <f t="shared" si="14"/>
        <v>0.21438305663727658</v>
      </c>
    </row>
    <row r="206" spans="1:18" s="11" customFormat="1" ht="19.899999999999999" customHeight="1">
      <c r="A206" s="11" t="s">
        <v>64</v>
      </c>
      <c r="B206" s="12">
        <f>MODE(B$2:B$201)</f>
        <v>39</v>
      </c>
      <c r="C206" s="12"/>
      <c r="D206" s="12"/>
      <c r="E206" s="12">
        <f t="shared" ref="E206:O206" si="15">MODE(E$2:E$201)</f>
        <v>0</v>
      </c>
      <c r="F206" s="12">
        <f t="shared" si="15"/>
        <v>2</v>
      </c>
      <c r="G206" s="12"/>
      <c r="H206" s="12">
        <f t="shared" si="15"/>
        <v>1150</v>
      </c>
      <c r="I206" s="12">
        <f t="shared" si="15"/>
        <v>0</v>
      </c>
      <c r="J206" s="12">
        <f t="shared" si="15"/>
        <v>252</v>
      </c>
      <c r="K206" s="12">
        <f t="shared" si="15"/>
        <v>0</v>
      </c>
      <c r="L206" s="12">
        <f t="shared" si="15"/>
        <v>0</v>
      </c>
      <c r="M206" s="12">
        <f t="shared" si="15"/>
        <v>0</v>
      </c>
      <c r="N206" s="116">
        <f>MODE(N$2:N$201)</f>
        <v>2230</v>
      </c>
      <c r="O206" s="12">
        <f t="shared" si="15"/>
        <v>68</v>
      </c>
    </row>
    <row r="207" spans="1:18" s="11" customFormat="1" ht="19.899999999999999" customHeight="1"/>
    <row r="208" spans="1:18" s="11" customFormat="1" ht="19.899999999999999" customHeight="1">
      <c r="A208" s="11" t="s">
        <v>65</v>
      </c>
      <c r="B208" s="18">
        <f>MIN(B$2:B$201)</f>
        <v>21</v>
      </c>
      <c r="C208" s="19"/>
      <c r="D208" s="18"/>
      <c r="E208" s="18">
        <f t="shared" ref="E208:O208" si="16">MIN(E$2:E$201)</f>
        <v>0</v>
      </c>
      <c r="F208" s="18">
        <f t="shared" si="16"/>
        <v>1</v>
      </c>
      <c r="G208" s="18"/>
      <c r="H208" s="18">
        <f t="shared" si="16"/>
        <v>500</v>
      </c>
      <c r="I208" s="18">
        <f t="shared" si="16"/>
        <v>0</v>
      </c>
      <c r="J208" s="18">
        <f t="shared" si="16"/>
        <v>84</v>
      </c>
      <c r="K208" s="18">
        <f t="shared" si="16"/>
        <v>0</v>
      </c>
      <c r="L208" s="18">
        <f t="shared" si="16"/>
        <v>0</v>
      </c>
      <c r="M208" s="18">
        <f t="shared" si="16"/>
        <v>0</v>
      </c>
      <c r="N208" s="119">
        <f>MIN(N$2:N$201)</f>
        <v>903</v>
      </c>
      <c r="O208" s="18">
        <f t="shared" si="16"/>
        <v>39</v>
      </c>
    </row>
    <row r="209" spans="1:15" s="11" customFormat="1" ht="19.899999999999999" customHeight="1">
      <c r="A209" s="11" t="s">
        <v>66</v>
      </c>
      <c r="B209" s="18">
        <f>QUARTILE(B$2:B$201,1)</f>
        <v>39</v>
      </c>
      <c r="C209" s="18"/>
      <c r="D209" s="18"/>
      <c r="E209" s="18">
        <f t="shared" ref="E209:O209" si="17">QUARTILE(E$2:E$201,1)</f>
        <v>0</v>
      </c>
      <c r="F209" s="18">
        <f t="shared" si="17"/>
        <v>2</v>
      </c>
      <c r="G209" s="18"/>
      <c r="H209" s="18">
        <f t="shared" si="17"/>
        <v>1150</v>
      </c>
      <c r="I209" s="18">
        <f t="shared" si="17"/>
        <v>0</v>
      </c>
      <c r="J209" s="18">
        <f t="shared" si="17"/>
        <v>252</v>
      </c>
      <c r="K209" s="18">
        <f t="shared" si="17"/>
        <v>119</v>
      </c>
      <c r="L209" s="18">
        <f t="shared" si="17"/>
        <v>119</v>
      </c>
      <c r="M209" s="18">
        <f t="shared" si="17"/>
        <v>0</v>
      </c>
      <c r="N209" s="119">
        <f>QUARTILE(N$2:N$201,1)</f>
        <v>2270.25</v>
      </c>
      <c r="O209" s="18">
        <f t="shared" si="17"/>
        <v>58</v>
      </c>
    </row>
    <row r="210" spans="1:15" s="11" customFormat="1" ht="19.899999999999999" customHeight="1">
      <c r="A210" s="11" t="s">
        <v>67</v>
      </c>
      <c r="B210" s="18">
        <f>QUARTILE(B$2:B$201,2)</f>
        <v>51.5</v>
      </c>
      <c r="C210" s="18"/>
      <c r="D210" s="18"/>
      <c r="E210" s="18">
        <f t="shared" ref="E210:O210" si="18">QUARTILE(E$2:E$201,2)</f>
        <v>0</v>
      </c>
      <c r="F210" s="18">
        <f t="shared" si="18"/>
        <v>3</v>
      </c>
      <c r="G210" s="18"/>
      <c r="H210" s="18">
        <f t="shared" si="18"/>
        <v>1150</v>
      </c>
      <c r="I210" s="18">
        <f t="shared" si="18"/>
        <v>186</v>
      </c>
      <c r="J210" s="18">
        <f t="shared" si="18"/>
        <v>399</v>
      </c>
      <c r="K210" s="18">
        <f t="shared" si="18"/>
        <v>238</v>
      </c>
      <c r="L210" s="18">
        <f t="shared" si="18"/>
        <v>345.5</v>
      </c>
      <c r="M210" s="18">
        <f t="shared" si="18"/>
        <v>196</v>
      </c>
      <c r="N210" s="119">
        <f>QUARTILE(N$2:N$201,2)</f>
        <v>2726.5</v>
      </c>
      <c r="O210" s="18">
        <f t="shared" si="18"/>
        <v>68.5</v>
      </c>
    </row>
    <row r="211" spans="1:15" s="11" customFormat="1" ht="19.899999999999999" customHeight="1">
      <c r="A211" s="11" t="s">
        <v>68</v>
      </c>
      <c r="B211" s="18">
        <f>QUARTILE(B$2:B$201,3)</f>
        <v>63</v>
      </c>
      <c r="C211" s="18"/>
      <c r="D211" s="18"/>
      <c r="E211" s="18">
        <f t="shared" ref="E211:O211" si="19">QUARTILE(E$2:E$201,3)</f>
        <v>2</v>
      </c>
      <c r="F211" s="18">
        <f t="shared" si="19"/>
        <v>5</v>
      </c>
      <c r="G211" s="18"/>
      <c r="H211" s="18">
        <f t="shared" si="19"/>
        <v>1950</v>
      </c>
      <c r="I211" s="18">
        <f t="shared" si="19"/>
        <v>469.5</v>
      </c>
      <c r="J211" s="18">
        <f t="shared" si="19"/>
        <v>704</v>
      </c>
      <c r="K211" s="18">
        <f t="shared" si="19"/>
        <v>357</v>
      </c>
      <c r="L211" s="18">
        <f t="shared" si="19"/>
        <v>501</v>
      </c>
      <c r="M211" s="18">
        <f t="shared" si="19"/>
        <v>392</v>
      </c>
      <c r="N211" s="119">
        <f>QUARTILE(N$2:N$201,3)</f>
        <v>3817.25</v>
      </c>
      <c r="O211" s="18">
        <f t="shared" si="19"/>
        <v>81</v>
      </c>
    </row>
    <row r="212" spans="1:15" s="11" customFormat="1" ht="19.899999999999999" customHeight="1">
      <c r="A212" s="11" t="s">
        <v>69</v>
      </c>
      <c r="B212" s="18">
        <f>QUARTILE(B$2:B$201,4)</f>
        <v>94</v>
      </c>
      <c r="C212" s="18"/>
      <c r="D212" s="18"/>
      <c r="E212" s="18">
        <f t="shared" ref="E212:O212" si="20">QUARTILE(E$2:E$201,4)</f>
        <v>6</v>
      </c>
      <c r="F212" s="18">
        <f t="shared" si="20"/>
        <v>8</v>
      </c>
      <c r="G212" s="18"/>
      <c r="H212" s="18">
        <f t="shared" si="20"/>
        <v>2950</v>
      </c>
      <c r="I212" s="18">
        <f t="shared" si="20"/>
        <v>1130</v>
      </c>
      <c r="J212" s="18">
        <f t="shared" si="20"/>
        <v>1506</v>
      </c>
      <c r="K212" s="18">
        <f t="shared" si="20"/>
        <v>755</v>
      </c>
      <c r="L212" s="18">
        <f t="shared" si="20"/>
        <v>915</v>
      </c>
      <c r="M212" s="18">
        <f t="shared" si="20"/>
        <v>604</v>
      </c>
      <c r="N212" s="18">
        <f>QUARTILE(N$2:N$201,4)</f>
        <v>6105</v>
      </c>
      <c r="O212" s="18">
        <f t="shared" si="20"/>
        <v>97</v>
      </c>
    </row>
    <row r="213" spans="1:15" s="11" customFormat="1" ht="19.899999999999999" customHeight="1">
      <c r="B213" s="18"/>
      <c r="C213" s="18"/>
      <c r="D213" s="18"/>
      <c r="E213" s="18"/>
      <c r="F213" s="18"/>
      <c r="G213" s="18"/>
      <c r="H213" s="18"/>
      <c r="I213" s="18"/>
      <c r="J213" s="18"/>
      <c r="K213" s="18"/>
      <c r="L213" s="18"/>
      <c r="M213" s="18"/>
      <c r="N213" s="18"/>
      <c r="O213" s="18"/>
    </row>
    <row r="214" spans="1:15" s="11" customFormat="1" ht="19.899999999999999" customHeight="1">
      <c r="A214" s="11" t="s">
        <v>70</v>
      </c>
      <c r="B214" s="18">
        <f>B212-B208</f>
        <v>73</v>
      </c>
      <c r="C214" s="18"/>
      <c r="D214" s="18"/>
      <c r="E214" s="18">
        <f t="shared" ref="E214:O214" si="21">E212-E208</f>
        <v>6</v>
      </c>
      <c r="F214" s="18">
        <f t="shared" si="21"/>
        <v>7</v>
      </c>
      <c r="G214" s="18"/>
      <c r="H214" s="18">
        <f t="shared" si="21"/>
        <v>2450</v>
      </c>
      <c r="I214" s="18">
        <f t="shared" si="21"/>
        <v>1130</v>
      </c>
      <c r="J214" s="18">
        <f t="shared" si="21"/>
        <v>1422</v>
      </c>
      <c r="K214" s="18">
        <f t="shared" si="21"/>
        <v>755</v>
      </c>
      <c r="L214" s="18">
        <f t="shared" si="21"/>
        <v>915</v>
      </c>
      <c r="M214" s="18">
        <f t="shared" si="21"/>
        <v>604</v>
      </c>
      <c r="N214" s="18">
        <f>N212-N208</f>
        <v>5202</v>
      </c>
      <c r="O214" s="18">
        <f t="shared" si="21"/>
        <v>58</v>
      </c>
    </row>
    <row r="215" spans="1:15" s="11" customFormat="1" ht="19.899999999999999" customHeight="1">
      <c r="A215" s="11" t="s">
        <v>71</v>
      </c>
      <c r="B215" s="18">
        <f>B211-B209</f>
        <v>24</v>
      </c>
      <c r="C215" s="18"/>
      <c r="D215" s="18"/>
      <c r="E215" s="18">
        <f t="shared" ref="E215:O215" si="22">E211-E209</f>
        <v>2</v>
      </c>
      <c r="F215" s="18">
        <f t="shared" si="22"/>
        <v>3</v>
      </c>
      <c r="G215" s="18"/>
      <c r="H215" s="18">
        <f t="shared" si="22"/>
        <v>800</v>
      </c>
      <c r="I215" s="18">
        <f t="shared" si="22"/>
        <v>469.5</v>
      </c>
      <c r="J215" s="18">
        <f t="shared" si="22"/>
        <v>452</v>
      </c>
      <c r="K215" s="18">
        <f t="shared" si="22"/>
        <v>238</v>
      </c>
      <c r="L215" s="18">
        <f t="shared" si="22"/>
        <v>382</v>
      </c>
      <c r="M215" s="18">
        <f t="shared" si="22"/>
        <v>392</v>
      </c>
      <c r="N215" s="119">
        <f>N211-N209</f>
        <v>1547</v>
      </c>
      <c r="O215" s="18">
        <f t="shared" si="22"/>
        <v>23</v>
      </c>
    </row>
    <row r="216" spans="1:15" s="11" customFormat="1" ht="19.899999999999999" customHeight="1"/>
    <row r="217" spans="1:15" s="11" customFormat="1" ht="19.899999999999999" customHeight="1">
      <c r="A217" s="20" t="s">
        <v>72</v>
      </c>
      <c r="B217" s="21">
        <f>SKEW(B$2:B$201)</f>
        <v>0.22334942873616592</v>
      </c>
      <c r="C217" s="22"/>
      <c r="D217" s="22"/>
      <c r="E217" s="23">
        <f t="shared" ref="E217:O217" si="23">SKEW(E$2:E$201)</f>
        <v>1.1929871854736676</v>
      </c>
      <c r="F217" s="21">
        <f t="shared" si="23"/>
        <v>0.58205728126630252</v>
      </c>
      <c r="G217" s="22"/>
      <c r="H217" s="21">
        <f t="shared" si="23"/>
        <v>0.7862757549185394</v>
      </c>
      <c r="I217" s="21">
        <f t="shared" si="23"/>
        <v>0.84572932856246552</v>
      </c>
      <c r="J217" s="21">
        <f t="shared" si="23"/>
        <v>0.98256005874775276</v>
      </c>
      <c r="K217" s="21">
        <f t="shared" si="23"/>
        <v>0.74252939573368681</v>
      </c>
      <c r="L217" s="21">
        <f t="shared" si="23"/>
        <v>0.69266714324679557</v>
      </c>
      <c r="M217" s="21">
        <f t="shared" si="23"/>
        <v>9.2232553978617765E-2</v>
      </c>
      <c r="N217" s="120">
        <f>SKEW(N$2:N$201)</f>
        <v>0.68151567553458248</v>
      </c>
      <c r="O217" s="21">
        <f t="shared" si="23"/>
        <v>7.8211473923199722E-3</v>
      </c>
    </row>
    <row r="218" spans="1:15" s="11" customFormat="1" ht="19.899999999999999" customHeight="1">
      <c r="A218" s="11" t="s">
        <v>73</v>
      </c>
      <c r="B218" s="20">
        <f>COUNTIF(B$2:B$201,"&lt;"&amp;B$219)</f>
        <v>0</v>
      </c>
      <c r="E218" s="24">
        <f t="shared" ref="E218:O218" si="24">COUNTIF(E$2:E$201,"&lt;"&amp;E$219)</f>
        <v>0</v>
      </c>
      <c r="F218" s="20">
        <f t="shared" si="24"/>
        <v>0</v>
      </c>
      <c r="H218" s="20">
        <f t="shared" si="24"/>
        <v>0</v>
      </c>
      <c r="I218" s="20">
        <f t="shared" si="24"/>
        <v>0</v>
      </c>
      <c r="J218" s="20">
        <f t="shared" si="24"/>
        <v>0</v>
      </c>
      <c r="K218" s="20">
        <f t="shared" si="24"/>
        <v>0</v>
      </c>
      <c r="L218" s="20">
        <f t="shared" si="24"/>
        <v>0</v>
      </c>
      <c r="M218" s="20">
        <f t="shared" si="24"/>
        <v>0</v>
      </c>
      <c r="N218" s="121">
        <f>COUNTIF(N$2:N$201,"&lt;"&amp;N$219)</f>
        <v>0</v>
      </c>
      <c r="O218" s="20">
        <f t="shared" si="24"/>
        <v>0</v>
      </c>
    </row>
    <row r="219" spans="1:15" s="11" customFormat="1" ht="19.899999999999999" customHeight="1">
      <c r="A219" s="11" t="s">
        <v>74</v>
      </c>
      <c r="B219" s="17">
        <f>B203-3*B204</f>
        <v>2.5417584376738773</v>
      </c>
      <c r="E219" s="25">
        <f t="shared" ref="E219:O219" si="25">E203-3*E204</f>
        <v>-3.3584155403486884</v>
      </c>
      <c r="F219" s="17">
        <f t="shared" si="25"/>
        <v>-2.3290339850739601</v>
      </c>
      <c r="H219" s="17">
        <f t="shared" si="25"/>
        <v>-864.5904394250706</v>
      </c>
      <c r="I219" s="17">
        <f t="shared" si="25"/>
        <v>-533.24513902773117</v>
      </c>
      <c r="J219" s="17">
        <f t="shared" si="25"/>
        <v>-451.02093584814395</v>
      </c>
      <c r="K219" s="17">
        <f t="shared" si="25"/>
        <v>-416.82462202089141</v>
      </c>
      <c r="L219" s="17">
        <f t="shared" si="25"/>
        <v>-510.51426609627026</v>
      </c>
      <c r="M219" s="17">
        <f t="shared" si="25"/>
        <v>-315.63504882792074</v>
      </c>
      <c r="N219" s="122">
        <f>N203-3*N204</f>
        <v>-291.1530435229206</v>
      </c>
      <c r="O219" s="17">
        <f t="shared" si="25"/>
        <v>24.777937387172102</v>
      </c>
    </row>
    <row r="220" spans="1:15" s="11" customFormat="1" ht="19.899999999999999" customHeight="1">
      <c r="A220" s="11" t="s">
        <v>75</v>
      </c>
      <c r="B220" s="17">
        <f>B203+3*B204</f>
        <v>99.638241562326129</v>
      </c>
      <c r="E220" s="25">
        <f t="shared" ref="E220:O220" si="26">E203+3*E204</f>
        <v>5.4184155403486889</v>
      </c>
      <c r="F220" s="17">
        <f t="shared" si="26"/>
        <v>9.3190339850739612</v>
      </c>
      <c r="H220" s="17">
        <f t="shared" si="26"/>
        <v>3687.5904394250706</v>
      </c>
      <c r="I220" s="17">
        <f t="shared" si="26"/>
        <v>1112.4951390277311</v>
      </c>
      <c r="J220" s="17">
        <f t="shared" si="26"/>
        <v>1444.050935848144</v>
      </c>
      <c r="K220" s="17">
        <f t="shared" si="26"/>
        <v>968.36462202089137</v>
      </c>
      <c r="L220" s="17">
        <f t="shared" si="26"/>
        <v>1185.5442660962703</v>
      </c>
      <c r="M220" s="17">
        <f t="shared" si="26"/>
        <v>777.0650488279208</v>
      </c>
      <c r="N220" s="17">
        <f>N203+3*N204</f>
        <v>6374.4330435229203</v>
      </c>
      <c r="O220" s="17">
        <f t="shared" si="26"/>
        <v>114.0920626128279</v>
      </c>
    </row>
    <row r="221" spans="1:15" s="11" customFormat="1" ht="19.899999999999999" customHeight="1">
      <c r="A221" s="11" t="s">
        <v>73</v>
      </c>
      <c r="B221" s="20">
        <f>COUNTIF(B$2:B$201,"&gt;"&amp;B$220)</f>
        <v>0</v>
      </c>
      <c r="E221" s="24">
        <f t="shared" ref="E221:O221" si="27">COUNTIF(E$2:E$201,"&gt;"&amp;E$220)</f>
        <v>1</v>
      </c>
      <c r="F221" s="20">
        <f t="shared" si="27"/>
        <v>0</v>
      </c>
      <c r="H221" s="20">
        <f t="shared" si="27"/>
        <v>0</v>
      </c>
      <c r="I221" s="20">
        <f t="shared" si="27"/>
        <v>3</v>
      </c>
      <c r="J221" s="20">
        <f t="shared" si="27"/>
        <v>4</v>
      </c>
      <c r="K221" s="20">
        <f t="shared" si="27"/>
        <v>0</v>
      </c>
      <c r="L221" s="20">
        <f t="shared" si="27"/>
        <v>0</v>
      </c>
      <c r="M221" s="20">
        <f t="shared" si="27"/>
        <v>0</v>
      </c>
      <c r="N221" s="121">
        <f>COUNTIF(N$2:N$201,"&gt;"&amp;N$220)</f>
        <v>0</v>
      </c>
      <c r="O221" s="20">
        <f t="shared" si="27"/>
        <v>0</v>
      </c>
    </row>
    <row r="222" spans="1:15" s="11" customFormat="1" ht="19.899999999999999" customHeight="1"/>
    <row r="223" spans="1:15" s="11" customFormat="1" ht="19.899999999999999" customHeight="1">
      <c r="A223" s="20" t="s">
        <v>76</v>
      </c>
      <c r="B223" s="23">
        <f>B217</f>
        <v>0.22334942873616592</v>
      </c>
      <c r="C223" s="22"/>
      <c r="D223" s="22"/>
      <c r="E223" s="21">
        <f t="shared" ref="E223:O223" si="28">E217</f>
        <v>1.1929871854736676</v>
      </c>
      <c r="F223" s="23">
        <f t="shared" si="28"/>
        <v>0.58205728126630252</v>
      </c>
      <c r="G223" s="22"/>
      <c r="H223" s="23">
        <f t="shared" si="28"/>
        <v>0.7862757549185394</v>
      </c>
      <c r="I223" s="23">
        <f t="shared" si="28"/>
        <v>0.84572932856246552</v>
      </c>
      <c r="J223" s="23">
        <f t="shared" si="28"/>
        <v>0.98256005874775276</v>
      </c>
      <c r="K223" s="23">
        <f t="shared" si="28"/>
        <v>0.74252939573368681</v>
      </c>
      <c r="L223" s="23">
        <f t="shared" si="28"/>
        <v>0.69266714324679557</v>
      </c>
      <c r="M223" s="23">
        <f t="shared" si="28"/>
        <v>9.2232553978617765E-2</v>
      </c>
      <c r="N223" s="117">
        <f>N217</f>
        <v>0.68151567553458248</v>
      </c>
      <c r="O223" s="23">
        <f t="shared" si="28"/>
        <v>7.8211473923199722E-3</v>
      </c>
    </row>
    <row r="224" spans="1:15" s="11" customFormat="1" ht="19.899999999999999" customHeight="1">
      <c r="A224" s="11" t="s">
        <v>73</v>
      </c>
      <c r="B224" s="11">
        <f>COUNTIF(B$2:B$201,"&lt;"&amp;B$225)</f>
        <v>0</v>
      </c>
      <c r="E224" s="20">
        <f t="shared" ref="E224:O224" si="29">COUNTIF(E$2:E$201,"&lt;"&amp;E$225)</f>
        <v>0</v>
      </c>
      <c r="F224" s="11">
        <f t="shared" si="29"/>
        <v>0</v>
      </c>
      <c r="H224" s="11">
        <f t="shared" si="29"/>
        <v>0</v>
      </c>
      <c r="I224" s="11">
        <f t="shared" si="29"/>
        <v>0</v>
      </c>
      <c r="J224" s="11">
        <f t="shared" si="29"/>
        <v>0</v>
      </c>
      <c r="K224" s="11">
        <f t="shared" si="29"/>
        <v>0</v>
      </c>
      <c r="L224" s="11">
        <f t="shared" si="29"/>
        <v>0</v>
      </c>
      <c r="M224" s="11">
        <f t="shared" si="29"/>
        <v>0</v>
      </c>
      <c r="N224" s="123">
        <f>COUNTIF(N$2:N$201,"&lt;"&amp;N$225)</f>
        <v>0</v>
      </c>
      <c r="O224" s="11">
        <f t="shared" si="29"/>
        <v>0</v>
      </c>
    </row>
    <row r="225" spans="1:15" s="11" customFormat="1" ht="19.899999999999999" customHeight="1">
      <c r="A225" s="11" t="s">
        <v>74</v>
      </c>
      <c r="B225" s="10">
        <f>B209-1.5*B215</f>
        <v>3</v>
      </c>
      <c r="E225" s="17">
        <f t="shared" ref="E225:O225" si="30">E209-1.5*E215</f>
        <v>-3</v>
      </c>
      <c r="F225" s="10">
        <f t="shared" si="30"/>
        <v>-2.5</v>
      </c>
      <c r="H225" s="10">
        <f t="shared" si="30"/>
        <v>-50</v>
      </c>
      <c r="I225" s="10">
        <f t="shared" si="30"/>
        <v>-704.25</v>
      </c>
      <c r="J225" s="10">
        <f t="shared" si="30"/>
        <v>-426</v>
      </c>
      <c r="K225" s="10">
        <f t="shared" si="30"/>
        <v>-238</v>
      </c>
      <c r="L225" s="10">
        <f t="shared" si="30"/>
        <v>-454</v>
      </c>
      <c r="M225" s="10">
        <f t="shared" si="30"/>
        <v>-588</v>
      </c>
      <c r="N225" s="118">
        <f>N209-1.5*N215</f>
        <v>-50.25</v>
      </c>
      <c r="O225" s="10">
        <f t="shared" si="30"/>
        <v>23.5</v>
      </c>
    </row>
    <row r="226" spans="1:15" s="11" customFormat="1" ht="19.899999999999999" customHeight="1">
      <c r="A226" s="11" t="s">
        <v>75</v>
      </c>
      <c r="B226" s="10">
        <f>B211+1.5*B215</f>
        <v>99</v>
      </c>
      <c r="E226" s="17">
        <f t="shared" ref="E226:O226" si="31">E211+1.5*E215</f>
        <v>5</v>
      </c>
      <c r="F226" s="10">
        <f t="shared" si="31"/>
        <v>9.5</v>
      </c>
      <c r="H226" s="10">
        <f t="shared" si="31"/>
        <v>3150</v>
      </c>
      <c r="I226" s="10">
        <f t="shared" si="31"/>
        <v>1173.75</v>
      </c>
      <c r="J226" s="10">
        <f t="shared" si="31"/>
        <v>1382</v>
      </c>
      <c r="K226" s="10">
        <f t="shared" si="31"/>
        <v>714</v>
      </c>
      <c r="L226" s="10">
        <f t="shared" si="31"/>
        <v>1074</v>
      </c>
      <c r="M226" s="10">
        <f t="shared" si="31"/>
        <v>980</v>
      </c>
      <c r="N226" s="10">
        <f>N211+1.5*N215</f>
        <v>6137.75</v>
      </c>
      <c r="O226" s="10">
        <f t="shared" si="31"/>
        <v>115.5</v>
      </c>
    </row>
    <row r="227" spans="1:15" s="11" customFormat="1" ht="19.899999999999999" customHeight="1">
      <c r="A227" s="11" t="s">
        <v>73</v>
      </c>
      <c r="B227" s="11">
        <f>COUNTIF(B$2:B$201,"&gt;"&amp;B$226)</f>
        <v>0</v>
      </c>
      <c r="E227" s="20">
        <f t="shared" ref="E227:O227" si="32">COUNTIF(E$2:E$201,"&gt;"&amp;E$226)</f>
        <v>1</v>
      </c>
      <c r="F227" s="11">
        <f t="shared" si="32"/>
        <v>0</v>
      </c>
      <c r="H227" s="11">
        <f t="shared" si="32"/>
        <v>0</v>
      </c>
      <c r="I227" s="11">
        <f t="shared" si="32"/>
        <v>0</v>
      </c>
      <c r="J227" s="11">
        <f t="shared" si="32"/>
        <v>4</v>
      </c>
      <c r="K227" s="11">
        <f t="shared" si="32"/>
        <v>21</v>
      </c>
      <c r="L227" s="11">
        <f t="shared" si="32"/>
        <v>0</v>
      </c>
      <c r="M227" s="11">
        <f t="shared" si="32"/>
        <v>0</v>
      </c>
      <c r="N227" s="123">
        <f>COUNTIF(N$2:N$201,"&gt;"&amp;N$226)</f>
        <v>0</v>
      </c>
      <c r="O227" s="11">
        <f t="shared" si="32"/>
        <v>0</v>
      </c>
    </row>
  </sheetData>
  <pageMargins left="0.7" right="0.7" top="0.75" bottom="0.75" header="0.3" footer="0.3"/>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workbookViewId="0">
      <selection activeCell="B17" sqref="B17"/>
    </sheetView>
  </sheetViews>
  <sheetFormatPr defaultColWidth="8.85546875" defaultRowHeight="25.15" customHeight="1"/>
  <cols>
    <col min="1" max="1" width="16.140625" style="11" customWidth="1"/>
    <col min="2" max="2" width="179" style="7" customWidth="1"/>
    <col min="3" max="16384" width="8.85546875" style="11"/>
  </cols>
  <sheetData>
    <row r="1" spans="1:2" s="8" customFormat="1" ht="25.15" customHeight="1">
      <c r="A1" s="142" t="s">
        <v>0</v>
      </c>
      <c r="B1" s="142"/>
    </row>
    <row r="2" spans="1:2" ht="25.15" customHeight="1">
      <c r="A2" s="27" t="s">
        <v>1</v>
      </c>
      <c r="B2" s="7" t="s">
        <v>2</v>
      </c>
    </row>
    <row r="3" spans="1:2" ht="25.15" customHeight="1">
      <c r="A3" s="27" t="s">
        <v>3</v>
      </c>
      <c r="B3" s="28" t="s">
        <v>4</v>
      </c>
    </row>
    <row r="4" spans="1:2" ht="25.15" customHeight="1">
      <c r="A4" s="27" t="s">
        <v>5</v>
      </c>
      <c r="B4" s="28" t="s">
        <v>6</v>
      </c>
    </row>
    <row r="5" spans="1:2" ht="25.15" customHeight="1">
      <c r="A5" s="27" t="s">
        <v>7</v>
      </c>
      <c r="B5" s="28" t="s">
        <v>8</v>
      </c>
    </row>
    <row r="6" spans="1:2" ht="25.15" customHeight="1">
      <c r="A6" s="27" t="s">
        <v>9</v>
      </c>
      <c r="B6" s="28" t="s">
        <v>10</v>
      </c>
    </row>
    <row r="7" spans="1:2" ht="25.15" customHeight="1">
      <c r="A7" s="27" t="s">
        <v>11</v>
      </c>
      <c r="B7" s="28" t="s">
        <v>12</v>
      </c>
    </row>
    <row r="8" spans="1:2" ht="25.15" customHeight="1">
      <c r="A8" s="27" t="s">
        <v>13</v>
      </c>
      <c r="B8" s="58" t="s">
        <v>166</v>
      </c>
    </row>
    <row r="9" spans="1:2" ht="25.15" customHeight="1">
      <c r="A9" s="27" t="s">
        <v>14</v>
      </c>
      <c r="B9" s="28" t="s">
        <v>15</v>
      </c>
    </row>
    <row r="10" spans="1:2" ht="25.15" customHeight="1">
      <c r="A10" s="27" t="s">
        <v>16</v>
      </c>
      <c r="B10" s="28" t="s">
        <v>17</v>
      </c>
    </row>
    <row r="11" spans="1:2" ht="25.15" customHeight="1">
      <c r="A11" s="27" t="s">
        <v>18</v>
      </c>
      <c r="B11" s="28" t="s">
        <v>19</v>
      </c>
    </row>
    <row r="12" spans="1:2" ht="25.15" customHeight="1">
      <c r="A12" s="27" t="s">
        <v>20</v>
      </c>
      <c r="B12" s="28" t="s">
        <v>21</v>
      </c>
    </row>
    <row r="13" spans="1:2" ht="25.15" customHeight="1">
      <c r="A13" s="27" t="s">
        <v>22</v>
      </c>
      <c r="B13" s="28" t="s">
        <v>23</v>
      </c>
    </row>
    <row r="14" spans="1:2" ht="25.15" customHeight="1">
      <c r="A14" s="27" t="s">
        <v>24</v>
      </c>
      <c r="B14" s="28" t="s">
        <v>25</v>
      </c>
    </row>
    <row r="15" spans="1:2" ht="25.15" customHeight="1">
      <c r="A15" s="27" t="s">
        <v>26</v>
      </c>
      <c r="B15" s="28" t="s">
        <v>27</v>
      </c>
    </row>
    <row r="16" spans="1:2" ht="25.15" customHeight="1">
      <c r="A16" s="27" t="s">
        <v>28</v>
      </c>
      <c r="B16" s="28" t="s">
        <v>29</v>
      </c>
    </row>
    <row r="17" spans="1:2" ht="25.15" customHeight="1">
      <c r="A17" s="27" t="s">
        <v>30</v>
      </c>
      <c r="B17" s="28" t="s">
        <v>31</v>
      </c>
    </row>
    <row r="18" spans="1:2" ht="25.15" customHeight="1">
      <c r="A18" s="27" t="s">
        <v>32</v>
      </c>
      <c r="B18" s="28" t="s">
        <v>33</v>
      </c>
    </row>
    <row r="19" spans="1:2" ht="25.15" customHeight="1">
      <c r="A19" s="27" t="s">
        <v>34</v>
      </c>
      <c r="B19" s="28" t="s">
        <v>35</v>
      </c>
    </row>
  </sheetData>
  <mergeCells count="1">
    <mergeCell ref="A1:B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49"/>
  <sheetViews>
    <sheetView topLeftCell="A32" zoomScale="90" zoomScaleNormal="90" workbookViewId="0">
      <selection activeCell="L18" sqref="L18"/>
    </sheetView>
  </sheetViews>
  <sheetFormatPr defaultColWidth="11.7109375" defaultRowHeight="19.899999999999999" customHeight="1"/>
  <cols>
    <col min="1" max="1" width="9" style="29" customWidth="1"/>
    <col min="2" max="2" width="10.140625" style="29" bestFit="1" customWidth="1"/>
    <col min="3" max="3" width="20.85546875" style="29" bestFit="1" customWidth="1"/>
    <col min="4" max="4" width="22.7109375" style="29" customWidth="1"/>
    <col min="5" max="5" width="11.7109375" style="29"/>
    <col min="6" max="6" width="12.28515625" style="29" bestFit="1" customWidth="1"/>
    <col min="7" max="7" width="8.7109375" style="29" bestFit="1" customWidth="1"/>
    <col min="8" max="8" width="14.140625" style="29" bestFit="1" customWidth="1"/>
    <col min="9" max="9" width="13.140625" style="29" bestFit="1" customWidth="1"/>
    <col min="10" max="10" width="18.85546875" style="29" bestFit="1" customWidth="1"/>
    <col min="11" max="11" width="14.140625" style="29" bestFit="1" customWidth="1"/>
    <col min="12" max="12" width="13.85546875" style="29" bestFit="1" customWidth="1"/>
    <col min="13" max="16" width="15" style="29" bestFit="1" customWidth="1"/>
    <col min="17" max="16384" width="11.7109375" style="29"/>
  </cols>
  <sheetData>
    <row r="1" spans="1:26" ht="19.899999999999999" customHeight="1">
      <c r="A1" s="31" t="s">
        <v>77</v>
      </c>
      <c r="C1" s="29" t="s">
        <v>66</v>
      </c>
    </row>
    <row r="2" spans="1:26" ht="19.899999999999999" customHeight="1">
      <c r="B2" s="32"/>
      <c r="C2" s="33"/>
      <c r="D2" s="33"/>
      <c r="E2" s="33"/>
      <c r="F2" s="33"/>
      <c r="G2" s="33"/>
      <c r="H2" s="33"/>
      <c r="I2" s="33"/>
      <c r="J2" s="33"/>
      <c r="K2" s="33"/>
      <c r="L2" s="33"/>
      <c r="M2" s="33"/>
      <c r="N2" s="33"/>
      <c r="O2" s="33"/>
      <c r="P2" s="33"/>
      <c r="Q2" s="33"/>
      <c r="R2" s="33"/>
      <c r="S2" s="33"/>
      <c r="T2" s="33"/>
      <c r="U2" s="33"/>
      <c r="V2" s="33"/>
      <c r="W2" s="33"/>
      <c r="X2" s="33"/>
      <c r="Y2" s="33"/>
      <c r="Z2" s="34"/>
    </row>
    <row r="3" spans="1:26" ht="19.899999999999999" customHeight="1">
      <c r="B3" s="35"/>
      <c r="C3" s="31" t="s">
        <v>78</v>
      </c>
      <c r="Z3" s="36"/>
    </row>
    <row r="4" spans="1:26" ht="19.899999999999999" customHeight="1">
      <c r="B4" s="35"/>
      <c r="C4" s="29" t="s">
        <v>79</v>
      </c>
      <c r="D4" s="49" t="s">
        <v>130</v>
      </c>
      <c r="Z4" s="36"/>
    </row>
    <row r="5" spans="1:26" ht="19.899999999999999" customHeight="1">
      <c r="B5" s="35"/>
      <c r="C5" s="29" t="s">
        <v>80</v>
      </c>
      <c r="D5" s="49" t="s">
        <v>131</v>
      </c>
      <c r="Z5" s="36"/>
    </row>
    <row r="6" spans="1:26" ht="19.899999999999999" customHeight="1">
      <c r="B6" s="35"/>
      <c r="C6" s="29" t="s">
        <v>81</v>
      </c>
      <c r="D6" s="49" t="s">
        <v>132</v>
      </c>
      <c r="Z6" s="36"/>
    </row>
    <row r="7" spans="1:26" ht="19.899999999999999" customHeight="1">
      <c r="B7" s="35"/>
      <c r="C7" s="29" t="s">
        <v>82</v>
      </c>
      <c r="D7" s="49" t="s">
        <v>133</v>
      </c>
      <c r="Z7" s="36"/>
    </row>
    <row r="8" spans="1:26" ht="19.899999999999999" customHeight="1">
      <c r="B8" s="35"/>
      <c r="C8" s="29" t="s">
        <v>83</v>
      </c>
      <c r="D8" s="37" t="s">
        <v>236</v>
      </c>
      <c r="Z8" s="36"/>
    </row>
    <row r="9" spans="1:26" ht="19.899999999999999" customHeight="1">
      <c r="B9" s="38"/>
      <c r="C9" s="39"/>
      <c r="D9" s="39"/>
      <c r="E9" s="39"/>
      <c r="F9" s="39"/>
      <c r="G9" s="39"/>
      <c r="H9" s="39"/>
      <c r="I9" s="39"/>
      <c r="J9" s="39"/>
      <c r="K9" s="39"/>
      <c r="L9" s="39"/>
      <c r="M9" s="39"/>
      <c r="N9" s="39"/>
      <c r="O9" s="39"/>
      <c r="P9" s="39"/>
      <c r="Q9" s="39"/>
      <c r="R9" s="39"/>
      <c r="S9" s="39"/>
      <c r="T9" s="39"/>
      <c r="U9" s="39"/>
      <c r="V9" s="39"/>
      <c r="W9" s="39"/>
      <c r="X9" s="39"/>
      <c r="Y9" s="39"/>
      <c r="Z9" s="40"/>
    </row>
    <row r="10" spans="1:26" ht="19.899999999999999" customHeight="1">
      <c r="B10" s="41"/>
      <c r="C10" s="41"/>
      <c r="D10" s="41"/>
      <c r="E10" s="41"/>
      <c r="F10" s="41"/>
      <c r="G10" s="41"/>
      <c r="H10" s="41"/>
      <c r="I10" s="41"/>
      <c r="J10" s="41"/>
      <c r="K10" s="41"/>
      <c r="L10" s="41"/>
      <c r="M10" s="41"/>
      <c r="N10" s="41"/>
      <c r="O10" s="41"/>
      <c r="P10" s="41"/>
      <c r="Q10" s="41"/>
      <c r="R10" s="41"/>
      <c r="S10" s="41"/>
      <c r="T10" s="41"/>
      <c r="U10" s="41"/>
      <c r="V10" s="41"/>
      <c r="W10" s="41"/>
      <c r="X10" s="41"/>
      <c r="Y10" s="41"/>
      <c r="Z10" s="41"/>
    </row>
    <row r="11" spans="1:26" ht="19.899999999999999" customHeight="1" thickBot="1">
      <c r="A11" s="42" t="s">
        <v>84</v>
      </c>
      <c r="C11" s="29" t="s">
        <v>66</v>
      </c>
    </row>
    <row r="12" spans="1:26" ht="19.899999999999999" customHeight="1" thickTop="1">
      <c r="B12" s="52" t="s">
        <v>134</v>
      </c>
      <c r="C12" s="53"/>
      <c r="D12" s="99"/>
      <c r="E12" s="33"/>
      <c r="F12" s="33"/>
      <c r="G12" s="33"/>
      <c r="H12" s="33"/>
      <c r="I12" s="33"/>
      <c r="J12" s="33"/>
      <c r="K12" s="33"/>
      <c r="L12" s="33"/>
      <c r="M12" s="33"/>
      <c r="N12" s="33"/>
      <c r="O12" s="33"/>
      <c r="P12" s="33"/>
      <c r="Q12" s="33"/>
      <c r="R12" s="33"/>
      <c r="S12" s="33"/>
      <c r="T12" s="33"/>
      <c r="U12" s="33"/>
      <c r="V12" s="90"/>
      <c r="W12" s="90"/>
      <c r="X12" s="90"/>
      <c r="Y12" s="90"/>
      <c r="Z12" s="91"/>
    </row>
    <row r="13" spans="1:26" ht="19.899999999999999" customHeight="1">
      <c r="B13" s="96" t="s">
        <v>78</v>
      </c>
      <c r="C13" s="97" t="s">
        <v>126</v>
      </c>
      <c r="D13" s="97" t="s">
        <v>127</v>
      </c>
      <c r="K13" s="125"/>
      <c r="L13" s="125" t="s">
        <v>113</v>
      </c>
      <c r="M13" s="125" t="s">
        <v>114</v>
      </c>
      <c r="N13" s="125" t="s">
        <v>115</v>
      </c>
      <c r="O13" s="125" t="s">
        <v>287</v>
      </c>
      <c r="P13" s="125" t="s">
        <v>117</v>
      </c>
    </row>
    <row r="14" spans="1:26" ht="19.899999999999999" customHeight="1">
      <c r="B14" s="95" t="s">
        <v>113</v>
      </c>
      <c r="C14" s="98">
        <v>1935.2593637982386</v>
      </c>
      <c r="D14" s="98">
        <v>2830.4549219160467</v>
      </c>
      <c r="K14" s="126"/>
      <c r="L14" s="126"/>
      <c r="M14" s="126"/>
      <c r="N14" s="126"/>
      <c r="O14" s="126"/>
      <c r="P14" s="126"/>
    </row>
    <row r="15" spans="1:26" ht="19.899999999999999" customHeight="1">
      <c r="B15" s="95" t="s">
        <v>114</v>
      </c>
      <c r="C15" s="98">
        <v>2680.3839332298026</v>
      </c>
      <c r="D15" s="98">
        <v>3226.5996733275747</v>
      </c>
      <c r="J15" s="29" t="s">
        <v>285</v>
      </c>
      <c r="K15" s="126" t="s">
        <v>237</v>
      </c>
      <c r="L15" s="127">
        <v>2382.8571428571399</v>
      </c>
      <c r="M15" s="127">
        <v>2953.4918032786886</v>
      </c>
      <c r="N15" s="127">
        <v>3010.5</v>
      </c>
      <c r="O15" s="127">
        <v>3355.9555555555557</v>
      </c>
      <c r="P15" s="127">
        <v>3396.8421052631579</v>
      </c>
    </row>
    <row r="16" spans="1:26" ht="19.899999999999999" customHeight="1">
      <c r="B16" s="95" t="s">
        <v>115</v>
      </c>
      <c r="C16" s="98">
        <v>2727.6960587344602</v>
      </c>
      <c r="D16" s="98">
        <v>3293.3039412655398</v>
      </c>
      <c r="H16"/>
      <c r="I16"/>
      <c r="K16" s="126" t="s">
        <v>238</v>
      </c>
      <c r="L16" s="127">
        <v>214.57604141893475</v>
      </c>
      <c r="M16" s="127">
        <v>136.53360366801363</v>
      </c>
      <c r="N16" s="127">
        <v>140.99688690676976</v>
      </c>
      <c r="O16" s="127">
        <v>183.39780121490051</v>
      </c>
      <c r="P16" s="127">
        <v>229.77776274562623</v>
      </c>
    </row>
    <row r="17" spans="2:26" ht="19.899999999999999" customHeight="1">
      <c r="B17" s="95" t="s">
        <v>116</v>
      </c>
      <c r="C17" s="98">
        <v>2986.341573762762</v>
      </c>
      <c r="D17" s="98">
        <v>3725.5695373483495</v>
      </c>
      <c r="H17"/>
      <c r="I17"/>
      <c r="K17" s="126" t="s">
        <v>239</v>
      </c>
      <c r="L17" s="127">
        <v>2384</v>
      </c>
      <c r="M17" s="127">
        <v>2705</v>
      </c>
      <c r="N17" s="127">
        <v>2688.5</v>
      </c>
      <c r="O17" s="127">
        <v>3371</v>
      </c>
      <c r="P17" s="127">
        <v>3229</v>
      </c>
    </row>
    <row r="18" spans="2:26" ht="19.899999999999999" customHeight="1">
      <c r="B18" s="95" t="s">
        <v>117</v>
      </c>
      <c r="C18" s="98">
        <v>2914.0969391535955</v>
      </c>
      <c r="D18" s="98">
        <v>3879.5872713727204</v>
      </c>
      <c r="H18"/>
      <c r="I18"/>
      <c r="K18" s="126" t="s">
        <v>64</v>
      </c>
      <c r="L18" s="127" t="e">
        <v>#N/A</v>
      </c>
      <c r="M18" s="127" t="e">
        <v>#N/A</v>
      </c>
      <c r="N18" s="127" t="e">
        <v>#N/A</v>
      </c>
      <c r="O18" s="127" t="e">
        <v>#N/A</v>
      </c>
      <c r="P18" s="127" t="e">
        <v>#N/A</v>
      </c>
    </row>
    <row r="19" spans="2:26" ht="19.899999999999999" customHeight="1">
      <c r="B19" s="94"/>
      <c r="H19"/>
      <c r="I19"/>
      <c r="K19" s="126" t="s">
        <v>240</v>
      </c>
      <c r="L19" s="127">
        <v>983.31095212624803</v>
      </c>
      <c r="M19" s="127">
        <v>1066.3615337984709</v>
      </c>
      <c r="N19" s="127">
        <v>1036.1112847274769</v>
      </c>
      <c r="O19" s="127">
        <v>1230.2698513215332</v>
      </c>
      <c r="P19" s="127">
        <v>1001.5780472810499</v>
      </c>
    </row>
    <row r="20" spans="2:26" ht="19.899999999999999" customHeight="1">
      <c r="B20" s="35"/>
      <c r="H20"/>
      <c r="I20"/>
      <c r="K20" s="126" t="s">
        <v>241</v>
      </c>
      <c r="L20" s="127">
        <v>966900.42857142841</v>
      </c>
      <c r="M20" s="127">
        <v>1137126.9207650274</v>
      </c>
      <c r="N20" s="127">
        <v>1073526.5943396227</v>
      </c>
      <c r="O20" s="127">
        <v>1513563.9070707073</v>
      </c>
      <c r="P20" s="127">
        <v>1003158.584795321</v>
      </c>
    </row>
    <row r="21" spans="2:26" ht="19.899999999999999" customHeight="1">
      <c r="B21" s="35"/>
      <c r="H21"/>
      <c r="I21"/>
      <c r="K21" s="126" t="s">
        <v>242</v>
      </c>
      <c r="L21" s="127">
        <v>1.0228787052506543</v>
      </c>
      <c r="M21" s="127">
        <v>1.5547659882013924</v>
      </c>
      <c r="N21" s="127">
        <v>-0.40556239576619557</v>
      </c>
      <c r="O21" s="127">
        <v>-0.74499702743799512</v>
      </c>
      <c r="P21" s="127">
        <v>-0.55009105002717229</v>
      </c>
    </row>
    <row r="22" spans="2:26" ht="19.899999999999999" customHeight="1">
      <c r="B22" s="35"/>
      <c r="H22"/>
      <c r="I22"/>
      <c r="K22" s="126" t="s">
        <v>243</v>
      </c>
      <c r="L22" s="127">
        <v>0.83702863647013281</v>
      </c>
      <c r="M22" s="127">
        <v>1.3019527031850862</v>
      </c>
      <c r="N22" s="127">
        <v>0.68553551616479325</v>
      </c>
      <c r="O22" s="127">
        <v>0.19179894086717564</v>
      </c>
      <c r="P22" s="127">
        <v>0.46181052065799272</v>
      </c>
    </row>
    <row r="23" spans="2:26" ht="19.899999999999999" customHeight="1">
      <c r="B23" s="35"/>
      <c r="H23"/>
      <c r="I23"/>
      <c r="K23" s="126" t="s">
        <v>70</v>
      </c>
      <c r="L23" s="127">
        <v>3937</v>
      </c>
      <c r="M23" s="127">
        <v>4596</v>
      </c>
      <c r="N23" s="127">
        <v>4314</v>
      </c>
      <c r="O23" s="127">
        <v>5167</v>
      </c>
      <c r="P23" s="127">
        <v>3558</v>
      </c>
    </row>
    <row r="24" spans="2:26" ht="19.899999999999999" customHeight="1">
      <c r="B24" s="35"/>
      <c r="H24"/>
      <c r="I24"/>
      <c r="K24" s="126" t="s">
        <v>244</v>
      </c>
      <c r="L24" s="127">
        <v>903</v>
      </c>
      <c r="M24" s="127">
        <v>1489</v>
      </c>
      <c r="N24" s="127">
        <v>1283</v>
      </c>
      <c r="O24" s="127">
        <v>938</v>
      </c>
      <c r="P24" s="127">
        <v>2041</v>
      </c>
    </row>
    <row r="25" spans="2:26" ht="19.899999999999999" customHeight="1">
      <c r="B25" s="35"/>
      <c r="H25"/>
      <c r="I25"/>
      <c r="K25" s="126" t="s">
        <v>245</v>
      </c>
      <c r="L25" s="127">
        <v>4840</v>
      </c>
      <c r="M25" s="127">
        <v>6085</v>
      </c>
      <c r="N25" s="127">
        <v>5597</v>
      </c>
      <c r="O25" s="127">
        <v>6105</v>
      </c>
      <c r="P25" s="127">
        <v>5599</v>
      </c>
    </row>
    <row r="26" spans="2:26" ht="19.899999999999999" customHeight="1">
      <c r="B26" s="35"/>
      <c r="H26"/>
      <c r="I26"/>
      <c r="K26" s="126" t="s">
        <v>246</v>
      </c>
      <c r="L26" s="127">
        <v>50040</v>
      </c>
      <c r="M26" s="127">
        <v>180163</v>
      </c>
      <c r="N26" s="127">
        <v>162567</v>
      </c>
      <c r="O26" s="127">
        <v>151018</v>
      </c>
      <c r="P26" s="127">
        <v>64540</v>
      </c>
    </row>
    <row r="27" spans="2:26" ht="19.899999999999999" customHeight="1">
      <c r="B27" s="35"/>
      <c r="H27"/>
      <c r="I27"/>
      <c r="K27" s="126" t="s">
        <v>247</v>
      </c>
      <c r="L27" s="127">
        <v>21</v>
      </c>
      <c r="M27" s="127">
        <v>61</v>
      </c>
      <c r="N27" s="127">
        <v>54</v>
      </c>
      <c r="O27" s="127">
        <v>45</v>
      </c>
      <c r="P27" s="127">
        <v>19</v>
      </c>
    </row>
    <row r="28" spans="2:26" ht="19.899999999999999" customHeight="1">
      <c r="B28" s="35"/>
      <c r="H28"/>
      <c r="I28"/>
      <c r="Z28" s="89"/>
    </row>
    <row r="29" spans="2:26" ht="19.899999999999999" customHeight="1">
      <c r="B29" s="35"/>
      <c r="H29"/>
      <c r="I29"/>
      <c r="Z29" s="89"/>
    </row>
    <row r="30" spans="2:26" ht="19.899999999999999" customHeight="1">
      <c r="B30" s="35"/>
      <c r="H30"/>
      <c r="I30"/>
      <c r="Z30" s="89"/>
    </row>
    <row r="31" spans="2:26" ht="19.899999999999999" customHeight="1">
      <c r="B31" s="35"/>
      <c r="Z31" s="89"/>
    </row>
    <row r="32" spans="2:26" ht="19.899999999999999" customHeight="1">
      <c r="B32" s="35"/>
      <c r="Z32" s="89"/>
    </row>
    <row r="33" spans="1:26" ht="19.899999999999999" customHeight="1">
      <c r="B33" s="35"/>
      <c r="J33" s="46" t="s">
        <v>248</v>
      </c>
      <c r="K33" s="46">
        <f>QUARTILE(Data!N2:N201,)</f>
        <v>903</v>
      </c>
      <c r="Z33" s="89"/>
    </row>
    <row r="34" spans="1:26" ht="19.899999999999999" customHeight="1">
      <c r="B34" s="35"/>
      <c r="C34" s="49" t="s">
        <v>128</v>
      </c>
      <c r="J34" s="46" t="s">
        <v>66</v>
      </c>
      <c r="K34" s="46">
        <f>QUARTILE(Data!N2:N201,1)</f>
        <v>2270.25</v>
      </c>
      <c r="Z34" s="89"/>
    </row>
    <row r="35" spans="1:26" ht="19.899999999999999" customHeight="1">
      <c r="B35" s="35"/>
      <c r="C35" s="49" t="s">
        <v>129</v>
      </c>
      <c r="J35" s="46" t="s">
        <v>86</v>
      </c>
      <c r="K35" s="46">
        <f>QUARTILE(Data!N2:N201,2)</f>
        <v>2726.5</v>
      </c>
      <c r="Z35" s="89"/>
    </row>
    <row r="36" spans="1:26" ht="19.899999999999999" customHeight="1">
      <c r="B36" s="35"/>
      <c r="J36" s="46" t="s">
        <v>68</v>
      </c>
      <c r="K36" s="46">
        <f>QUARTILE(Data!N2:N201,3)</f>
        <v>3817.25</v>
      </c>
      <c r="Z36" s="89"/>
    </row>
    <row r="37" spans="1:26" ht="19.899999999999999" customHeight="1">
      <c r="B37" s="35"/>
      <c r="J37" s="46" t="s">
        <v>249</v>
      </c>
      <c r="K37" s="46">
        <f>QUARTILE(Data!N2:N201,4)</f>
        <v>6105</v>
      </c>
      <c r="Z37" s="89"/>
    </row>
    <row r="38" spans="1:26" ht="19.899999999999999" customHeight="1">
      <c r="B38" s="35"/>
      <c r="J38" s="46"/>
      <c r="K38" s="46"/>
      <c r="Z38" s="89"/>
    </row>
    <row r="39" spans="1:26" ht="19.899999999999999" customHeight="1">
      <c r="B39" s="35"/>
      <c r="J39" s="46" t="s">
        <v>71</v>
      </c>
      <c r="K39" s="46">
        <f>K36-K34</f>
        <v>1547</v>
      </c>
      <c r="Z39" s="89"/>
    </row>
    <row r="40" spans="1:26" ht="19.899999999999999" customHeight="1">
      <c r="B40" s="35"/>
      <c r="K40" s="37"/>
      <c r="Z40" s="89"/>
    </row>
    <row r="41" spans="1:26" ht="19.899999999999999" customHeight="1">
      <c r="B41" s="35"/>
      <c r="K41" s="37"/>
      <c r="Z41" s="89"/>
    </row>
    <row r="42" spans="1:26" ht="19.899999999999999" customHeight="1">
      <c r="B42" s="35"/>
      <c r="K42" s="37"/>
      <c r="Z42" s="89"/>
    </row>
    <row r="43" spans="1:26" ht="19.899999999999999" customHeight="1">
      <c r="B43" s="35"/>
      <c r="K43" s="37"/>
      <c r="L43" s="37" t="s">
        <v>250</v>
      </c>
      <c r="Z43" s="89"/>
    </row>
    <row r="44" spans="1:26" ht="19.899999999999999" customHeight="1">
      <c r="B44" s="35"/>
      <c r="K44" s="37"/>
      <c r="L44" s="37" t="s">
        <v>251</v>
      </c>
      <c r="Z44" s="89"/>
    </row>
    <row r="45" spans="1:26" ht="19.899999999999999" customHeight="1" thickBot="1">
      <c r="B45" s="38"/>
      <c r="C45" s="39"/>
      <c r="D45" s="39"/>
      <c r="E45" s="39"/>
      <c r="F45" s="39"/>
      <c r="G45" s="39"/>
      <c r="H45" s="39"/>
      <c r="I45" s="39"/>
      <c r="J45" s="39"/>
      <c r="K45" s="39"/>
      <c r="L45" s="92"/>
      <c r="M45" s="39"/>
      <c r="N45" s="39"/>
      <c r="O45" s="39"/>
      <c r="P45" s="39"/>
      <c r="Q45" s="39"/>
      <c r="R45" s="39"/>
      <c r="S45" s="39"/>
      <c r="T45" s="39"/>
      <c r="U45" s="39"/>
      <c r="V45" s="92"/>
      <c r="W45" s="92"/>
      <c r="X45" s="92"/>
      <c r="Y45" s="92"/>
      <c r="Z45" s="93"/>
    </row>
    <row r="46" spans="1:26" ht="19.899999999999999" customHeight="1">
      <c r="A46" s="42" t="s">
        <v>85</v>
      </c>
      <c r="C46" s="29" t="s">
        <v>66</v>
      </c>
    </row>
    <row r="48" spans="1:26" ht="19.899999999999999" customHeight="1">
      <c r="D48" s="43"/>
    </row>
    <row r="49" spans="3:19" ht="19.899999999999999" customHeight="1">
      <c r="C49" s="44" t="s">
        <v>78</v>
      </c>
      <c r="E49" s="48" t="s">
        <v>78</v>
      </c>
      <c r="F49" s="48" t="s">
        <v>140</v>
      </c>
      <c r="K49" s="45" t="s">
        <v>125</v>
      </c>
      <c r="L49" s="46"/>
      <c r="M49" s="46"/>
      <c r="N49" s="46"/>
      <c r="O49" s="46"/>
      <c r="P49" s="46"/>
      <c r="Q49" s="46"/>
      <c r="R49" s="46"/>
      <c r="S49" s="46"/>
    </row>
    <row r="50" spans="3:19" ht="19.899999999999999" customHeight="1">
      <c r="C50" s="47" t="str">
        <f>IF(Data!B2&gt;=70,"Senior",IF(Data!B2&gt;=60,"Mature",IF(Data!B2&gt;=46,"Prime",IF(Data!B2&gt;=30,"Core","Young"))))</f>
        <v>Senior</v>
      </c>
      <c r="E50" s="48" t="s">
        <v>113</v>
      </c>
      <c r="F50" s="48" t="s">
        <v>135</v>
      </c>
      <c r="K50" s="48" t="s">
        <v>78</v>
      </c>
      <c r="L50" s="48" t="s">
        <v>112</v>
      </c>
      <c r="M50" s="45" t="s">
        <v>124</v>
      </c>
      <c r="N50" s="48" t="s">
        <v>120</v>
      </c>
      <c r="O50" s="48" t="s">
        <v>121</v>
      </c>
      <c r="P50" s="48" t="s">
        <v>123</v>
      </c>
      <c r="Q50" s="45" t="s">
        <v>122</v>
      </c>
      <c r="R50" s="48" t="s">
        <v>126</v>
      </c>
      <c r="S50" s="48" t="s">
        <v>127</v>
      </c>
    </row>
    <row r="51" spans="3:19" ht="19.899999999999999" customHeight="1">
      <c r="C51" s="47" t="str">
        <f>IF(Data!B3&gt;=70,"Senior",IF(Data!B3&gt;=60,"Mature",IF(Data!B3&gt;=46,"Prime",IF(Data!B3&gt;=30,"Core","Young"))))</f>
        <v>Senior</v>
      </c>
      <c r="E51" s="48" t="s">
        <v>114</v>
      </c>
      <c r="F51" s="48" t="s">
        <v>136</v>
      </c>
      <c r="K51" s="48" t="s">
        <v>113</v>
      </c>
      <c r="L51" s="46">
        <f>COUNTIF(Data!P2:P201,"Young")</f>
        <v>21</v>
      </c>
      <c r="M51" s="46">
        <f>AVERAGEIF(Data!P2:P201,"Young",Data!N2:N201)</f>
        <v>2382.8571428571427</v>
      </c>
      <c r="N51" s="46">
        <f t="array" ref="N51">_xlfn.STDEV.S(IF(Data!P2:P201=K51,Data!N2:N201))</f>
        <v>983.31095212624803</v>
      </c>
      <c r="O51" s="46">
        <f>L51-1</f>
        <v>20</v>
      </c>
      <c r="P51" s="46">
        <v>0.05</v>
      </c>
      <c r="Q51" s="46">
        <f>_xlfn.T.INV.2T(P51,O51)</f>
        <v>2.0859634472658648</v>
      </c>
      <c r="R51" s="46">
        <f>(M51-(Q51*(N51/(SQRT(L51)))))</f>
        <v>1935.2593637982386</v>
      </c>
      <c r="S51" s="46">
        <f>(M51+(Q51*(N51/(SQRT(L51)))))</f>
        <v>2830.4549219160467</v>
      </c>
    </row>
    <row r="52" spans="3:19" ht="19.899999999999999" customHeight="1">
      <c r="C52" s="47" t="str">
        <f>IF(Data!B4&gt;=70,"Senior",IF(Data!B4&gt;=60,"Mature",IF(Data!B4&gt;=46,"Prime",IF(Data!B4&gt;=30,"Core","Young"))))</f>
        <v>Core</v>
      </c>
      <c r="E52" s="48" t="s">
        <v>115</v>
      </c>
      <c r="F52" s="48" t="s">
        <v>137</v>
      </c>
      <c r="K52" s="48" t="s">
        <v>114</v>
      </c>
      <c r="L52" s="46">
        <f>COUNTIF(C50:C250,"Core")</f>
        <v>61</v>
      </c>
      <c r="M52" s="46">
        <f ca="1">AVERAGEIF(Data!P2:P202,"Core",Data!N2:N201)</f>
        <v>2953.4918032786886</v>
      </c>
      <c r="N52" s="46">
        <f t="array" ref="N52">_xlfn.STDEV.S(IF(Data!P2:P201=K52,Data!N2:N201))</f>
        <v>1066.3615337984709</v>
      </c>
      <c r="O52" s="46">
        <f>L52-1</f>
        <v>60</v>
      </c>
      <c r="P52" s="46">
        <v>0.05</v>
      </c>
      <c r="Q52" s="46">
        <f>_xlfn.T.INV.2T(P52,O52)</f>
        <v>2.0002978220142609</v>
      </c>
      <c r="R52" s="46">
        <f ca="1">(M52-(Q52*(N52/(SQRT(L52)))))</f>
        <v>2680.3839332298026</v>
      </c>
      <c r="S52" s="46">
        <f ca="1">(M52+(Q52*(N52/(SQRT(L52)))))</f>
        <v>3226.5996733275747</v>
      </c>
    </row>
    <row r="53" spans="3:19" ht="19.899999999999999" customHeight="1">
      <c r="C53" s="47" t="str">
        <f>IF(Data!B5&gt;=70,"Senior",IF(Data!B5&gt;=60,"Mature",IF(Data!B5&gt;=46,"Prime",IF(Data!B5&gt;=30,"Core","Young"))))</f>
        <v>Core</v>
      </c>
      <c r="E53" s="48" t="s">
        <v>116</v>
      </c>
      <c r="F53" s="48" t="s">
        <v>138</v>
      </c>
      <c r="K53" s="48" t="s">
        <v>115</v>
      </c>
      <c r="L53" s="46">
        <f>COUNTIF(C50:C250,"Prime")</f>
        <v>54</v>
      </c>
      <c r="M53" s="46">
        <f>AVERAGEIF(Data!P2:P201,"Prime",Data!N2:N201)</f>
        <v>3010.5</v>
      </c>
      <c r="N53" s="46">
        <f t="array" ref="N53">_xlfn.STDEV.S(IF(Data!P2:P201=K53,Data!N2:N201))</f>
        <v>1036.1112847274769</v>
      </c>
      <c r="O53" s="46">
        <f>L53-1</f>
        <v>53</v>
      </c>
      <c r="P53" s="46">
        <v>0.05</v>
      </c>
      <c r="Q53" s="46">
        <f>_xlfn.T.INV.2T(P53,O53)</f>
        <v>2.0057459953178696</v>
      </c>
      <c r="R53" s="46">
        <f>(M53-(Q53*(N53/(SQRT(L53)))))</f>
        <v>2727.6960587344602</v>
      </c>
      <c r="S53" s="46">
        <f>(M53+(Q53*(N53/(SQRT(L53)))))</f>
        <v>3293.3039412655398</v>
      </c>
    </row>
    <row r="54" spans="3:19" ht="19.899999999999999" customHeight="1">
      <c r="C54" s="47" t="str">
        <f>IF(Data!B6&gt;=70,"Senior",IF(Data!B6&gt;=60,"Mature",IF(Data!B6&gt;=46,"Prime",IF(Data!B6&gt;=30,"Core","Young"))))</f>
        <v>Prime</v>
      </c>
      <c r="E54" s="48" t="s">
        <v>117</v>
      </c>
      <c r="F54" s="48" t="s">
        <v>139</v>
      </c>
      <c r="K54" s="48" t="s">
        <v>116</v>
      </c>
      <c r="L54" s="46">
        <f>COUNTIF(C50:C250,"Mature")</f>
        <v>45</v>
      </c>
      <c r="M54" s="46">
        <f>AVERAGEIF(Data!P2:P201,"Mature",Data!N2:N201)</f>
        <v>3355.9555555555557</v>
      </c>
      <c r="N54" s="46">
        <f t="array" ref="N54">_xlfn.STDEV.S(IF(Data!P2:P201=K54,Data!N2:N201))</f>
        <v>1230.2698513215332</v>
      </c>
      <c r="O54" s="46">
        <f>L54-1</f>
        <v>44</v>
      </c>
      <c r="P54" s="46">
        <v>0.05</v>
      </c>
      <c r="Q54" s="46">
        <f>_xlfn.T.INV.2T(P54,O54)</f>
        <v>2.0153675744437649</v>
      </c>
      <c r="R54" s="46">
        <f>(M54-(Q54*(N54/(SQRT(L54)))))</f>
        <v>2986.341573762762</v>
      </c>
      <c r="S54" s="46">
        <f>(M54+(Q54*(N54/(SQRT(L54)))))</f>
        <v>3725.5695373483495</v>
      </c>
    </row>
    <row r="55" spans="3:19" ht="19.899999999999999" customHeight="1">
      <c r="C55" s="47" t="str">
        <f>IF(Data!B7&gt;=70,"Senior",IF(Data!B7&gt;=60,"Mature",IF(Data!B7&gt;=46,"Prime",IF(Data!B7&gt;=30,"Core","Young"))))</f>
        <v>Mature</v>
      </c>
      <c r="K55" s="48" t="s">
        <v>117</v>
      </c>
      <c r="L55" s="46">
        <f>COUNTIF(C50:C250,"Senior")</f>
        <v>19</v>
      </c>
      <c r="M55" s="46">
        <f>AVERAGEIF(Data!P2:P201,"Senior",Data!N2:N201)</f>
        <v>3396.8421052631579</v>
      </c>
      <c r="N55" s="46">
        <f t="array" ref="N55">_xlfn.STDEV.S(IF(Data!P2:P201=K55,Data!N2:N201))</f>
        <v>1001.5780472810499</v>
      </c>
      <c r="O55" s="46">
        <f>L55-1</f>
        <v>18</v>
      </c>
      <c r="P55" s="46">
        <v>0.05</v>
      </c>
      <c r="Q55" s="46">
        <f>_xlfn.T.INV.2T(P55,O55)</f>
        <v>2.1009220402410378</v>
      </c>
      <c r="R55" s="46">
        <f>(M55-(Q55*(N55/(SQRT(L55)))))</f>
        <v>2914.0969391535955</v>
      </c>
      <c r="S55" s="46">
        <f>(M55+(Q55*(N55/(SQRT(L55)))))</f>
        <v>3879.5872713727204</v>
      </c>
    </row>
    <row r="56" spans="3:19" ht="19.899999999999999" customHeight="1">
      <c r="C56" s="47" t="str">
        <f>IF(Data!B8&gt;=70,"Senior",IF(Data!B8&gt;=60,"Mature",IF(Data!B8&gt;=46,"Prime",IF(Data!B8&gt;=30,"Core","Young"))))</f>
        <v>Core</v>
      </c>
    </row>
    <row r="57" spans="3:19" ht="19.899999999999999" customHeight="1">
      <c r="C57" s="47" t="str">
        <f>IF(Data!B9&gt;=70,"Senior",IF(Data!B9&gt;=60,"Mature",IF(Data!B9&gt;=46,"Prime",IF(Data!B9&gt;=30,"Core","Young"))))</f>
        <v>Prime</v>
      </c>
    </row>
    <row r="58" spans="3:19" ht="19.899999999999999" customHeight="1">
      <c r="C58" s="47" t="str">
        <f>IF(Data!B10&gt;=70,"Senior",IF(Data!B10&gt;=60,"Mature",IF(Data!B10&gt;=46,"Prime",IF(Data!B10&gt;=30,"Core","Young"))))</f>
        <v>Prime</v>
      </c>
    </row>
    <row r="59" spans="3:19" ht="19.899999999999999" customHeight="1">
      <c r="C59" s="47" t="str">
        <f>IF(Data!B11&gt;=70,"Senior",IF(Data!B11&gt;=60,"Mature",IF(Data!B11&gt;=46,"Prime",IF(Data!B11&gt;=30,"Core","Young"))))</f>
        <v>Mature</v>
      </c>
    </row>
    <row r="60" spans="3:19" ht="19.899999999999999" customHeight="1">
      <c r="C60" s="47" t="str">
        <f>IF(Data!B12&gt;=70,"Senior",IF(Data!B12&gt;=60,"Mature",IF(Data!B12&gt;=46,"Prime",IF(Data!B12&gt;=30,"Core","Young"))))</f>
        <v>Core</v>
      </c>
      <c r="H60" s="43" t="s">
        <v>152</v>
      </c>
    </row>
    <row r="61" spans="3:19" ht="19.899999999999999" customHeight="1">
      <c r="C61" s="47" t="str">
        <f>IF(Data!B13&gt;=70,"Senior",IF(Data!B13&gt;=60,"Mature",IF(Data!B13&gt;=46,"Prime",IF(Data!B13&gt;=30,"Core","Young"))))</f>
        <v>Senior</v>
      </c>
    </row>
    <row r="62" spans="3:19" ht="19.899999999999999" customHeight="1">
      <c r="C62" s="47" t="str">
        <f>IF(Data!B14&gt;=70,"Senior",IF(Data!B14&gt;=60,"Mature",IF(Data!B14&gt;=46,"Prime",IF(Data!B14&gt;=30,"Core","Young"))))</f>
        <v>Core</v>
      </c>
    </row>
    <row r="63" spans="3:19" ht="19.899999999999999" customHeight="1">
      <c r="C63" s="47" t="str">
        <f>IF(Data!B15&gt;=70,"Senior",IF(Data!B15&gt;=60,"Mature",IF(Data!B15&gt;=46,"Prime",IF(Data!B15&gt;=30,"Core","Young"))))</f>
        <v>Mature</v>
      </c>
    </row>
    <row r="64" spans="3:19" ht="19.899999999999999" customHeight="1">
      <c r="C64" s="47" t="str">
        <f>IF(Data!B16&gt;=70,"Senior",IF(Data!B16&gt;=60,"Mature",IF(Data!B16&gt;=46,"Prime",IF(Data!B16&gt;=30,"Core","Young"))))</f>
        <v>Core</v>
      </c>
    </row>
    <row r="65" spans="3:7" ht="19.899999999999999" customHeight="1">
      <c r="C65" s="47" t="str">
        <f>IF(Data!B17&gt;=70,"Senior",IF(Data!B17&gt;=60,"Mature",IF(Data!B17&gt;=46,"Prime",IF(Data!B17&gt;=30,"Core","Young"))))</f>
        <v>Prime</v>
      </c>
      <c r="D65" s="49"/>
      <c r="G65" s="55" t="s">
        <v>153</v>
      </c>
    </row>
    <row r="66" spans="3:7" ht="19.899999999999999" customHeight="1">
      <c r="C66" s="47" t="str">
        <f>IF(Data!B18&gt;=70,"Senior",IF(Data!B18&gt;=60,"Mature",IF(Data!B18&gt;=46,"Prime",IF(Data!B18&gt;=30,"Core","Young"))))</f>
        <v>Prime</v>
      </c>
      <c r="G66"/>
    </row>
    <row r="67" spans="3:7" ht="19.899999999999999" customHeight="1">
      <c r="C67" s="47" t="str">
        <f>IF(Data!B19&gt;=70,"Senior",IF(Data!B19&gt;=60,"Mature",IF(Data!B19&gt;=46,"Prime",IF(Data!B19&gt;=30,"Core","Young"))))</f>
        <v>Core</v>
      </c>
      <c r="G67" s="55" t="s">
        <v>154</v>
      </c>
    </row>
    <row r="68" spans="3:7" ht="19.899999999999999" customHeight="1">
      <c r="C68" s="47" t="str">
        <f>IF(Data!B20&gt;=70,"Senior",IF(Data!B20&gt;=60,"Mature",IF(Data!B20&gt;=46,"Prime",IF(Data!B20&gt;=30,"Core","Young"))))</f>
        <v>Mature</v>
      </c>
      <c r="G68"/>
    </row>
    <row r="69" spans="3:7" ht="19.899999999999999" customHeight="1">
      <c r="C69" s="47" t="str">
        <f>IF(Data!B21&gt;=70,"Senior",IF(Data!B21&gt;=60,"Mature",IF(Data!B21&gt;=46,"Prime",IF(Data!B21&gt;=30,"Core","Young"))))</f>
        <v>Core</v>
      </c>
      <c r="G69" s="55" t="s">
        <v>155</v>
      </c>
    </row>
    <row r="70" spans="3:7" ht="19.899999999999999" customHeight="1">
      <c r="C70" s="47" t="str">
        <f>IF(Data!B22&gt;=70,"Senior",IF(Data!B22&gt;=60,"Mature",IF(Data!B22&gt;=46,"Prime",IF(Data!B22&gt;=30,"Core","Young"))))</f>
        <v>Young</v>
      </c>
      <c r="G70"/>
    </row>
    <row r="71" spans="3:7" ht="19.899999999999999" customHeight="1">
      <c r="C71" s="47" t="str">
        <f>IF(Data!B23&gt;=70,"Senior",IF(Data!B23&gt;=60,"Mature",IF(Data!B23&gt;=46,"Prime",IF(Data!B23&gt;=30,"Core","Young"))))</f>
        <v>Young</v>
      </c>
      <c r="G71" s="55" t="s">
        <v>156</v>
      </c>
    </row>
    <row r="72" spans="3:7" ht="19.899999999999999" customHeight="1">
      <c r="C72" s="47" t="str">
        <f>IF(Data!B24&gt;=70,"Senior",IF(Data!B24&gt;=60,"Mature",IF(Data!B24&gt;=46,"Prime",IF(Data!B24&gt;=30,"Core","Young"))))</f>
        <v>Young</v>
      </c>
    </row>
    <row r="73" spans="3:7" ht="19.899999999999999" customHeight="1">
      <c r="C73" s="47" t="str">
        <f>IF(Data!B25&gt;=70,"Senior",IF(Data!B25&gt;=60,"Mature",IF(Data!B25&gt;=46,"Prime",IF(Data!B25&gt;=30,"Core","Young"))))</f>
        <v>Prime</v>
      </c>
    </row>
    <row r="74" spans="3:7" ht="19.899999999999999" customHeight="1">
      <c r="C74" s="47" t="str">
        <f>IF(Data!B26&gt;=70,"Senior",IF(Data!B26&gt;=60,"Mature",IF(Data!B26&gt;=46,"Prime",IF(Data!B26&gt;=30,"Core","Young"))))</f>
        <v>Core</v>
      </c>
    </row>
    <row r="75" spans="3:7" ht="19.899999999999999" customHeight="1">
      <c r="C75" s="47" t="str">
        <f>IF(Data!B27&gt;=70,"Senior",IF(Data!B27&gt;=60,"Mature",IF(Data!B27&gt;=46,"Prime",IF(Data!B27&gt;=30,"Core","Young"))))</f>
        <v>Prime</v>
      </c>
    </row>
    <row r="76" spans="3:7" ht="19.899999999999999" customHeight="1">
      <c r="C76" s="47" t="str">
        <f>IF(Data!B28&gt;=70,"Senior",IF(Data!B28&gt;=60,"Mature",IF(Data!B28&gt;=46,"Prime",IF(Data!B28&gt;=30,"Core","Young"))))</f>
        <v>Core</v>
      </c>
    </row>
    <row r="77" spans="3:7" ht="19.899999999999999" customHeight="1">
      <c r="C77" s="47" t="str">
        <f>IF(Data!B29&gt;=70,"Senior",IF(Data!B29&gt;=60,"Mature",IF(Data!B29&gt;=46,"Prime",IF(Data!B29&gt;=30,"Core","Young"))))</f>
        <v>Core</v>
      </c>
    </row>
    <row r="78" spans="3:7" ht="19.899999999999999" customHeight="1">
      <c r="C78" s="47" t="str">
        <f>IF(Data!B30&gt;=70,"Senior",IF(Data!B30&gt;=60,"Mature",IF(Data!B30&gt;=46,"Prime",IF(Data!B30&gt;=30,"Core","Young"))))</f>
        <v>Prime</v>
      </c>
    </row>
    <row r="79" spans="3:7" ht="19.899999999999999" customHeight="1">
      <c r="C79" s="47" t="str">
        <f>IF(Data!B31&gt;=70,"Senior",IF(Data!B31&gt;=60,"Mature",IF(Data!B31&gt;=46,"Prime",IF(Data!B31&gt;=30,"Core","Young"))))</f>
        <v>Young</v>
      </c>
    </row>
    <row r="80" spans="3:7" ht="19.899999999999999" customHeight="1">
      <c r="C80" s="47" t="str">
        <f>IF(Data!B32&gt;=70,"Senior",IF(Data!B32&gt;=60,"Mature",IF(Data!B32&gt;=46,"Prime",IF(Data!B32&gt;=30,"Core","Young"))))</f>
        <v>Core</v>
      </c>
    </row>
    <row r="81" spans="3:3" ht="19.899999999999999" customHeight="1">
      <c r="C81" s="47" t="str">
        <f>IF(Data!B33&gt;=70,"Senior",IF(Data!B33&gt;=60,"Mature",IF(Data!B33&gt;=46,"Prime",IF(Data!B33&gt;=30,"Core","Young"))))</f>
        <v>Senior</v>
      </c>
    </row>
    <row r="82" spans="3:3" ht="19.899999999999999" customHeight="1">
      <c r="C82" s="47" t="str">
        <f>IF(Data!B34&gt;=70,"Senior",IF(Data!B34&gt;=60,"Mature",IF(Data!B34&gt;=46,"Prime",IF(Data!B34&gt;=30,"Core","Young"))))</f>
        <v>Mature</v>
      </c>
    </row>
    <row r="83" spans="3:3" ht="19.899999999999999" customHeight="1">
      <c r="C83" s="47" t="str">
        <f>IF(Data!B35&gt;=70,"Senior",IF(Data!B35&gt;=60,"Mature",IF(Data!B35&gt;=46,"Prime",IF(Data!B35&gt;=30,"Core","Young"))))</f>
        <v>Young</v>
      </c>
    </row>
    <row r="84" spans="3:3" ht="19.899999999999999" customHeight="1">
      <c r="C84" s="47" t="str">
        <f>IF(Data!B36&gt;=70,"Senior",IF(Data!B36&gt;=60,"Mature",IF(Data!B36&gt;=46,"Prime",IF(Data!B36&gt;=30,"Core","Young"))))</f>
        <v>Prime</v>
      </c>
    </row>
    <row r="85" spans="3:3" ht="19.899999999999999" customHeight="1">
      <c r="C85" s="47" t="str">
        <f>IF(Data!B37&gt;=70,"Senior",IF(Data!B37&gt;=60,"Mature",IF(Data!B37&gt;=46,"Prime",IF(Data!B37&gt;=30,"Core","Young"))))</f>
        <v>Prime</v>
      </c>
    </row>
    <row r="86" spans="3:3" ht="19.899999999999999" customHeight="1">
      <c r="C86" s="47" t="str">
        <f>IF(Data!B38&gt;=70,"Senior",IF(Data!B38&gt;=60,"Mature",IF(Data!B38&gt;=46,"Prime",IF(Data!B38&gt;=30,"Core","Young"))))</f>
        <v>Mature</v>
      </c>
    </row>
    <row r="87" spans="3:3" ht="19.899999999999999" customHeight="1">
      <c r="C87" s="47" t="str">
        <f>IF(Data!B39&gt;=70,"Senior",IF(Data!B39&gt;=60,"Mature",IF(Data!B39&gt;=46,"Prime",IF(Data!B39&gt;=30,"Core","Young"))))</f>
        <v>Core</v>
      </c>
    </row>
    <row r="88" spans="3:3" ht="19.899999999999999" customHeight="1">
      <c r="C88" s="47" t="str">
        <f>IF(Data!B40&gt;=70,"Senior",IF(Data!B40&gt;=60,"Mature",IF(Data!B40&gt;=46,"Prime",IF(Data!B40&gt;=30,"Core","Young"))))</f>
        <v>Core</v>
      </c>
    </row>
    <row r="89" spans="3:3" ht="19.899999999999999" customHeight="1">
      <c r="C89" s="47" t="str">
        <f>IF(Data!B41&gt;=70,"Senior",IF(Data!B41&gt;=60,"Mature",IF(Data!B41&gt;=46,"Prime",IF(Data!B41&gt;=30,"Core","Young"))))</f>
        <v>Core</v>
      </c>
    </row>
    <row r="90" spans="3:3" ht="19.899999999999999" customHeight="1">
      <c r="C90" s="47" t="str">
        <f>IF(Data!B42&gt;=70,"Senior",IF(Data!B42&gt;=60,"Mature",IF(Data!B42&gt;=46,"Prime",IF(Data!B42&gt;=30,"Core","Young"))))</f>
        <v>Core</v>
      </c>
    </row>
    <row r="91" spans="3:3" ht="19.899999999999999" customHeight="1">
      <c r="C91" s="47" t="str">
        <f>IF(Data!B43&gt;=70,"Senior",IF(Data!B43&gt;=60,"Mature",IF(Data!B43&gt;=46,"Prime",IF(Data!B43&gt;=30,"Core","Young"))))</f>
        <v>Core</v>
      </c>
    </row>
    <row r="92" spans="3:3" ht="19.899999999999999" customHeight="1">
      <c r="C92" s="47" t="str">
        <f>IF(Data!B44&gt;=70,"Senior",IF(Data!B44&gt;=60,"Mature",IF(Data!B44&gt;=46,"Prime",IF(Data!B44&gt;=30,"Core","Young"))))</f>
        <v>Mature</v>
      </c>
    </row>
    <row r="93" spans="3:3" ht="19.899999999999999" customHeight="1">
      <c r="C93" s="47" t="str">
        <f>IF(Data!B45&gt;=70,"Senior",IF(Data!B45&gt;=60,"Mature",IF(Data!B45&gt;=46,"Prime",IF(Data!B45&gt;=30,"Core","Young"))))</f>
        <v>Core</v>
      </c>
    </row>
    <row r="94" spans="3:3" ht="19.899999999999999" customHeight="1">
      <c r="C94" s="47" t="str">
        <f>IF(Data!B46&gt;=70,"Senior",IF(Data!B46&gt;=60,"Mature",IF(Data!B46&gt;=46,"Prime",IF(Data!B46&gt;=30,"Core","Young"))))</f>
        <v>Prime</v>
      </c>
    </row>
    <row r="95" spans="3:3" ht="19.899999999999999" customHeight="1">
      <c r="C95" s="47" t="str">
        <f>IF(Data!B47&gt;=70,"Senior",IF(Data!B47&gt;=60,"Mature",IF(Data!B47&gt;=46,"Prime",IF(Data!B47&gt;=30,"Core","Young"))))</f>
        <v>Mature</v>
      </c>
    </row>
    <row r="96" spans="3:3" ht="19.899999999999999" customHeight="1">
      <c r="C96" s="47" t="str">
        <f>IF(Data!B48&gt;=70,"Senior",IF(Data!B48&gt;=60,"Mature",IF(Data!B48&gt;=46,"Prime",IF(Data!B48&gt;=30,"Core","Young"))))</f>
        <v>Senior</v>
      </c>
    </row>
    <row r="97" spans="3:3" ht="19.899999999999999" customHeight="1">
      <c r="C97" s="47" t="str">
        <f>IF(Data!B49&gt;=70,"Senior",IF(Data!B49&gt;=60,"Mature",IF(Data!B49&gt;=46,"Prime",IF(Data!B49&gt;=30,"Core","Young"))))</f>
        <v>Senior</v>
      </c>
    </row>
    <row r="98" spans="3:3" ht="19.899999999999999" customHeight="1">
      <c r="C98" s="47" t="str">
        <f>IF(Data!B50&gt;=70,"Senior",IF(Data!B50&gt;=60,"Mature",IF(Data!B50&gt;=46,"Prime",IF(Data!B50&gt;=30,"Core","Young"))))</f>
        <v>Prime</v>
      </c>
    </row>
    <row r="99" spans="3:3" ht="19.899999999999999" customHeight="1">
      <c r="C99" s="47" t="str">
        <f>IF(Data!B51&gt;=70,"Senior",IF(Data!B51&gt;=60,"Mature",IF(Data!B51&gt;=46,"Prime",IF(Data!B51&gt;=30,"Core","Young"))))</f>
        <v>Core</v>
      </c>
    </row>
    <row r="100" spans="3:3" ht="19.899999999999999" customHeight="1">
      <c r="C100" s="47" t="str">
        <f>IF(Data!B52&gt;=70,"Senior",IF(Data!B52&gt;=60,"Mature",IF(Data!B52&gt;=46,"Prime",IF(Data!B52&gt;=30,"Core","Young"))))</f>
        <v>Prime</v>
      </c>
    </row>
    <row r="101" spans="3:3" ht="19.899999999999999" customHeight="1">
      <c r="C101" s="47" t="str">
        <f>IF(Data!B53&gt;=70,"Senior",IF(Data!B53&gt;=60,"Mature",IF(Data!B53&gt;=46,"Prime",IF(Data!B53&gt;=30,"Core","Young"))))</f>
        <v>Mature</v>
      </c>
    </row>
    <row r="102" spans="3:3" ht="19.899999999999999" customHeight="1">
      <c r="C102" s="47" t="str">
        <f>IF(Data!B54&gt;=70,"Senior",IF(Data!B54&gt;=60,"Mature",IF(Data!B54&gt;=46,"Prime",IF(Data!B54&gt;=30,"Core","Young"))))</f>
        <v>Mature</v>
      </c>
    </row>
    <row r="103" spans="3:3" ht="19.899999999999999" customHeight="1">
      <c r="C103" s="47" t="str">
        <f>IF(Data!B55&gt;=70,"Senior",IF(Data!B55&gt;=60,"Mature",IF(Data!B55&gt;=46,"Prime",IF(Data!B55&gt;=30,"Core","Young"))))</f>
        <v>Core</v>
      </c>
    </row>
    <row r="104" spans="3:3" ht="19.899999999999999" customHeight="1">
      <c r="C104" s="47" t="str">
        <f>IF(Data!B56&gt;=70,"Senior",IF(Data!B56&gt;=60,"Mature",IF(Data!B56&gt;=46,"Prime",IF(Data!B56&gt;=30,"Core","Young"))))</f>
        <v>Prime</v>
      </c>
    </row>
    <row r="105" spans="3:3" ht="19.899999999999999" customHeight="1">
      <c r="C105" s="47" t="str">
        <f>IF(Data!B57&gt;=70,"Senior",IF(Data!B57&gt;=60,"Mature",IF(Data!B57&gt;=46,"Prime",IF(Data!B57&gt;=30,"Core","Young"))))</f>
        <v>Prime</v>
      </c>
    </row>
    <row r="106" spans="3:3" ht="19.899999999999999" customHeight="1">
      <c r="C106" s="47" t="str">
        <f>IF(Data!B58&gt;=70,"Senior",IF(Data!B58&gt;=60,"Mature",IF(Data!B58&gt;=46,"Prime",IF(Data!B58&gt;=30,"Core","Young"))))</f>
        <v>Prime</v>
      </c>
    </row>
    <row r="107" spans="3:3" ht="19.899999999999999" customHeight="1">
      <c r="C107" s="47" t="str">
        <f>IF(Data!B59&gt;=70,"Senior",IF(Data!B59&gt;=60,"Mature",IF(Data!B59&gt;=46,"Prime",IF(Data!B59&gt;=30,"Core","Young"))))</f>
        <v>Mature</v>
      </c>
    </row>
    <row r="108" spans="3:3" ht="19.899999999999999" customHeight="1">
      <c r="C108" s="47" t="str">
        <f>IF(Data!B60&gt;=70,"Senior",IF(Data!B60&gt;=60,"Mature",IF(Data!B60&gt;=46,"Prime",IF(Data!B60&gt;=30,"Core","Young"))))</f>
        <v>Young</v>
      </c>
    </row>
    <row r="109" spans="3:3" ht="19.899999999999999" customHeight="1">
      <c r="C109" s="47" t="str">
        <f>IF(Data!B61&gt;=70,"Senior",IF(Data!B61&gt;=60,"Mature",IF(Data!B61&gt;=46,"Prime",IF(Data!B61&gt;=30,"Core","Young"))))</f>
        <v>Core</v>
      </c>
    </row>
    <row r="110" spans="3:3" ht="19.899999999999999" customHeight="1">
      <c r="C110" s="47" t="str">
        <f>IF(Data!B62&gt;=70,"Senior",IF(Data!B62&gt;=60,"Mature",IF(Data!B62&gt;=46,"Prime",IF(Data!B62&gt;=30,"Core","Young"))))</f>
        <v>Mature</v>
      </c>
    </row>
    <row r="111" spans="3:3" ht="19.899999999999999" customHeight="1">
      <c r="C111" s="47" t="str">
        <f>IF(Data!B63&gt;=70,"Senior",IF(Data!B63&gt;=60,"Mature",IF(Data!B63&gt;=46,"Prime",IF(Data!B63&gt;=30,"Core","Young"))))</f>
        <v>Prime</v>
      </c>
    </row>
    <row r="112" spans="3:3" ht="19.899999999999999" customHeight="1">
      <c r="C112" s="47" t="str">
        <f>IF(Data!B64&gt;=70,"Senior",IF(Data!B64&gt;=60,"Mature",IF(Data!B64&gt;=46,"Prime",IF(Data!B64&gt;=30,"Core","Young"))))</f>
        <v>Prime</v>
      </c>
    </row>
    <row r="113" spans="3:3" ht="19.899999999999999" customHeight="1">
      <c r="C113" s="47" t="str">
        <f>IF(Data!B65&gt;=70,"Senior",IF(Data!B65&gt;=60,"Mature",IF(Data!B65&gt;=46,"Prime",IF(Data!B65&gt;=30,"Core","Young"))))</f>
        <v>Prime</v>
      </c>
    </row>
    <row r="114" spans="3:3" ht="19.899999999999999" customHeight="1">
      <c r="C114" s="47" t="str">
        <f>IF(Data!B66&gt;=70,"Senior",IF(Data!B66&gt;=60,"Mature",IF(Data!B66&gt;=46,"Prime",IF(Data!B66&gt;=30,"Core","Young"))))</f>
        <v>Core</v>
      </c>
    </row>
    <row r="115" spans="3:3" ht="19.899999999999999" customHeight="1">
      <c r="C115" s="47" t="str">
        <f>IF(Data!B67&gt;=70,"Senior",IF(Data!B67&gt;=60,"Mature",IF(Data!B67&gt;=46,"Prime",IF(Data!B67&gt;=30,"Core","Young"))))</f>
        <v>Mature</v>
      </c>
    </row>
    <row r="116" spans="3:3" ht="19.899999999999999" customHeight="1">
      <c r="C116" s="47" t="str">
        <f>IF(Data!B68&gt;=70,"Senior",IF(Data!B68&gt;=60,"Mature",IF(Data!B68&gt;=46,"Prime",IF(Data!B68&gt;=30,"Core","Young"))))</f>
        <v>Prime</v>
      </c>
    </row>
    <row r="117" spans="3:3" ht="19.899999999999999" customHeight="1">
      <c r="C117" s="47" t="str">
        <f>IF(Data!B69&gt;=70,"Senior",IF(Data!B69&gt;=60,"Mature",IF(Data!B69&gt;=46,"Prime",IF(Data!B69&gt;=30,"Core","Young"))))</f>
        <v>Core</v>
      </c>
    </row>
    <row r="118" spans="3:3" ht="19.899999999999999" customHeight="1">
      <c r="C118" s="47" t="str">
        <f>IF(Data!B70&gt;=70,"Senior",IF(Data!B70&gt;=60,"Mature",IF(Data!B70&gt;=46,"Prime",IF(Data!B70&gt;=30,"Core","Young"))))</f>
        <v>Mature</v>
      </c>
    </row>
    <row r="119" spans="3:3" ht="19.899999999999999" customHeight="1">
      <c r="C119" s="47" t="str">
        <f>IF(Data!B71&gt;=70,"Senior",IF(Data!B71&gt;=60,"Mature",IF(Data!B71&gt;=46,"Prime",IF(Data!B71&gt;=30,"Core","Young"))))</f>
        <v>Prime</v>
      </c>
    </row>
    <row r="120" spans="3:3" ht="19.899999999999999" customHeight="1">
      <c r="C120" s="47" t="str">
        <f>IF(Data!B72&gt;=70,"Senior",IF(Data!B72&gt;=60,"Mature",IF(Data!B72&gt;=46,"Prime",IF(Data!B72&gt;=30,"Core","Young"))))</f>
        <v>Core</v>
      </c>
    </row>
    <row r="121" spans="3:3" ht="19.899999999999999" customHeight="1">
      <c r="C121" s="47" t="str">
        <f>IF(Data!B73&gt;=70,"Senior",IF(Data!B73&gt;=60,"Mature",IF(Data!B73&gt;=46,"Prime",IF(Data!B73&gt;=30,"Core","Young"))))</f>
        <v>Core</v>
      </c>
    </row>
    <row r="122" spans="3:3" ht="19.899999999999999" customHeight="1">
      <c r="C122" s="47" t="str">
        <f>IF(Data!B74&gt;=70,"Senior",IF(Data!B74&gt;=60,"Mature",IF(Data!B74&gt;=46,"Prime",IF(Data!B74&gt;=30,"Core","Young"))))</f>
        <v>Core</v>
      </c>
    </row>
    <row r="123" spans="3:3" ht="19.899999999999999" customHeight="1">
      <c r="C123" s="47" t="str">
        <f>IF(Data!B75&gt;=70,"Senior",IF(Data!B75&gt;=60,"Mature",IF(Data!B75&gt;=46,"Prime",IF(Data!B75&gt;=30,"Core","Young"))))</f>
        <v>Young</v>
      </c>
    </row>
    <row r="124" spans="3:3" ht="19.899999999999999" customHeight="1">
      <c r="C124" s="47" t="str">
        <f>IF(Data!B76&gt;=70,"Senior",IF(Data!B76&gt;=60,"Mature",IF(Data!B76&gt;=46,"Prime",IF(Data!B76&gt;=30,"Core","Young"))))</f>
        <v>Core</v>
      </c>
    </row>
    <row r="125" spans="3:3" ht="19.899999999999999" customHeight="1">
      <c r="C125" s="47" t="str">
        <f>IF(Data!B77&gt;=70,"Senior",IF(Data!B77&gt;=60,"Mature",IF(Data!B77&gt;=46,"Prime",IF(Data!B77&gt;=30,"Core","Young"))))</f>
        <v>Senior</v>
      </c>
    </row>
    <row r="126" spans="3:3" ht="19.899999999999999" customHeight="1">
      <c r="C126" s="47" t="str">
        <f>IF(Data!B78&gt;=70,"Senior",IF(Data!B78&gt;=60,"Mature",IF(Data!B78&gt;=46,"Prime",IF(Data!B78&gt;=30,"Core","Young"))))</f>
        <v>Prime</v>
      </c>
    </row>
    <row r="127" spans="3:3" ht="19.899999999999999" customHeight="1">
      <c r="C127" s="47" t="str">
        <f>IF(Data!B79&gt;=70,"Senior",IF(Data!B79&gt;=60,"Mature",IF(Data!B79&gt;=46,"Prime",IF(Data!B79&gt;=30,"Core","Young"))))</f>
        <v>Mature</v>
      </c>
    </row>
    <row r="128" spans="3:3" ht="19.899999999999999" customHeight="1">
      <c r="C128" s="47" t="str">
        <f>IF(Data!B80&gt;=70,"Senior",IF(Data!B80&gt;=60,"Mature",IF(Data!B80&gt;=46,"Prime",IF(Data!B80&gt;=30,"Core","Young"))))</f>
        <v>Prime</v>
      </c>
    </row>
    <row r="129" spans="3:3" ht="19.899999999999999" customHeight="1">
      <c r="C129" s="47" t="str">
        <f>IF(Data!B81&gt;=70,"Senior",IF(Data!B81&gt;=60,"Mature",IF(Data!B81&gt;=46,"Prime",IF(Data!B81&gt;=30,"Core","Young"))))</f>
        <v>Prime</v>
      </c>
    </row>
    <row r="130" spans="3:3" ht="19.899999999999999" customHeight="1">
      <c r="C130" s="47" t="str">
        <f>IF(Data!B82&gt;=70,"Senior",IF(Data!B82&gt;=60,"Mature",IF(Data!B82&gt;=46,"Prime",IF(Data!B82&gt;=30,"Core","Young"))))</f>
        <v>Core</v>
      </c>
    </row>
    <row r="131" spans="3:3" ht="19.899999999999999" customHeight="1">
      <c r="C131" s="47" t="str">
        <f>IF(Data!B83&gt;=70,"Senior",IF(Data!B83&gt;=60,"Mature",IF(Data!B83&gt;=46,"Prime",IF(Data!B83&gt;=30,"Core","Young"))))</f>
        <v>Prime</v>
      </c>
    </row>
    <row r="132" spans="3:3" ht="19.899999999999999" customHeight="1">
      <c r="C132" s="47" t="str">
        <f>IF(Data!B84&gt;=70,"Senior",IF(Data!B84&gt;=60,"Mature",IF(Data!B84&gt;=46,"Prime",IF(Data!B84&gt;=30,"Core","Young"))))</f>
        <v>Young</v>
      </c>
    </row>
    <row r="133" spans="3:3" ht="19.899999999999999" customHeight="1">
      <c r="C133" s="47" t="str">
        <f>IF(Data!B85&gt;=70,"Senior",IF(Data!B85&gt;=60,"Mature",IF(Data!B85&gt;=46,"Prime",IF(Data!B85&gt;=30,"Core","Young"))))</f>
        <v>Young</v>
      </c>
    </row>
    <row r="134" spans="3:3" ht="19.899999999999999" customHeight="1">
      <c r="C134" s="47" t="str">
        <f>IF(Data!B86&gt;=70,"Senior",IF(Data!B86&gt;=60,"Mature",IF(Data!B86&gt;=46,"Prime",IF(Data!B86&gt;=30,"Core","Young"))))</f>
        <v>Senior</v>
      </c>
    </row>
    <row r="135" spans="3:3" ht="19.899999999999999" customHeight="1">
      <c r="C135" s="47" t="str">
        <f>IF(Data!B87&gt;=70,"Senior",IF(Data!B87&gt;=60,"Mature",IF(Data!B87&gt;=46,"Prime",IF(Data!B87&gt;=30,"Core","Young"))))</f>
        <v>Mature</v>
      </c>
    </row>
    <row r="136" spans="3:3" ht="19.899999999999999" customHeight="1">
      <c r="C136" s="47" t="str">
        <f>IF(Data!B88&gt;=70,"Senior",IF(Data!B88&gt;=60,"Mature",IF(Data!B88&gt;=46,"Prime",IF(Data!B88&gt;=30,"Core","Young"))))</f>
        <v>Core</v>
      </c>
    </row>
    <row r="137" spans="3:3" ht="19.899999999999999" customHeight="1">
      <c r="C137" s="47" t="str">
        <f>IF(Data!B89&gt;=70,"Senior",IF(Data!B89&gt;=60,"Mature",IF(Data!B89&gt;=46,"Prime",IF(Data!B89&gt;=30,"Core","Young"))))</f>
        <v>Young</v>
      </c>
    </row>
    <row r="138" spans="3:3" ht="19.899999999999999" customHeight="1">
      <c r="C138" s="47" t="str">
        <f>IF(Data!B90&gt;=70,"Senior",IF(Data!B90&gt;=60,"Mature",IF(Data!B90&gt;=46,"Prime",IF(Data!B90&gt;=30,"Core","Young"))))</f>
        <v>Young</v>
      </c>
    </row>
    <row r="139" spans="3:3" ht="19.899999999999999" customHeight="1">
      <c r="C139" s="47" t="str">
        <f>IF(Data!B91&gt;=70,"Senior",IF(Data!B91&gt;=60,"Mature",IF(Data!B91&gt;=46,"Prime",IF(Data!B91&gt;=30,"Core","Young"))))</f>
        <v>Mature</v>
      </c>
    </row>
    <row r="140" spans="3:3" ht="19.899999999999999" customHeight="1">
      <c r="C140" s="47" t="str">
        <f>IF(Data!B92&gt;=70,"Senior",IF(Data!B92&gt;=60,"Mature",IF(Data!B92&gt;=46,"Prime",IF(Data!B92&gt;=30,"Core","Young"))))</f>
        <v>Prime</v>
      </c>
    </row>
    <row r="141" spans="3:3" ht="19.899999999999999" customHeight="1">
      <c r="C141" s="47" t="str">
        <f>IF(Data!B93&gt;=70,"Senior",IF(Data!B93&gt;=60,"Mature",IF(Data!B93&gt;=46,"Prime",IF(Data!B93&gt;=30,"Core","Young"))))</f>
        <v>Mature</v>
      </c>
    </row>
    <row r="142" spans="3:3" ht="19.899999999999999" customHeight="1">
      <c r="C142" s="47" t="str">
        <f>IF(Data!B94&gt;=70,"Senior",IF(Data!B94&gt;=60,"Mature",IF(Data!B94&gt;=46,"Prime",IF(Data!B94&gt;=30,"Core","Young"))))</f>
        <v>Senior</v>
      </c>
    </row>
    <row r="143" spans="3:3" ht="19.899999999999999" customHeight="1">
      <c r="C143" s="47" t="str">
        <f>IF(Data!B95&gt;=70,"Senior",IF(Data!B95&gt;=60,"Mature",IF(Data!B95&gt;=46,"Prime",IF(Data!B95&gt;=30,"Core","Young"))))</f>
        <v>Mature</v>
      </c>
    </row>
    <row r="144" spans="3:3" ht="19.899999999999999" customHeight="1">
      <c r="C144" s="47" t="str">
        <f>IF(Data!B96&gt;=70,"Senior",IF(Data!B96&gt;=60,"Mature",IF(Data!B96&gt;=46,"Prime",IF(Data!B96&gt;=30,"Core","Young"))))</f>
        <v>Senior</v>
      </c>
    </row>
    <row r="145" spans="3:3" ht="19.899999999999999" customHeight="1">
      <c r="C145" s="47" t="str">
        <f>IF(Data!B97&gt;=70,"Senior",IF(Data!B97&gt;=60,"Mature",IF(Data!B97&gt;=46,"Prime",IF(Data!B97&gt;=30,"Core","Young"))))</f>
        <v>Mature</v>
      </c>
    </row>
    <row r="146" spans="3:3" ht="19.899999999999999" customHeight="1">
      <c r="C146" s="47" t="str">
        <f>IF(Data!B98&gt;=70,"Senior",IF(Data!B98&gt;=60,"Mature",IF(Data!B98&gt;=46,"Prime",IF(Data!B98&gt;=30,"Core","Young"))))</f>
        <v>Core</v>
      </c>
    </row>
    <row r="147" spans="3:3" ht="19.899999999999999" customHeight="1">
      <c r="C147" s="47" t="str">
        <f>IF(Data!B99&gt;=70,"Senior",IF(Data!B99&gt;=60,"Mature",IF(Data!B99&gt;=46,"Prime",IF(Data!B99&gt;=30,"Core","Young"))))</f>
        <v>Prime</v>
      </c>
    </row>
    <row r="148" spans="3:3" ht="19.899999999999999" customHeight="1">
      <c r="C148" s="47" t="str">
        <f>IF(Data!B100&gt;=70,"Senior",IF(Data!B100&gt;=60,"Mature",IF(Data!B100&gt;=46,"Prime",IF(Data!B100&gt;=30,"Core","Young"))))</f>
        <v>Prime</v>
      </c>
    </row>
    <row r="149" spans="3:3" ht="19.899999999999999" customHeight="1">
      <c r="C149" s="47" t="str">
        <f>IF(Data!B101&gt;=70,"Senior",IF(Data!B101&gt;=60,"Mature",IF(Data!B101&gt;=46,"Prime",IF(Data!B101&gt;=30,"Core","Young"))))</f>
        <v>Core</v>
      </c>
    </row>
    <row r="150" spans="3:3" ht="19.899999999999999" customHeight="1">
      <c r="C150" s="47" t="str">
        <f>IF(Data!B102&gt;=70,"Senior",IF(Data!B102&gt;=60,"Mature",IF(Data!B102&gt;=46,"Prime",IF(Data!B102&gt;=30,"Core","Young"))))</f>
        <v>Mature</v>
      </c>
    </row>
    <row r="151" spans="3:3" ht="19.899999999999999" customHeight="1">
      <c r="C151" s="47" t="str">
        <f>IF(Data!B103&gt;=70,"Senior",IF(Data!B103&gt;=60,"Mature",IF(Data!B103&gt;=46,"Prime",IF(Data!B103&gt;=30,"Core","Young"))))</f>
        <v>Prime</v>
      </c>
    </row>
    <row r="152" spans="3:3" ht="19.899999999999999" customHeight="1">
      <c r="C152" s="47" t="str">
        <f>IF(Data!B104&gt;=70,"Senior",IF(Data!B104&gt;=60,"Mature",IF(Data!B104&gt;=46,"Prime",IF(Data!B104&gt;=30,"Core","Young"))))</f>
        <v>Mature</v>
      </c>
    </row>
    <row r="153" spans="3:3" ht="19.899999999999999" customHeight="1">
      <c r="C153" s="47" t="str">
        <f>IF(Data!B105&gt;=70,"Senior",IF(Data!B105&gt;=60,"Mature",IF(Data!B105&gt;=46,"Prime",IF(Data!B105&gt;=30,"Core","Young"))))</f>
        <v>Core</v>
      </c>
    </row>
    <row r="154" spans="3:3" ht="19.899999999999999" customHeight="1">
      <c r="C154" s="47" t="str">
        <f>IF(Data!B106&gt;=70,"Senior",IF(Data!B106&gt;=60,"Mature",IF(Data!B106&gt;=46,"Prime",IF(Data!B106&gt;=30,"Core","Young"))))</f>
        <v>Mature</v>
      </c>
    </row>
    <row r="155" spans="3:3" ht="19.899999999999999" customHeight="1">
      <c r="C155" s="47" t="str">
        <f>IF(Data!B107&gt;=70,"Senior",IF(Data!B107&gt;=60,"Mature",IF(Data!B107&gt;=46,"Prime",IF(Data!B107&gt;=30,"Core","Young"))))</f>
        <v>Core</v>
      </c>
    </row>
    <row r="156" spans="3:3" ht="19.899999999999999" customHeight="1">
      <c r="C156" s="47" t="str">
        <f>IF(Data!B108&gt;=70,"Senior",IF(Data!B108&gt;=60,"Mature",IF(Data!B108&gt;=46,"Prime",IF(Data!B108&gt;=30,"Core","Young"))))</f>
        <v>Prime</v>
      </c>
    </row>
    <row r="157" spans="3:3" ht="19.899999999999999" customHeight="1">
      <c r="C157" s="47" t="str">
        <f>IF(Data!B109&gt;=70,"Senior",IF(Data!B109&gt;=60,"Mature",IF(Data!B109&gt;=46,"Prime",IF(Data!B109&gt;=30,"Core","Young"))))</f>
        <v>Mature</v>
      </c>
    </row>
    <row r="158" spans="3:3" ht="19.899999999999999" customHeight="1">
      <c r="C158" s="47" t="str">
        <f>IF(Data!B110&gt;=70,"Senior",IF(Data!B110&gt;=60,"Mature",IF(Data!B110&gt;=46,"Prime",IF(Data!B110&gt;=30,"Core","Young"))))</f>
        <v>Core</v>
      </c>
    </row>
    <row r="159" spans="3:3" ht="19.899999999999999" customHeight="1">
      <c r="C159" s="47" t="str">
        <f>IF(Data!B111&gt;=70,"Senior",IF(Data!B111&gt;=60,"Mature",IF(Data!B111&gt;=46,"Prime",IF(Data!B111&gt;=30,"Core","Young"))))</f>
        <v>Mature</v>
      </c>
    </row>
    <row r="160" spans="3:3" ht="19.899999999999999" customHeight="1">
      <c r="C160" s="47" t="str">
        <f>IF(Data!B112&gt;=70,"Senior",IF(Data!B112&gt;=60,"Mature",IF(Data!B112&gt;=46,"Prime",IF(Data!B112&gt;=30,"Core","Young"))))</f>
        <v>Core</v>
      </c>
    </row>
    <row r="161" spans="3:3" ht="19.899999999999999" customHeight="1">
      <c r="C161" s="47" t="str">
        <f>IF(Data!B113&gt;=70,"Senior",IF(Data!B113&gt;=60,"Mature",IF(Data!B113&gt;=46,"Prime",IF(Data!B113&gt;=30,"Core","Young"))))</f>
        <v>Prime</v>
      </c>
    </row>
    <row r="162" spans="3:3" ht="19.899999999999999" customHeight="1">
      <c r="C162" s="47" t="str">
        <f>IF(Data!B114&gt;=70,"Senior",IF(Data!B114&gt;=60,"Mature",IF(Data!B114&gt;=46,"Prime",IF(Data!B114&gt;=30,"Core","Young"))))</f>
        <v>Young</v>
      </c>
    </row>
    <row r="163" spans="3:3" ht="19.899999999999999" customHeight="1">
      <c r="C163" s="47" t="str">
        <f>IF(Data!B115&gt;=70,"Senior",IF(Data!B115&gt;=60,"Mature",IF(Data!B115&gt;=46,"Prime",IF(Data!B115&gt;=30,"Core","Young"))))</f>
        <v>Mature</v>
      </c>
    </row>
    <row r="164" spans="3:3" ht="19.899999999999999" customHeight="1">
      <c r="C164" s="47" t="str">
        <f>IF(Data!B116&gt;=70,"Senior",IF(Data!B116&gt;=60,"Mature",IF(Data!B116&gt;=46,"Prime",IF(Data!B116&gt;=30,"Core","Young"))))</f>
        <v>Core</v>
      </c>
    </row>
    <row r="165" spans="3:3" ht="19.899999999999999" customHeight="1">
      <c r="C165" s="47" t="str">
        <f>IF(Data!B117&gt;=70,"Senior",IF(Data!B117&gt;=60,"Mature",IF(Data!B117&gt;=46,"Prime",IF(Data!B117&gt;=30,"Core","Young"))))</f>
        <v>Core</v>
      </c>
    </row>
    <row r="166" spans="3:3" ht="19.899999999999999" customHeight="1">
      <c r="C166" s="47" t="str">
        <f>IF(Data!B118&gt;=70,"Senior",IF(Data!B118&gt;=60,"Mature",IF(Data!B118&gt;=46,"Prime",IF(Data!B118&gt;=30,"Core","Young"))))</f>
        <v>Prime</v>
      </c>
    </row>
    <row r="167" spans="3:3" ht="19.899999999999999" customHeight="1">
      <c r="C167" s="47" t="str">
        <f>IF(Data!B119&gt;=70,"Senior",IF(Data!B119&gt;=60,"Mature",IF(Data!B119&gt;=46,"Prime",IF(Data!B119&gt;=30,"Core","Young"))))</f>
        <v>Mature</v>
      </c>
    </row>
    <row r="168" spans="3:3" ht="19.899999999999999" customHeight="1">
      <c r="C168" s="47" t="str">
        <f>IF(Data!B120&gt;=70,"Senior",IF(Data!B120&gt;=60,"Mature",IF(Data!B120&gt;=46,"Prime",IF(Data!B120&gt;=30,"Core","Young"))))</f>
        <v>Mature</v>
      </c>
    </row>
    <row r="169" spans="3:3" ht="19.899999999999999" customHeight="1">
      <c r="C169" s="47" t="str">
        <f>IF(Data!B121&gt;=70,"Senior",IF(Data!B121&gt;=60,"Mature",IF(Data!B121&gt;=46,"Prime",IF(Data!B121&gt;=30,"Core","Young"))))</f>
        <v>Core</v>
      </c>
    </row>
    <row r="170" spans="3:3" ht="19.899999999999999" customHeight="1">
      <c r="C170" s="47" t="str">
        <f>IF(Data!B122&gt;=70,"Senior",IF(Data!B122&gt;=60,"Mature",IF(Data!B122&gt;=46,"Prime",IF(Data!B122&gt;=30,"Core","Young"))))</f>
        <v>Prime</v>
      </c>
    </row>
    <row r="171" spans="3:3" ht="19.899999999999999" customHeight="1">
      <c r="C171" s="47" t="str">
        <f>IF(Data!B123&gt;=70,"Senior",IF(Data!B123&gt;=60,"Mature",IF(Data!B123&gt;=46,"Prime",IF(Data!B123&gt;=30,"Core","Young"))))</f>
        <v>Young</v>
      </c>
    </row>
    <row r="172" spans="3:3" ht="19.899999999999999" customHeight="1">
      <c r="C172" s="47" t="str">
        <f>IF(Data!B124&gt;=70,"Senior",IF(Data!B124&gt;=60,"Mature",IF(Data!B124&gt;=46,"Prime",IF(Data!B124&gt;=30,"Core","Young"))))</f>
        <v>Senior</v>
      </c>
    </row>
    <row r="173" spans="3:3" ht="19.899999999999999" customHeight="1">
      <c r="C173" s="47" t="str">
        <f>IF(Data!B125&gt;=70,"Senior",IF(Data!B125&gt;=60,"Mature",IF(Data!B125&gt;=46,"Prime",IF(Data!B125&gt;=30,"Core","Young"))))</f>
        <v>Core</v>
      </c>
    </row>
    <row r="174" spans="3:3" ht="19.899999999999999" customHeight="1">
      <c r="C174" s="47" t="str">
        <f>IF(Data!B126&gt;=70,"Senior",IF(Data!B126&gt;=60,"Mature",IF(Data!B126&gt;=46,"Prime",IF(Data!B126&gt;=30,"Core","Young"))))</f>
        <v>Mature</v>
      </c>
    </row>
    <row r="175" spans="3:3" ht="19.899999999999999" customHeight="1">
      <c r="C175" s="47" t="str">
        <f>IF(Data!B127&gt;=70,"Senior",IF(Data!B127&gt;=60,"Mature",IF(Data!B127&gt;=46,"Prime",IF(Data!B127&gt;=30,"Core","Young"))))</f>
        <v>Core</v>
      </c>
    </row>
    <row r="176" spans="3:3" ht="19.899999999999999" customHeight="1">
      <c r="C176" s="47" t="str">
        <f>IF(Data!B128&gt;=70,"Senior",IF(Data!B128&gt;=60,"Mature",IF(Data!B128&gt;=46,"Prime",IF(Data!B128&gt;=30,"Core","Young"))))</f>
        <v>Prime</v>
      </c>
    </row>
    <row r="177" spans="3:3" ht="19.899999999999999" customHeight="1">
      <c r="C177" s="47" t="str">
        <f>IF(Data!B129&gt;=70,"Senior",IF(Data!B129&gt;=60,"Mature",IF(Data!B129&gt;=46,"Prime",IF(Data!B129&gt;=30,"Core","Young"))))</f>
        <v>Mature</v>
      </c>
    </row>
    <row r="178" spans="3:3" ht="19.899999999999999" customHeight="1">
      <c r="C178" s="47" t="str">
        <f>IF(Data!B130&gt;=70,"Senior",IF(Data!B130&gt;=60,"Mature",IF(Data!B130&gt;=46,"Prime",IF(Data!B130&gt;=30,"Core","Young"))))</f>
        <v>Core</v>
      </c>
    </row>
    <row r="179" spans="3:3" ht="19.899999999999999" customHeight="1">
      <c r="C179" s="47" t="str">
        <f>IF(Data!B131&gt;=70,"Senior",IF(Data!B131&gt;=60,"Mature",IF(Data!B131&gt;=46,"Prime",IF(Data!B131&gt;=30,"Core","Young"))))</f>
        <v>Mature</v>
      </c>
    </row>
    <row r="180" spans="3:3" ht="19.899999999999999" customHeight="1">
      <c r="C180" s="47" t="str">
        <f>IF(Data!B132&gt;=70,"Senior",IF(Data!B132&gt;=60,"Mature",IF(Data!B132&gt;=46,"Prime",IF(Data!B132&gt;=30,"Core","Young"))))</f>
        <v>Mature</v>
      </c>
    </row>
    <row r="181" spans="3:3" ht="19.899999999999999" customHeight="1">
      <c r="C181" s="47" t="str">
        <f>IF(Data!B133&gt;=70,"Senior",IF(Data!B133&gt;=60,"Mature",IF(Data!B133&gt;=46,"Prime",IF(Data!B133&gt;=30,"Core","Young"))))</f>
        <v>Senior</v>
      </c>
    </row>
    <row r="182" spans="3:3" ht="19.899999999999999" customHeight="1">
      <c r="C182" s="47" t="str">
        <f>IF(Data!B134&gt;=70,"Senior",IF(Data!B134&gt;=60,"Mature",IF(Data!B134&gt;=46,"Prime",IF(Data!B134&gt;=30,"Core","Young"))))</f>
        <v>Mature</v>
      </c>
    </row>
    <row r="183" spans="3:3" ht="19.899999999999999" customHeight="1">
      <c r="C183" s="47" t="str">
        <f>IF(Data!B135&gt;=70,"Senior",IF(Data!B135&gt;=60,"Mature",IF(Data!B135&gt;=46,"Prime",IF(Data!B135&gt;=30,"Core","Young"))))</f>
        <v>Prime</v>
      </c>
    </row>
    <row r="184" spans="3:3" ht="19.899999999999999" customHeight="1">
      <c r="C184" s="47" t="str">
        <f>IF(Data!B136&gt;=70,"Senior",IF(Data!B136&gt;=60,"Mature",IF(Data!B136&gt;=46,"Prime",IF(Data!B136&gt;=30,"Core","Young"))))</f>
        <v>Senior</v>
      </c>
    </row>
    <row r="185" spans="3:3" ht="19.899999999999999" customHeight="1">
      <c r="C185" s="47" t="str">
        <f>IF(Data!B137&gt;=70,"Senior",IF(Data!B137&gt;=60,"Mature",IF(Data!B137&gt;=46,"Prime",IF(Data!B137&gt;=30,"Core","Young"))))</f>
        <v>Young</v>
      </c>
    </row>
    <row r="186" spans="3:3" ht="19.899999999999999" customHeight="1">
      <c r="C186" s="47" t="str">
        <f>IF(Data!B138&gt;=70,"Senior",IF(Data!B138&gt;=60,"Mature",IF(Data!B138&gt;=46,"Prime",IF(Data!B138&gt;=30,"Core","Young"))))</f>
        <v>Prime</v>
      </c>
    </row>
    <row r="187" spans="3:3" ht="19.899999999999999" customHeight="1">
      <c r="C187" s="47" t="str">
        <f>IF(Data!B139&gt;=70,"Senior",IF(Data!B139&gt;=60,"Mature",IF(Data!B139&gt;=46,"Prime",IF(Data!B139&gt;=30,"Core","Young"))))</f>
        <v>Mature</v>
      </c>
    </row>
    <row r="188" spans="3:3" ht="19.899999999999999" customHeight="1">
      <c r="C188" s="47" t="str">
        <f>IF(Data!B140&gt;=70,"Senior",IF(Data!B140&gt;=60,"Mature",IF(Data!B140&gt;=46,"Prime",IF(Data!B140&gt;=30,"Core","Young"))))</f>
        <v>Prime</v>
      </c>
    </row>
    <row r="189" spans="3:3" ht="19.899999999999999" customHeight="1">
      <c r="C189" s="47" t="str">
        <f>IF(Data!B141&gt;=70,"Senior",IF(Data!B141&gt;=60,"Mature",IF(Data!B141&gt;=46,"Prime",IF(Data!B141&gt;=30,"Core","Young"))))</f>
        <v>Mature</v>
      </c>
    </row>
    <row r="190" spans="3:3" ht="19.899999999999999" customHeight="1">
      <c r="C190" s="47" t="str">
        <f>IF(Data!B142&gt;=70,"Senior",IF(Data!B142&gt;=60,"Mature",IF(Data!B142&gt;=46,"Prime",IF(Data!B142&gt;=30,"Core","Young"))))</f>
        <v>Mature</v>
      </c>
    </row>
    <row r="191" spans="3:3" ht="19.899999999999999" customHeight="1">
      <c r="C191" s="47" t="str">
        <f>IF(Data!B143&gt;=70,"Senior",IF(Data!B143&gt;=60,"Mature",IF(Data!B143&gt;=46,"Prime",IF(Data!B143&gt;=30,"Core","Young"))))</f>
        <v>Mature</v>
      </c>
    </row>
    <row r="192" spans="3:3" ht="19.899999999999999" customHeight="1">
      <c r="C192" s="47" t="str">
        <f>IF(Data!B144&gt;=70,"Senior",IF(Data!B144&gt;=60,"Mature",IF(Data!B144&gt;=46,"Prime",IF(Data!B144&gt;=30,"Core","Young"))))</f>
        <v>Prime</v>
      </c>
    </row>
    <row r="193" spans="3:3" ht="19.899999999999999" customHeight="1">
      <c r="C193" s="47" t="str">
        <f>IF(Data!B145&gt;=70,"Senior",IF(Data!B145&gt;=60,"Mature",IF(Data!B145&gt;=46,"Prime",IF(Data!B145&gt;=30,"Core","Young"))))</f>
        <v>Core</v>
      </c>
    </row>
    <row r="194" spans="3:3" ht="19.899999999999999" customHeight="1">
      <c r="C194" s="47" t="str">
        <f>IF(Data!B146&gt;=70,"Senior",IF(Data!B146&gt;=60,"Mature",IF(Data!B146&gt;=46,"Prime",IF(Data!B146&gt;=30,"Core","Young"))))</f>
        <v>Core</v>
      </c>
    </row>
    <row r="195" spans="3:3" ht="19.899999999999999" customHeight="1">
      <c r="C195" s="47" t="str">
        <f>IF(Data!B147&gt;=70,"Senior",IF(Data!B147&gt;=60,"Mature",IF(Data!B147&gt;=46,"Prime",IF(Data!B147&gt;=30,"Core","Young"))))</f>
        <v>Young</v>
      </c>
    </row>
    <row r="196" spans="3:3" ht="19.899999999999999" customHeight="1">
      <c r="C196" s="47" t="str">
        <f>IF(Data!B148&gt;=70,"Senior",IF(Data!B148&gt;=60,"Mature",IF(Data!B148&gt;=46,"Prime",IF(Data!B148&gt;=30,"Core","Young"))))</f>
        <v>Senior</v>
      </c>
    </row>
    <row r="197" spans="3:3" ht="19.899999999999999" customHeight="1">
      <c r="C197" s="47" t="str">
        <f>IF(Data!B149&gt;=70,"Senior",IF(Data!B149&gt;=60,"Mature",IF(Data!B149&gt;=46,"Prime",IF(Data!B149&gt;=30,"Core","Young"))))</f>
        <v>Mature</v>
      </c>
    </row>
    <row r="198" spans="3:3" ht="19.899999999999999" customHeight="1">
      <c r="C198" s="47" t="str">
        <f>IF(Data!B150&gt;=70,"Senior",IF(Data!B150&gt;=60,"Mature",IF(Data!B150&gt;=46,"Prime",IF(Data!B150&gt;=30,"Core","Young"))))</f>
        <v>Core</v>
      </c>
    </row>
    <row r="199" spans="3:3" ht="19.899999999999999" customHeight="1">
      <c r="C199" s="47" t="str">
        <f>IF(Data!B151&gt;=70,"Senior",IF(Data!B151&gt;=60,"Mature",IF(Data!B151&gt;=46,"Prime",IF(Data!B151&gt;=30,"Core","Young"))))</f>
        <v>Senior</v>
      </c>
    </row>
    <row r="200" spans="3:3" ht="19.899999999999999" customHeight="1">
      <c r="C200" s="47" t="str">
        <f>IF(Data!B152&gt;=70,"Senior",IF(Data!B152&gt;=60,"Mature",IF(Data!B152&gt;=46,"Prime",IF(Data!B152&gt;=30,"Core","Young"))))</f>
        <v>Mature</v>
      </c>
    </row>
    <row r="201" spans="3:3" ht="19.899999999999999" customHeight="1">
      <c r="C201" s="47" t="str">
        <f>IF(Data!B153&gt;=70,"Senior",IF(Data!B153&gt;=60,"Mature",IF(Data!B153&gt;=46,"Prime",IF(Data!B153&gt;=30,"Core","Young"))))</f>
        <v>Young</v>
      </c>
    </row>
    <row r="202" spans="3:3" ht="19.899999999999999" customHeight="1">
      <c r="C202" s="47" t="str">
        <f>IF(Data!B154&gt;=70,"Senior",IF(Data!B154&gt;=60,"Mature",IF(Data!B154&gt;=46,"Prime",IF(Data!B154&gt;=30,"Core","Young"))))</f>
        <v>Prime</v>
      </c>
    </row>
    <row r="203" spans="3:3" ht="19.899999999999999" customHeight="1">
      <c r="C203" s="47" t="str">
        <f>IF(Data!B155&gt;=70,"Senior",IF(Data!B155&gt;=60,"Mature",IF(Data!B155&gt;=46,"Prime",IF(Data!B155&gt;=30,"Core","Young"))))</f>
        <v>Prime</v>
      </c>
    </row>
    <row r="204" spans="3:3" ht="19.899999999999999" customHeight="1">
      <c r="C204" s="47" t="str">
        <f>IF(Data!B156&gt;=70,"Senior",IF(Data!B156&gt;=60,"Mature",IF(Data!B156&gt;=46,"Prime",IF(Data!B156&gt;=30,"Core","Young"))))</f>
        <v>Core</v>
      </c>
    </row>
    <row r="205" spans="3:3" ht="19.899999999999999" customHeight="1">
      <c r="C205" s="47" t="str">
        <f>IF(Data!B157&gt;=70,"Senior",IF(Data!B157&gt;=60,"Mature",IF(Data!B157&gt;=46,"Prime",IF(Data!B157&gt;=30,"Core","Young"))))</f>
        <v>Core</v>
      </c>
    </row>
    <row r="206" spans="3:3" ht="19.899999999999999" customHeight="1">
      <c r="C206" s="47" t="str">
        <f>IF(Data!B158&gt;=70,"Senior",IF(Data!B158&gt;=60,"Mature",IF(Data!B158&gt;=46,"Prime",IF(Data!B158&gt;=30,"Core","Young"))))</f>
        <v>Mature</v>
      </c>
    </row>
    <row r="207" spans="3:3" ht="19.899999999999999" customHeight="1">
      <c r="C207" s="47" t="str">
        <f>IF(Data!B159&gt;=70,"Senior",IF(Data!B159&gt;=60,"Mature",IF(Data!B159&gt;=46,"Prime",IF(Data!B159&gt;=30,"Core","Young"))))</f>
        <v>Mature</v>
      </c>
    </row>
    <row r="208" spans="3:3" ht="19.899999999999999" customHeight="1">
      <c r="C208" s="47" t="str">
        <f>IF(Data!B160&gt;=70,"Senior",IF(Data!B160&gt;=60,"Mature",IF(Data!B160&gt;=46,"Prime",IF(Data!B160&gt;=30,"Core","Young"))))</f>
        <v>Young</v>
      </c>
    </row>
    <row r="209" spans="3:3" ht="19.899999999999999" customHeight="1">
      <c r="C209" s="47" t="str">
        <f>IF(Data!B161&gt;=70,"Senior",IF(Data!B161&gt;=60,"Mature",IF(Data!B161&gt;=46,"Prime",IF(Data!B161&gt;=30,"Core","Young"))))</f>
        <v>Young</v>
      </c>
    </row>
    <row r="210" spans="3:3" ht="19.899999999999999" customHeight="1">
      <c r="C210" s="47" t="str">
        <f>IF(Data!B162&gt;=70,"Senior",IF(Data!B162&gt;=60,"Mature",IF(Data!B162&gt;=46,"Prime",IF(Data!B162&gt;=30,"Core","Young"))))</f>
        <v>Prime</v>
      </c>
    </row>
    <row r="211" spans="3:3" ht="19.899999999999999" customHeight="1">
      <c r="C211" s="47" t="str">
        <f>IF(Data!B163&gt;=70,"Senior",IF(Data!B163&gt;=60,"Mature",IF(Data!B163&gt;=46,"Prime",IF(Data!B163&gt;=30,"Core","Young"))))</f>
        <v>Core</v>
      </c>
    </row>
    <row r="212" spans="3:3" ht="19.899999999999999" customHeight="1">
      <c r="C212" s="47" t="str">
        <f>IF(Data!B164&gt;=70,"Senior",IF(Data!B164&gt;=60,"Mature",IF(Data!B164&gt;=46,"Prime",IF(Data!B164&gt;=30,"Core","Young"))))</f>
        <v>Prime</v>
      </c>
    </row>
    <row r="213" spans="3:3" ht="19.899999999999999" customHeight="1">
      <c r="C213" s="47" t="str">
        <f>IF(Data!B165&gt;=70,"Senior",IF(Data!B165&gt;=60,"Mature",IF(Data!B165&gt;=46,"Prime",IF(Data!B165&gt;=30,"Core","Young"))))</f>
        <v>Core</v>
      </c>
    </row>
    <row r="214" spans="3:3" ht="19.899999999999999" customHeight="1">
      <c r="C214" s="47" t="str">
        <f>IF(Data!B166&gt;=70,"Senior",IF(Data!B166&gt;=60,"Mature",IF(Data!B166&gt;=46,"Prime",IF(Data!B166&gt;=30,"Core","Young"))))</f>
        <v>Core</v>
      </c>
    </row>
    <row r="215" spans="3:3" ht="19.899999999999999" customHeight="1">
      <c r="C215" s="47" t="str">
        <f>IF(Data!B167&gt;=70,"Senior",IF(Data!B167&gt;=60,"Mature",IF(Data!B167&gt;=46,"Prime",IF(Data!B167&gt;=30,"Core","Young"))))</f>
        <v>Core</v>
      </c>
    </row>
    <row r="216" spans="3:3" ht="19.899999999999999" customHeight="1">
      <c r="C216" s="47" t="str">
        <f>IF(Data!B168&gt;=70,"Senior",IF(Data!B168&gt;=60,"Mature",IF(Data!B168&gt;=46,"Prime",IF(Data!B168&gt;=30,"Core","Young"))))</f>
        <v>Senior</v>
      </c>
    </row>
    <row r="217" spans="3:3" ht="19.899999999999999" customHeight="1">
      <c r="C217" s="47" t="str">
        <f>IF(Data!B169&gt;=70,"Senior",IF(Data!B169&gt;=60,"Mature",IF(Data!B169&gt;=46,"Prime",IF(Data!B169&gt;=30,"Core","Young"))))</f>
        <v>Core</v>
      </c>
    </row>
    <row r="218" spans="3:3" ht="19.899999999999999" customHeight="1">
      <c r="C218" s="47" t="str">
        <f>IF(Data!B170&gt;=70,"Senior",IF(Data!B170&gt;=60,"Mature",IF(Data!B170&gt;=46,"Prime",IF(Data!B170&gt;=30,"Core","Young"))))</f>
        <v>Mature</v>
      </c>
    </row>
    <row r="219" spans="3:3" ht="19.899999999999999" customHeight="1">
      <c r="C219" s="47" t="str">
        <f>IF(Data!B171&gt;=70,"Senior",IF(Data!B171&gt;=60,"Mature",IF(Data!B171&gt;=46,"Prime",IF(Data!B171&gt;=30,"Core","Young"))))</f>
        <v>Mature</v>
      </c>
    </row>
    <row r="220" spans="3:3" ht="19.899999999999999" customHeight="1">
      <c r="C220" s="47" t="str">
        <f>IF(Data!B172&gt;=70,"Senior",IF(Data!B172&gt;=60,"Mature",IF(Data!B172&gt;=46,"Prime",IF(Data!B172&gt;=30,"Core","Young"))))</f>
        <v>Mature</v>
      </c>
    </row>
    <row r="221" spans="3:3" ht="19.899999999999999" customHeight="1">
      <c r="C221" s="47" t="str">
        <f>IF(Data!B173&gt;=70,"Senior",IF(Data!B173&gt;=60,"Mature",IF(Data!B173&gt;=46,"Prime",IF(Data!B173&gt;=30,"Core","Young"))))</f>
        <v>Prime</v>
      </c>
    </row>
    <row r="222" spans="3:3" ht="19.899999999999999" customHeight="1">
      <c r="C222" s="47" t="str">
        <f>IF(Data!B174&gt;=70,"Senior",IF(Data!B174&gt;=60,"Mature",IF(Data!B174&gt;=46,"Prime",IF(Data!B174&gt;=30,"Core","Young"))))</f>
        <v>Senior</v>
      </c>
    </row>
    <row r="223" spans="3:3" ht="19.899999999999999" customHeight="1">
      <c r="C223" s="47" t="str">
        <f>IF(Data!B175&gt;=70,"Senior",IF(Data!B175&gt;=60,"Mature",IF(Data!B175&gt;=46,"Prime",IF(Data!B175&gt;=30,"Core","Young"))))</f>
        <v>Core</v>
      </c>
    </row>
    <row r="224" spans="3:3" ht="19.899999999999999" customHeight="1">
      <c r="C224" s="47" t="str">
        <f>IF(Data!B176&gt;=70,"Senior",IF(Data!B176&gt;=60,"Mature",IF(Data!B176&gt;=46,"Prime",IF(Data!B176&gt;=30,"Core","Young"))))</f>
        <v>Senior</v>
      </c>
    </row>
    <row r="225" spans="3:3" ht="19.899999999999999" customHeight="1">
      <c r="C225" s="47" t="str">
        <f>IF(Data!B177&gt;=70,"Senior",IF(Data!B177&gt;=60,"Mature",IF(Data!B177&gt;=46,"Prime",IF(Data!B177&gt;=30,"Core","Young"))))</f>
        <v>Core</v>
      </c>
    </row>
    <row r="226" spans="3:3" ht="19.899999999999999" customHeight="1">
      <c r="C226" s="47" t="str">
        <f>IF(Data!B178&gt;=70,"Senior",IF(Data!B178&gt;=60,"Mature",IF(Data!B178&gt;=46,"Prime",IF(Data!B178&gt;=30,"Core","Young"))))</f>
        <v>Prime</v>
      </c>
    </row>
    <row r="227" spans="3:3" ht="19.899999999999999" customHeight="1">
      <c r="C227" s="47" t="str">
        <f>IF(Data!B179&gt;=70,"Senior",IF(Data!B179&gt;=60,"Mature",IF(Data!B179&gt;=46,"Prime",IF(Data!B179&gt;=30,"Core","Young"))))</f>
        <v>Prime</v>
      </c>
    </row>
    <row r="228" spans="3:3" ht="19.899999999999999" customHeight="1">
      <c r="C228" s="47" t="str">
        <f>IF(Data!B180&gt;=70,"Senior",IF(Data!B180&gt;=60,"Mature",IF(Data!B180&gt;=46,"Prime",IF(Data!B180&gt;=30,"Core","Young"))))</f>
        <v>Prime</v>
      </c>
    </row>
    <row r="229" spans="3:3" ht="19.899999999999999" customHeight="1">
      <c r="C229" s="47" t="str">
        <f>IF(Data!B181&gt;=70,"Senior",IF(Data!B181&gt;=60,"Mature",IF(Data!B181&gt;=46,"Prime",IF(Data!B181&gt;=30,"Core","Young"))))</f>
        <v>Prime</v>
      </c>
    </row>
    <row r="230" spans="3:3" ht="19.899999999999999" customHeight="1">
      <c r="C230" s="47" t="str">
        <f>IF(Data!B182&gt;=70,"Senior",IF(Data!B182&gt;=60,"Mature",IF(Data!B182&gt;=46,"Prime",IF(Data!B182&gt;=30,"Core","Young"))))</f>
        <v>Core</v>
      </c>
    </row>
    <row r="231" spans="3:3" ht="19.899999999999999" customHeight="1">
      <c r="C231" s="47" t="str">
        <f>IF(Data!B183&gt;=70,"Senior",IF(Data!B183&gt;=60,"Mature",IF(Data!B183&gt;=46,"Prime",IF(Data!B183&gt;=30,"Core","Young"))))</f>
        <v>Young</v>
      </c>
    </row>
    <row r="232" spans="3:3" ht="19.899999999999999" customHeight="1">
      <c r="C232" s="47" t="str">
        <f>IF(Data!B184&gt;=70,"Senior",IF(Data!B184&gt;=60,"Mature",IF(Data!B184&gt;=46,"Prime",IF(Data!B184&gt;=30,"Core","Young"))))</f>
        <v>Core</v>
      </c>
    </row>
    <row r="233" spans="3:3" ht="19.899999999999999" customHeight="1">
      <c r="C233" s="47" t="str">
        <f>IF(Data!B185&gt;=70,"Senior",IF(Data!B185&gt;=60,"Mature",IF(Data!B185&gt;=46,"Prime",IF(Data!B185&gt;=30,"Core","Young"))))</f>
        <v>Young</v>
      </c>
    </row>
    <row r="234" spans="3:3" ht="19.899999999999999" customHeight="1">
      <c r="C234" s="47" t="str">
        <f>IF(Data!B186&gt;=70,"Senior",IF(Data!B186&gt;=60,"Mature",IF(Data!B186&gt;=46,"Prime",IF(Data!B186&gt;=30,"Core","Young"))))</f>
        <v>Core</v>
      </c>
    </row>
    <row r="235" spans="3:3" ht="19.899999999999999" customHeight="1">
      <c r="C235" s="47" t="str">
        <f>IF(Data!B187&gt;=70,"Senior",IF(Data!B187&gt;=60,"Mature",IF(Data!B187&gt;=46,"Prime",IF(Data!B187&gt;=30,"Core","Young"))))</f>
        <v>Core</v>
      </c>
    </row>
    <row r="236" spans="3:3" ht="19.899999999999999" customHeight="1">
      <c r="C236" s="47" t="str">
        <f>IF(Data!B188&gt;=70,"Senior",IF(Data!B188&gt;=60,"Mature",IF(Data!B188&gt;=46,"Prime",IF(Data!B188&gt;=30,"Core","Young"))))</f>
        <v>Young</v>
      </c>
    </row>
    <row r="237" spans="3:3" ht="19.899999999999999" customHeight="1">
      <c r="C237" s="47" t="str">
        <f>IF(Data!B189&gt;=70,"Senior",IF(Data!B189&gt;=60,"Mature",IF(Data!B189&gt;=46,"Prime",IF(Data!B189&gt;=30,"Core","Young"))))</f>
        <v>Prime</v>
      </c>
    </row>
    <row r="238" spans="3:3" ht="19.899999999999999" customHeight="1">
      <c r="C238" s="47" t="str">
        <f>IF(Data!B190&gt;=70,"Senior",IF(Data!B190&gt;=60,"Mature",IF(Data!B190&gt;=46,"Prime",IF(Data!B190&gt;=30,"Core","Young"))))</f>
        <v>Prime</v>
      </c>
    </row>
    <row r="239" spans="3:3" ht="19.899999999999999" customHeight="1">
      <c r="C239" s="47" t="str">
        <f>IF(Data!B191&gt;=70,"Senior",IF(Data!B191&gt;=60,"Mature",IF(Data!B191&gt;=46,"Prime",IF(Data!B191&gt;=30,"Core","Young"))))</f>
        <v>Senior</v>
      </c>
    </row>
    <row r="240" spans="3:3" ht="19.899999999999999" customHeight="1">
      <c r="C240" s="47" t="str">
        <f>IF(Data!B192&gt;=70,"Senior",IF(Data!B192&gt;=60,"Mature",IF(Data!B192&gt;=46,"Prime",IF(Data!B192&gt;=30,"Core","Young"))))</f>
        <v>Prime</v>
      </c>
    </row>
    <row r="241" spans="3:3" ht="19.899999999999999" customHeight="1">
      <c r="C241" s="47" t="str">
        <f>IF(Data!B193&gt;=70,"Senior",IF(Data!B193&gt;=60,"Mature",IF(Data!B193&gt;=46,"Prime",IF(Data!B193&gt;=30,"Core","Young"))))</f>
        <v>Core</v>
      </c>
    </row>
    <row r="242" spans="3:3" ht="19.899999999999999" customHeight="1">
      <c r="C242" s="47" t="str">
        <f>IF(Data!B194&gt;=70,"Senior",IF(Data!B194&gt;=60,"Mature",IF(Data!B194&gt;=46,"Prime",IF(Data!B194&gt;=30,"Core","Young"))))</f>
        <v>Core</v>
      </c>
    </row>
    <row r="243" spans="3:3" ht="19.899999999999999" customHeight="1">
      <c r="C243" s="47" t="str">
        <f>IF(Data!B195&gt;=70,"Senior",IF(Data!B195&gt;=60,"Mature",IF(Data!B195&gt;=46,"Prime",IF(Data!B195&gt;=30,"Core","Young"))))</f>
        <v>Prime</v>
      </c>
    </row>
    <row r="244" spans="3:3" ht="19.899999999999999" customHeight="1">
      <c r="C244" s="47" t="str">
        <f>IF(Data!B196&gt;=70,"Senior",IF(Data!B196&gt;=60,"Mature",IF(Data!B196&gt;=46,"Prime",IF(Data!B196&gt;=30,"Core","Young"))))</f>
        <v>Core</v>
      </c>
    </row>
    <row r="245" spans="3:3" ht="19.899999999999999" customHeight="1">
      <c r="C245" s="47" t="str">
        <f>IF(Data!B197&gt;=70,"Senior",IF(Data!B197&gt;=60,"Mature",IF(Data!B197&gt;=46,"Prime",IF(Data!B197&gt;=30,"Core","Young"))))</f>
        <v>Prime</v>
      </c>
    </row>
    <row r="246" spans="3:3" ht="19.899999999999999" customHeight="1">
      <c r="C246" s="47" t="str">
        <f>IF(Data!B198&gt;=70,"Senior",IF(Data!B198&gt;=60,"Mature",IF(Data!B198&gt;=46,"Prime",IF(Data!B198&gt;=30,"Core","Young"))))</f>
        <v>Core</v>
      </c>
    </row>
    <row r="247" spans="3:3" ht="19.899999999999999" customHeight="1">
      <c r="C247" s="47" t="str">
        <f>IF(Data!B199&gt;=70,"Senior",IF(Data!B199&gt;=60,"Mature",IF(Data!B199&gt;=46,"Prime",IF(Data!B199&gt;=30,"Core","Young"))))</f>
        <v>Prime</v>
      </c>
    </row>
    <row r="248" spans="3:3" ht="19.899999999999999" customHeight="1">
      <c r="C248" s="47" t="str">
        <f>IF(Data!B200&gt;=70,"Senior",IF(Data!B200&gt;=60,"Mature",IF(Data!B200&gt;=46,"Prime",IF(Data!B200&gt;=30,"Core","Young"))))</f>
        <v>Prime</v>
      </c>
    </row>
    <row r="249" spans="3:3" ht="19.899999999999999" customHeight="1">
      <c r="C249" s="47" t="str">
        <f>IF(Data!B201&gt;=70,"Senior",IF(Data!B201&gt;=60,"Mature",IF(Data!B201&gt;=46,"Prime",IF(Data!B201&gt;=30,"Core","Young"))))</f>
        <v>Mature</v>
      </c>
    </row>
  </sheetData>
  <pageMargins left="0.7" right="0.7" top="0.75" bottom="0.75" header="0.3" footer="0.3"/>
  <pageSetup orientation="portrait" horizontalDpi="300" verticalDpi="30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52"/>
  <sheetViews>
    <sheetView zoomScale="85" zoomScaleNormal="85" workbookViewId="0">
      <selection activeCell="H55" sqref="H55"/>
    </sheetView>
  </sheetViews>
  <sheetFormatPr defaultColWidth="11.7109375" defaultRowHeight="19.899999999999999" customHeight="1"/>
  <cols>
    <col min="1" max="1" width="9" style="37" customWidth="1"/>
    <col min="2" max="2" width="11.7109375" style="29"/>
    <col min="3" max="3" width="18.5703125" style="29" customWidth="1"/>
    <col min="4" max="4" width="11.7109375" style="29"/>
    <col min="5" max="5" width="24.140625" style="29" bestFit="1" customWidth="1"/>
    <col min="6" max="6" width="13.140625" style="29" bestFit="1" customWidth="1"/>
    <col min="7" max="7" width="22.140625" style="29" bestFit="1" customWidth="1"/>
    <col min="8" max="8" width="15.28515625" style="29" bestFit="1" customWidth="1"/>
    <col min="9" max="9" width="11.7109375" style="29"/>
    <col min="10" max="10" width="16.42578125" style="29" bestFit="1" customWidth="1"/>
    <col min="11" max="11" width="15.140625" style="29" bestFit="1" customWidth="1"/>
    <col min="12" max="12" width="13.7109375" style="29" bestFit="1" customWidth="1"/>
    <col min="13" max="13" width="13.85546875" style="29" bestFit="1" customWidth="1"/>
    <col min="14" max="16384" width="11.7109375" style="29"/>
  </cols>
  <sheetData>
    <row r="1" spans="1:26" ht="19.899999999999999" customHeight="1">
      <c r="A1" s="31" t="s">
        <v>77</v>
      </c>
      <c r="C1" s="29" t="s">
        <v>86</v>
      </c>
    </row>
    <row r="2" spans="1:26" ht="19.899999999999999" customHeight="1">
      <c r="B2" s="32"/>
      <c r="C2" s="33"/>
      <c r="D2" s="33"/>
      <c r="E2" s="33"/>
      <c r="F2" s="33"/>
      <c r="G2" s="33"/>
      <c r="H2" s="33"/>
      <c r="I2" s="33"/>
      <c r="J2" s="33"/>
      <c r="K2" s="33"/>
      <c r="L2" s="33"/>
      <c r="M2" s="33"/>
      <c r="N2" s="33"/>
      <c r="O2" s="33"/>
      <c r="P2" s="33"/>
      <c r="Q2" s="33"/>
      <c r="R2" s="33"/>
      <c r="S2" s="33"/>
      <c r="T2" s="33"/>
      <c r="U2" s="33"/>
      <c r="V2" s="33"/>
      <c r="W2" s="33"/>
      <c r="X2" s="33"/>
      <c r="Y2" s="33"/>
      <c r="Z2" s="34"/>
    </row>
    <row r="3" spans="1:26" ht="19.899999999999999" customHeight="1">
      <c r="B3" s="35"/>
      <c r="C3" s="31" t="s">
        <v>87</v>
      </c>
      <c r="Z3" s="36"/>
    </row>
    <row r="4" spans="1:26" ht="19.899999999999999" customHeight="1">
      <c r="B4" s="35"/>
      <c r="C4" s="29" t="s">
        <v>88</v>
      </c>
      <c r="D4" s="87" t="s">
        <v>274</v>
      </c>
      <c r="Z4" s="36"/>
    </row>
    <row r="5" spans="1:26" ht="19.899999999999999" customHeight="1">
      <c r="B5" s="35"/>
      <c r="C5" s="56" t="s">
        <v>89</v>
      </c>
      <c r="D5" s="87" t="s">
        <v>275</v>
      </c>
      <c r="Z5" s="36"/>
    </row>
    <row r="6" spans="1:26" ht="19.899999999999999" customHeight="1">
      <c r="B6" s="35"/>
      <c r="C6" s="29" t="s">
        <v>90</v>
      </c>
      <c r="D6" s="87" t="s">
        <v>276</v>
      </c>
      <c r="Z6" s="36"/>
    </row>
    <row r="7" spans="1:26" ht="19.899999999999999" customHeight="1">
      <c r="B7" s="35"/>
      <c r="C7" s="29" t="s">
        <v>91</v>
      </c>
      <c r="D7" s="87" t="s">
        <v>277</v>
      </c>
      <c r="Z7" s="36"/>
    </row>
    <row r="8" spans="1:26" ht="19.899999999999999" customHeight="1">
      <c r="B8" s="35"/>
      <c r="C8" s="29" t="s">
        <v>92</v>
      </c>
      <c r="D8" s="87" t="s">
        <v>278</v>
      </c>
      <c r="Z8" s="36"/>
    </row>
    <row r="9" spans="1:26" ht="19.899999999999999" customHeight="1">
      <c r="B9" s="35"/>
      <c r="D9" s="37"/>
      <c r="Z9" s="36"/>
    </row>
    <row r="10" spans="1:26" ht="19.899999999999999" customHeight="1">
      <c r="B10" s="35"/>
      <c r="C10" s="31" t="s">
        <v>93</v>
      </c>
      <c r="D10" s="37"/>
      <c r="N10" s="31" t="s">
        <v>94</v>
      </c>
      <c r="Z10" s="36"/>
    </row>
    <row r="11" spans="1:26" ht="19.899999999999999" customHeight="1">
      <c r="B11" s="35"/>
      <c r="C11" s="49" t="s">
        <v>95</v>
      </c>
      <c r="D11" s="37"/>
      <c r="O11" s="49" t="s">
        <v>164</v>
      </c>
      <c r="Z11" s="36"/>
    </row>
    <row r="12" spans="1:26" ht="19.899999999999999" customHeight="1">
      <c r="B12" s="35"/>
      <c r="C12" s="37" t="s">
        <v>96</v>
      </c>
      <c r="D12" s="37"/>
      <c r="O12" s="49" t="s">
        <v>163</v>
      </c>
      <c r="Z12" s="36"/>
    </row>
    <row r="13" spans="1:26" ht="19.899999999999999" customHeight="1">
      <c r="B13" s="38"/>
      <c r="C13" s="39"/>
      <c r="D13" s="39"/>
      <c r="E13" s="39"/>
      <c r="F13" s="39"/>
      <c r="G13" s="39"/>
      <c r="H13" s="39"/>
      <c r="I13" s="39"/>
      <c r="J13" s="39"/>
      <c r="K13" s="39"/>
      <c r="L13" s="39"/>
      <c r="M13" s="39"/>
      <c r="N13" s="39"/>
      <c r="O13" s="39"/>
      <c r="P13" s="39"/>
      <c r="Q13" s="39"/>
      <c r="R13" s="39"/>
      <c r="S13" s="39"/>
      <c r="T13" s="39"/>
      <c r="U13" s="39"/>
      <c r="V13" s="39"/>
      <c r="W13" s="39"/>
      <c r="X13" s="39"/>
      <c r="Y13" s="39"/>
      <c r="Z13" s="40"/>
    </row>
    <row r="14" spans="1:26" ht="19.899999999999999" customHeight="1">
      <c r="B14" s="41"/>
      <c r="C14" s="41"/>
      <c r="D14" s="41"/>
      <c r="E14" s="41"/>
      <c r="F14" s="41"/>
      <c r="G14" s="41"/>
      <c r="H14" s="41"/>
      <c r="I14" s="41"/>
      <c r="J14" s="41"/>
      <c r="K14" s="41"/>
      <c r="L14" s="41"/>
      <c r="M14" s="41"/>
      <c r="N14" s="41"/>
      <c r="O14" s="41"/>
      <c r="P14" s="41"/>
      <c r="Q14" s="41"/>
      <c r="R14" s="41"/>
      <c r="S14" s="41"/>
      <c r="T14" s="41"/>
      <c r="U14" s="41"/>
      <c r="V14" s="41"/>
      <c r="W14" s="41"/>
      <c r="X14" s="41"/>
      <c r="Y14" s="41"/>
      <c r="Z14" s="41"/>
    </row>
    <row r="15" spans="1:26" ht="19.899999999999999" customHeight="1">
      <c r="A15" s="31" t="s">
        <v>84</v>
      </c>
      <c r="C15" s="29" t="s">
        <v>86</v>
      </c>
    </row>
    <row r="16" spans="1:26" ht="19.899999999999999" customHeight="1">
      <c r="B16" s="32"/>
      <c r="C16" s="33"/>
      <c r="D16" s="33"/>
      <c r="E16" s="33"/>
      <c r="F16" s="33"/>
      <c r="G16" s="33"/>
      <c r="H16" s="33"/>
      <c r="I16" s="33"/>
      <c r="J16" s="33"/>
      <c r="K16" s="33"/>
      <c r="L16" s="33"/>
      <c r="M16" s="33"/>
      <c r="N16" s="33"/>
      <c r="O16" s="33"/>
      <c r="P16" s="33"/>
      <c r="Q16" s="33"/>
      <c r="R16" s="33"/>
      <c r="S16" s="33"/>
      <c r="T16" s="33"/>
      <c r="U16" s="33"/>
      <c r="V16" s="33"/>
      <c r="W16" s="33"/>
      <c r="X16" s="33"/>
      <c r="Y16" s="33"/>
      <c r="Z16" s="34"/>
    </row>
    <row r="17" spans="2:26" ht="19.899999999999999" customHeight="1">
      <c r="B17" s="35"/>
      <c r="Z17" s="36"/>
    </row>
    <row r="18" spans="2:26" ht="27.75" customHeight="1">
      <c r="B18" s="35"/>
      <c r="C18" s="107" t="s">
        <v>141</v>
      </c>
      <c r="D18" s="104" t="s">
        <v>147</v>
      </c>
      <c r="E18" s="104" t="s">
        <v>158</v>
      </c>
      <c r="F18" s="104" t="s">
        <v>157</v>
      </c>
      <c r="G18" s="106" t="s">
        <v>126</v>
      </c>
      <c r="H18" s="106" t="s">
        <v>127</v>
      </c>
      <c r="Z18" s="36"/>
    </row>
    <row r="19" spans="2:26" ht="19.899999999999999" customHeight="1">
      <c r="B19" s="35"/>
      <c r="C19" s="100" t="s">
        <v>142</v>
      </c>
      <c r="D19" s="101" t="s">
        <v>148</v>
      </c>
      <c r="E19" s="101">
        <v>18</v>
      </c>
      <c r="F19" s="101">
        <v>0.09</v>
      </c>
      <c r="G19" s="108">
        <v>5.0337960376775334E-2</v>
      </c>
      <c r="H19" s="108">
        <v>0.12966203962322465</v>
      </c>
      <c r="Z19" s="36"/>
    </row>
    <row r="20" spans="2:26" ht="19.899999999999999" customHeight="1">
      <c r="B20" s="35"/>
      <c r="C20" s="109" t="s">
        <v>143</v>
      </c>
      <c r="D20" s="101" t="s">
        <v>149</v>
      </c>
      <c r="E20" s="101">
        <v>44</v>
      </c>
      <c r="F20" s="101">
        <v>0.22</v>
      </c>
      <c r="G20" s="108">
        <v>0.1625894463695432</v>
      </c>
      <c r="H20" s="108">
        <v>0.2774105536304568</v>
      </c>
      <c r="Z20" s="36"/>
    </row>
    <row r="21" spans="2:26" ht="19.899999999999999" customHeight="1">
      <c r="B21" s="35"/>
      <c r="C21" s="100" t="s">
        <v>144</v>
      </c>
      <c r="D21" s="101" t="s">
        <v>138</v>
      </c>
      <c r="E21" s="101">
        <v>39</v>
      </c>
      <c r="F21" s="101">
        <v>0.19500000000000001</v>
      </c>
      <c r="G21" s="108">
        <v>0.14009039253561997</v>
      </c>
      <c r="H21" s="108">
        <v>0.24990960746438004</v>
      </c>
      <c r="Z21" s="36"/>
    </row>
    <row r="22" spans="2:26" ht="19.899999999999999" customHeight="1">
      <c r="B22" s="35"/>
      <c r="C22" s="100" t="s">
        <v>145</v>
      </c>
      <c r="D22" s="101" t="s">
        <v>150</v>
      </c>
      <c r="E22" s="101">
        <v>40</v>
      </c>
      <c r="F22" s="101">
        <v>0.2</v>
      </c>
      <c r="G22" s="108">
        <v>0.14456384702601291</v>
      </c>
      <c r="H22" s="108">
        <v>0.25543615297398714</v>
      </c>
      <c r="Z22" s="36"/>
    </row>
    <row r="23" spans="2:26" ht="19.899999999999999" customHeight="1">
      <c r="B23" s="35"/>
      <c r="C23" s="100" t="s">
        <v>146</v>
      </c>
      <c r="D23" s="101" t="s">
        <v>151</v>
      </c>
      <c r="E23" s="101">
        <v>59</v>
      </c>
      <c r="F23" s="101">
        <v>0.29499999999999998</v>
      </c>
      <c r="G23" s="108">
        <v>0.23179685932511501</v>
      </c>
      <c r="H23" s="108">
        <v>0.35820314067488496</v>
      </c>
      <c r="Z23" s="36"/>
    </row>
    <row r="24" spans="2:26" ht="19.899999999999999" customHeight="1">
      <c r="B24" s="35"/>
      <c r="C24" s="46"/>
      <c r="D24" s="46" t="s">
        <v>118</v>
      </c>
      <c r="E24" s="46">
        <v>200</v>
      </c>
      <c r="F24" s="46"/>
      <c r="G24" s="46"/>
      <c r="H24" s="46"/>
      <c r="Z24" s="36"/>
    </row>
    <row r="25" spans="2:26" ht="19.899999999999999" customHeight="1">
      <c r="B25" s="35"/>
      <c r="Z25" s="36"/>
    </row>
    <row r="26" spans="2:26" ht="19.899999999999999" customHeight="1">
      <c r="B26" s="35"/>
      <c r="Z26" s="36"/>
    </row>
    <row r="27" spans="2:26" ht="19.899999999999999" customHeight="1">
      <c r="B27" s="35"/>
      <c r="Z27" s="36"/>
    </row>
    <row r="28" spans="2:26" ht="19.899999999999999" customHeight="1">
      <c r="B28" s="35"/>
      <c r="Z28" s="36"/>
    </row>
    <row r="29" spans="2:26" ht="19.899999999999999" customHeight="1">
      <c r="B29" s="35"/>
      <c r="Z29" s="36"/>
    </row>
    <row r="30" spans="2:26" ht="19.899999999999999" customHeight="1">
      <c r="B30" s="35"/>
      <c r="Z30" s="36"/>
    </row>
    <row r="31" spans="2:26" ht="19.899999999999999" customHeight="1">
      <c r="B31" s="35"/>
      <c r="Z31" s="36"/>
    </row>
    <row r="32" spans="2:26" ht="19.899999999999999" customHeight="1">
      <c r="B32" s="35"/>
      <c r="C32" s="43" t="s">
        <v>162</v>
      </c>
      <c r="Z32" s="36"/>
    </row>
    <row r="33" spans="2:26" ht="19.899999999999999" customHeight="1">
      <c r="B33" s="35"/>
      <c r="Z33" s="36"/>
    </row>
    <row r="34" spans="2:26" ht="19.899999999999999" customHeight="1">
      <c r="B34" s="35"/>
      <c r="Z34" s="36"/>
    </row>
    <row r="35" spans="2:26" ht="19.899999999999999" customHeight="1">
      <c r="B35" s="35"/>
      <c r="Z35" s="36"/>
    </row>
    <row r="36" spans="2:26" ht="19.899999999999999" customHeight="1">
      <c r="B36" s="35"/>
      <c r="Z36" s="36"/>
    </row>
    <row r="37" spans="2:26" ht="19.899999999999999" customHeight="1">
      <c r="B37" s="35"/>
      <c r="Z37" s="36"/>
    </row>
    <row r="38" spans="2:26" ht="19.899999999999999" customHeight="1">
      <c r="B38" s="35"/>
      <c r="Z38" s="36"/>
    </row>
    <row r="39" spans="2:26" ht="19.899999999999999" customHeight="1">
      <c r="B39" s="35"/>
      <c r="Z39" s="36"/>
    </row>
    <row r="40" spans="2:26" ht="19.899999999999999" customHeight="1">
      <c r="B40" s="35"/>
      <c r="Z40" s="36"/>
    </row>
    <row r="41" spans="2:26" ht="19.899999999999999" customHeight="1">
      <c r="B41" s="35"/>
      <c r="Z41" s="36"/>
    </row>
    <row r="42" spans="2:26" ht="19.899999999999999" customHeight="1">
      <c r="B42" s="35"/>
      <c r="Z42" s="36"/>
    </row>
    <row r="43" spans="2:26" ht="19.899999999999999" customHeight="1">
      <c r="B43" s="35"/>
      <c r="Z43" s="36"/>
    </row>
    <row r="44" spans="2:26" ht="19.899999999999999" customHeight="1">
      <c r="B44" s="35"/>
      <c r="K44" s="37"/>
      <c r="Z44" s="36"/>
    </row>
    <row r="45" spans="2:26" ht="19.899999999999999" customHeight="1">
      <c r="B45" s="35"/>
      <c r="K45" s="37"/>
      <c r="Z45" s="36"/>
    </row>
    <row r="46" spans="2:26" ht="19.899999999999999" customHeight="1">
      <c r="B46" s="35"/>
      <c r="C46" s="37" t="s">
        <v>279</v>
      </c>
      <c r="K46" s="37"/>
      <c r="Z46" s="36"/>
    </row>
    <row r="47" spans="2:26" ht="19.899999999999999" customHeight="1">
      <c r="B47" s="35"/>
      <c r="K47" s="37"/>
      <c r="Z47" s="36"/>
    </row>
    <row r="48" spans="2:26" ht="19.899999999999999" customHeight="1">
      <c r="B48" s="35"/>
      <c r="K48" s="37"/>
      <c r="Z48" s="36"/>
    </row>
    <row r="49" spans="1:26" ht="19.899999999999999" customHeight="1">
      <c r="B49" s="38"/>
      <c r="C49" s="39"/>
      <c r="D49" s="39"/>
      <c r="E49" s="39"/>
      <c r="F49" s="39"/>
      <c r="G49" s="39"/>
      <c r="H49" s="39"/>
      <c r="I49" s="39"/>
      <c r="J49" s="39"/>
      <c r="K49" s="39"/>
      <c r="L49" s="39"/>
      <c r="M49" s="39"/>
      <c r="N49" s="39"/>
      <c r="O49" s="39"/>
      <c r="P49" s="39"/>
      <c r="Q49" s="39"/>
      <c r="R49" s="39"/>
      <c r="S49" s="39"/>
      <c r="T49" s="39"/>
      <c r="U49" s="39"/>
      <c r="V49" s="39"/>
      <c r="W49" s="39"/>
      <c r="X49" s="39"/>
      <c r="Y49" s="39"/>
      <c r="Z49" s="40"/>
    </row>
    <row r="50" spans="1:26" ht="19.899999999999999" customHeight="1">
      <c r="A50" s="31" t="s">
        <v>85</v>
      </c>
      <c r="C50" s="29" t="s">
        <v>86</v>
      </c>
    </row>
    <row r="52" spans="1:26" ht="45.75" customHeight="1">
      <c r="C52" s="57" t="s">
        <v>87</v>
      </c>
      <c r="E52" s="48" t="s">
        <v>165</v>
      </c>
      <c r="F52" s="46"/>
      <c r="G52" s="46"/>
      <c r="H52" s="46"/>
      <c r="I52" s="46"/>
      <c r="J52" s="46"/>
      <c r="K52" s="46"/>
      <c r="L52" s="46"/>
      <c r="M52" s="46"/>
    </row>
    <row r="53" spans="1:26" ht="19.899999999999999" customHeight="1">
      <c r="C53" s="47" t="str">
        <f>IF(Data!O2&gt;=80,"Delighted",IF(Data!O2&gt;=70,"Happy",IF(Data!O2&gt;=60,"Acceptable",IF(Data!O2&gt;=50,"Unimpressed",IF(Data!O2&lt;50,"Unhappy")))))</f>
        <v>Happy</v>
      </c>
      <c r="E53" s="103" t="s">
        <v>141</v>
      </c>
      <c r="F53" s="103" t="s">
        <v>147</v>
      </c>
      <c r="G53" s="103" t="s">
        <v>158</v>
      </c>
      <c r="H53" s="103" t="s">
        <v>157</v>
      </c>
      <c r="I53" s="104" t="s">
        <v>159</v>
      </c>
      <c r="J53" s="103" t="s">
        <v>160</v>
      </c>
      <c r="K53" s="103" t="s">
        <v>161</v>
      </c>
      <c r="L53" s="103" t="s">
        <v>126</v>
      </c>
      <c r="M53" s="103" t="s">
        <v>127</v>
      </c>
    </row>
    <row r="54" spans="1:26" ht="19.899999999999999" customHeight="1">
      <c r="C54" s="47" t="str">
        <f>IF(Data!O3&gt;=80,"Delighted",IF(Data!O3&gt;=70,"Happy",IF(Data!O3&gt;=60,"Acceptable",IF(Data!O3&gt;=50,"Unimpressed",IF(Data!O3&lt;50,"Unhappy")))))</f>
        <v>Unimpressed</v>
      </c>
      <c r="E54" s="100" t="s">
        <v>142</v>
      </c>
      <c r="F54" s="100" t="s">
        <v>148</v>
      </c>
      <c r="G54" s="101">
        <f>COUNTIF(C53:C252,E54)</f>
        <v>18</v>
      </c>
      <c r="H54" s="101">
        <f>G54/200</f>
        <v>0.09</v>
      </c>
      <c r="I54" s="101">
        <v>0.05</v>
      </c>
      <c r="J54" s="101">
        <f>SQRT((H54*(1-H54))/200)</f>
        <v>2.023610634484806E-2</v>
      </c>
      <c r="K54" s="101">
        <f>_xlfn.NORM.S.INV(1-0.025)</f>
        <v>1.9599639845400536</v>
      </c>
      <c r="L54" s="105">
        <f>H54-(K54*J54)</f>
        <v>5.0337960376775334E-2</v>
      </c>
      <c r="M54" s="105">
        <f>H54+(K54*J54)</f>
        <v>0.12966203962322465</v>
      </c>
    </row>
    <row r="55" spans="1:26" ht="19.899999999999999" customHeight="1">
      <c r="C55" s="47" t="str">
        <f>IF(Data!O4&gt;=80,"Delighted",IF(Data!O4&gt;=70,"Happy",IF(Data!O4&gt;=60,"Acceptable",IF(Data!O4&gt;=50,"Unimpressed",IF(Data!O4&lt;50,"Unhappy")))))</f>
        <v>Acceptable</v>
      </c>
      <c r="E55" s="100" t="s">
        <v>143</v>
      </c>
      <c r="F55" s="100" t="s">
        <v>149</v>
      </c>
      <c r="G55" s="101">
        <f>COUNTIF(C53:C252,E55)</f>
        <v>44</v>
      </c>
      <c r="H55" s="101">
        <f t="shared" ref="H55:H58" si="0">G55/200</f>
        <v>0.22</v>
      </c>
      <c r="I55" s="101">
        <v>0.05</v>
      </c>
      <c r="J55" s="101">
        <f>SQRT((H55*(1-H55))/200)</f>
        <v>2.9291637031753619E-2</v>
      </c>
      <c r="K55" s="101">
        <f t="shared" ref="K55:K58" si="1">_xlfn.NORM.S.INV(1-0.025)</f>
        <v>1.9599639845400536</v>
      </c>
      <c r="L55" s="105">
        <f t="shared" ref="L55:L58" si="2">H55-(K55*J55)</f>
        <v>0.1625894463695432</v>
      </c>
      <c r="M55" s="105">
        <f t="shared" ref="M55:M58" si="3">H55+(K55*J55)</f>
        <v>0.2774105536304568</v>
      </c>
    </row>
    <row r="56" spans="1:26" ht="19.899999999999999" customHeight="1">
      <c r="C56" s="47" t="str">
        <f>IF(Data!O5&gt;=80,"Delighted",IF(Data!O5&gt;=70,"Happy",IF(Data!O5&gt;=60,"Acceptable",IF(Data!O5&gt;=50,"Unimpressed",IF(Data!O5&lt;50,"Unhappy")))))</f>
        <v>Happy</v>
      </c>
      <c r="E56" s="100" t="s">
        <v>144</v>
      </c>
      <c r="F56" s="100" t="s">
        <v>138</v>
      </c>
      <c r="G56" s="101">
        <f>COUNTIF(C53:C252,E56)</f>
        <v>39</v>
      </c>
      <c r="H56" s="101">
        <f t="shared" si="0"/>
        <v>0.19500000000000001</v>
      </c>
      <c r="I56" s="101">
        <v>0.05</v>
      </c>
      <c r="J56" s="101">
        <f t="shared" ref="J56:J58" si="4">SQRT((H56*(1-H56))/200)</f>
        <v>2.8015620642777128E-2</v>
      </c>
      <c r="K56" s="101">
        <f t="shared" si="1"/>
        <v>1.9599639845400536</v>
      </c>
      <c r="L56" s="105">
        <f t="shared" si="2"/>
        <v>0.14009039253561997</v>
      </c>
      <c r="M56" s="105">
        <f t="shared" si="3"/>
        <v>0.24990960746438004</v>
      </c>
    </row>
    <row r="57" spans="1:26" ht="19.899999999999999" customHeight="1">
      <c r="C57" s="47" t="str">
        <f>IF(Data!O6&gt;=80,"Delighted",IF(Data!O6&gt;=70,"Happy",IF(Data!O6&gt;=60,"Acceptable",IF(Data!O6&gt;=50,"Unimpressed",IF(Data!O6&lt;50,"Unhappy")))))</f>
        <v>Acceptable</v>
      </c>
      <c r="E57" s="100" t="s">
        <v>145</v>
      </c>
      <c r="F57" s="100" t="s">
        <v>150</v>
      </c>
      <c r="G57" s="101">
        <f>COUNTIF(C53:C252,E57)</f>
        <v>40</v>
      </c>
      <c r="H57" s="101">
        <f t="shared" si="0"/>
        <v>0.2</v>
      </c>
      <c r="I57" s="101">
        <v>0.05</v>
      </c>
      <c r="J57" s="101">
        <f t="shared" si="4"/>
        <v>2.8284271247461905E-2</v>
      </c>
      <c r="K57" s="101">
        <f t="shared" si="1"/>
        <v>1.9599639845400536</v>
      </c>
      <c r="L57" s="105">
        <f t="shared" si="2"/>
        <v>0.14456384702601291</v>
      </c>
      <c r="M57" s="105">
        <f t="shared" si="3"/>
        <v>0.25543615297398714</v>
      </c>
    </row>
    <row r="58" spans="1:26" ht="19.899999999999999" customHeight="1">
      <c r="C58" s="47" t="str">
        <f>IF(Data!O7&gt;=80,"Delighted",IF(Data!O7&gt;=70,"Happy",IF(Data!O7&gt;=60,"Acceptable",IF(Data!O7&gt;=50,"Unimpressed",IF(Data!O7&lt;50,"Unhappy")))))</f>
        <v>Unimpressed</v>
      </c>
      <c r="E58" s="100" t="s">
        <v>146</v>
      </c>
      <c r="F58" s="100" t="s">
        <v>151</v>
      </c>
      <c r="G58" s="101">
        <f>COUNTIF(C53:C252,E58)</f>
        <v>59</v>
      </c>
      <c r="H58" s="101">
        <f t="shared" si="0"/>
        <v>0.29499999999999998</v>
      </c>
      <c r="I58" s="101">
        <v>0.05</v>
      </c>
      <c r="J58" s="101">
        <f t="shared" si="4"/>
        <v>3.2247092892228282E-2</v>
      </c>
      <c r="K58" s="101">
        <f t="shared" si="1"/>
        <v>1.9599639845400536</v>
      </c>
      <c r="L58" s="105">
        <f t="shared" si="2"/>
        <v>0.23179685932511501</v>
      </c>
      <c r="M58" s="105">
        <f t="shared" si="3"/>
        <v>0.35820314067488496</v>
      </c>
    </row>
    <row r="59" spans="1:26" ht="19.899999999999999" customHeight="1">
      <c r="C59" s="47" t="str">
        <f>IF(Data!O8&gt;=80,"Delighted",IF(Data!O8&gt;=70,"Happy",IF(Data!O8&gt;=60,"Acceptable",IF(Data!O8&gt;=50,"Unimpressed",IF(Data!O8&lt;50,"Unhappy")))))</f>
        <v>Unimpressed</v>
      </c>
      <c r="E59" s="46"/>
      <c r="F59" s="48" t="s">
        <v>118</v>
      </c>
      <c r="G59" s="46">
        <f>SUM(G54:G58)</f>
        <v>200</v>
      </c>
      <c r="H59" s="46">
        <f>SUM(H54:H58)</f>
        <v>1</v>
      </c>
      <c r="I59" s="46"/>
      <c r="J59" s="46"/>
      <c r="K59" s="46"/>
      <c r="L59" s="46"/>
      <c r="M59" s="46"/>
    </row>
    <row r="60" spans="1:26" ht="19.899999999999999" customHeight="1">
      <c r="C60" s="47" t="str">
        <f>IF(Data!O9&gt;=80,"Delighted",IF(Data!O9&gt;=70,"Happy",IF(Data!O9&gt;=60,"Acceptable",IF(Data!O9&gt;=50,"Unimpressed",IF(Data!O9&lt;50,"Unhappy")))))</f>
        <v>Delighted</v>
      </c>
    </row>
    <row r="61" spans="1:26" ht="19.899999999999999" customHeight="1">
      <c r="C61" s="47" t="str">
        <f>IF(Data!O10&gt;=80,"Delighted",IF(Data!O10&gt;=70,"Happy",IF(Data!O10&gt;=60,"Acceptable",IF(Data!O10&gt;=50,"Unimpressed",IF(Data!O10&lt;50,"Unhappy")))))</f>
        <v>Delighted</v>
      </c>
    </row>
    <row r="62" spans="1:26" ht="19.899999999999999" customHeight="1">
      <c r="C62" s="47" t="str">
        <f>IF(Data!O11&gt;=80,"Delighted",IF(Data!O11&gt;=70,"Happy",IF(Data!O11&gt;=60,"Acceptable",IF(Data!O11&gt;=50,"Unimpressed",IF(Data!O11&lt;50,"Unhappy")))))</f>
        <v>Unhappy</v>
      </c>
    </row>
    <row r="63" spans="1:26" ht="19.899999999999999" customHeight="1">
      <c r="C63" s="47" t="str">
        <f>IF(Data!O12&gt;=80,"Delighted",IF(Data!O12&gt;=70,"Happy",IF(Data!O12&gt;=60,"Acceptable",IF(Data!O12&gt;=50,"Unimpressed",IF(Data!O12&lt;50,"Unhappy")))))</f>
        <v>Delighted</v>
      </c>
    </row>
    <row r="64" spans="1:26" ht="19.899999999999999" customHeight="1">
      <c r="C64" s="47" t="str">
        <f>IF(Data!O13&gt;=80,"Delighted",IF(Data!O13&gt;=70,"Happy",IF(Data!O13&gt;=60,"Acceptable",IF(Data!O13&gt;=50,"Unimpressed",IF(Data!O13&lt;50,"Unhappy")))))</f>
        <v>Acceptable</v>
      </c>
    </row>
    <row r="65" spans="3:3" ht="19.899999999999999" customHeight="1">
      <c r="C65" s="47" t="str">
        <f>IF(Data!O14&gt;=80,"Delighted",IF(Data!O14&gt;=70,"Happy",IF(Data!O14&gt;=60,"Acceptable",IF(Data!O14&gt;=50,"Unimpressed",IF(Data!O14&lt;50,"Unhappy")))))</f>
        <v>Delighted</v>
      </c>
    </row>
    <row r="66" spans="3:3" ht="19.899999999999999" customHeight="1">
      <c r="C66" s="47" t="str">
        <f>IF(Data!O15&gt;=80,"Delighted",IF(Data!O15&gt;=70,"Happy",IF(Data!O15&gt;=60,"Acceptable",IF(Data!O15&gt;=50,"Unimpressed",IF(Data!O15&lt;50,"Unhappy")))))</f>
        <v>Unhappy</v>
      </c>
    </row>
    <row r="67" spans="3:3" ht="19.899999999999999" customHeight="1">
      <c r="C67" s="47" t="str">
        <f>IF(Data!O16&gt;=80,"Delighted",IF(Data!O16&gt;=70,"Happy",IF(Data!O16&gt;=60,"Acceptable",IF(Data!O16&gt;=50,"Unimpressed",IF(Data!O16&lt;50,"Unhappy")))))</f>
        <v>Happy</v>
      </c>
    </row>
    <row r="68" spans="3:3" ht="19.899999999999999" customHeight="1">
      <c r="C68" s="47" t="str">
        <f>IF(Data!O17&gt;=80,"Delighted",IF(Data!O17&gt;=70,"Happy",IF(Data!O17&gt;=60,"Acceptable",IF(Data!O17&gt;=50,"Unimpressed",IF(Data!O17&lt;50,"Unhappy")))))</f>
        <v>Acceptable</v>
      </c>
    </row>
    <row r="69" spans="3:3" ht="19.899999999999999" customHeight="1">
      <c r="C69" s="47" t="str">
        <f>IF(Data!O18&gt;=80,"Delighted",IF(Data!O18&gt;=70,"Happy",IF(Data!O18&gt;=60,"Acceptable",IF(Data!O18&gt;=50,"Unimpressed",IF(Data!O18&lt;50,"Unhappy")))))</f>
        <v>Happy</v>
      </c>
    </row>
    <row r="70" spans="3:3" ht="19.899999999999999" customHeight="1">
      <c r="C70" s="47" t="str">
        <f>IF(Data!O19&gt;=80,"Delighted",IF(Data!O19&gt;=70,"Happy",IF(Data!O19&gt;=60,"Acceptable",IF(Data!O19&gt;=50,"Unimpressed",IF(Data!O19&lt;50,"Unhappy")))))</f>
        <v>Unimpressed</v>
      </c>
    </row>
    <row r="71" spans="3:3" ht="19.899999999999999" customHeight="1">
      <c r="C71" s="47" t="str">
        <f>IF(Data!O20&gt;=80,"Delighted",IF(Data!O20&gt;=70,"Happy",IF(Data!O20&gt;=60,"Acceptable",IF(Data!O20&gt;=50,"Unimpressed",IF(Data!O20&lt;50,"Unhappy")))))</f>
        <v>Happy</v>
      </c>
    </row>
    <row r="72" spans="3:3" ht="19.899999999999999" customHeight="1">
      <c r="C72" s="47" t="str">
        <f>IF(Data!O21&gt;=80,"Delighted",IF(Data!O21&gt;=70,"Happy",IF(Data!O21&gt;=60,"Acceptable",IF(Data!O21&gt;=50,"Unimpressed",IF(Data!O21&lt;50,"Unhappy")))))</f>
        <v>Delighted</v>
      </c>
    </row>
    <row r="73" spans="3:3" ht="19.899999999999999" customHeight="1">
      <c r="C73" s="47" t="str">
        <f>IF(Data!O22&gt;=80,"Delighted",IF(Data!O22&gt;=70,"Happy",IF(Data!O22&gt;=60,"Acceptable",IF(Data!O22&gt;=50,"Unimpressed",IF(Data!O22&lt;50,"Unhappy")))))</f>
        <v>Delighted</v>
      </c>
    </row>
    <row r="74" spans="3:3" ht="19.899999999999999" customHeight="1">
      <c r="C74" s="47" t="str">
        <f>IF(Data!O23&gt;=80,"Delighted",IF(Data!O23&gt;=70,"Happy",IF(Data!O23&gt;=60,"Acceptable",IF(Data!O23&gt;=50,"Unimpressed",IF(Data!O23&lt;50,"Unhappy")))))</f>
        <v>Unhappy</v>
      </c>
    </row>
    <row r="75" spans="3:3" ht="19.899999999999999" customHeight="1">
      <c r="C75" s="47" t="str">
        <f>IF(Data!O24&gt;=80,"Delighted",IF(Data!O24&gt;=70,"Happy",IF(Data!O24&gt;=60,"Acceptable",IF(Data!O24&gt;=50,"Unimpressed",IF(Data!O24&lt;50,"Unhappy")))))</f>
        <v>Unimpressed</v>
      </c>
    </row>
    <row r="76" spans="3:3" ht="19.899999999999999" customHeight="1">
      <c r="C76" s="47" t="str">
        <f>IF(Data!O25&gt;=80,"Delighted",IF(Data!O25&gt;=70,"Happy",IF(Data!O25&gt;=60,"Acceptable",IF(Data!O25&gt;=50,"Unimpressed",IF(Data!O25&lt;50,"Unhappy")))))</f>
        <v>Unimpressed</v>
      </c>
    </row>
    <row r="77" spans="3:3" ht="19.899999999999999" customHeight="1">
      <c r="C77" s="47" t="str">
        <f>IF(Data!O26&gt;=80,"Delighted",IF(Data!O26&gt;=70,"Happy",IF(Data!O26&gt;=60,"Acceptable",IF(Data!O26&gt;=50,"Unimpressed",IF(Data!O26&lt;50,"Unhappy")))))</f>
        <v>Unimpressed</v>
      </c>
    </row>
    <row r="78" spans="3:3" ht="19.899999999999999" customHeight="1">
      <c r="C78" s="47" t="str">
        <f>IF(Data!O27&gt;=80,"Delighted",IF(Data!O27&gt;=70,"Happy",IF(Data!O27&gt;=60,"Acceptable",IF(Data!O27&gt;=50,"Unimpressed",IF(Data!O27&lt;50,"Unhappy")))))</f>
        <v>Acceptable</v>
      </c>
    </row>
    <row r="79" spans="3:3" ht="19.899999999999999" customHeight="1">
      <c r="C79" s="47" t="str">
        <f>IF(Data!O28&gt;=80,"Delighted",IF(Data!O28&gt;=70,"Happy",IF(Data!O28&gt;=60,"Acceptable",IF(Data!O28&gt;=50,"Unimpressed",IF(Data!O28&lt;50,"Unhappy")))))</f>
        <v>Unimpressed</v>
      </c>
    </row>
    <row r="80" spans="3:3" ht="19.899999999999999" customHeight="1">
      <c r="C80" s="47" t="str">
        <f>IF(Data!O29&gt;=80,"Delighted",IF(Data!O29&gt;=70,"Happy",IF(Data!O29&gt;=60,"Acceptable",IF(Data!O29&gt;=50,"Unimpressed",IF(Data!O29&lt;50,"Unhappy")))))</f>
        <v>Happy</v>
      </c>
    </row>
    <row r="81" spans="3:3" ht="19.899999999999999" customHeight="1">
      <c r="C81" s="47" t="str">
        <f>IF(Data!O30&gt;=80,"Delighted",IF(Data!O30&gt;=70,"Happy",IF(Data!O30&gt;=60,"Acceptable",IF(Data!O30&gt;=50,"Unimpressed",IF(Data!O30&lt;50,"Unhappy")))))</f>
        <v>Happy</v>
      </c>
    </row>
    <row r="82" spans="3:3" ht="19.899999999999999" customHeight="1">
      <c r="C82" s="47" t="str">
        <f>IF(Data!O31&gt;=80,"Delighted",IF(Data!O31&gt;=70,"Happy",IF(Data!O31&gt;=60,"Acceptable",IF(Data!O31&gt;=50,"Unimpressed",IF(Data!O31&lt;50,"Unhappy")))))</f>
        <v>Delighted</v>
      </c>
    </row>
    <row r="83" spans="3:3" ht="19.899999999999999" customHeight="1">
      <c r="C83" s="47" t="str">
        <f>IF(Data!O32&gt;=80,"Delighted",IF(Data!O32&gt;=70,"Happy",IF(Data!O32&gt;=60,"Acceptable",IF(Data!O32&gt;=50,"Unimpressed",IF(Data!O32&lt;50,"Unhappy")))))</f>
        <v>Unimpressed</v>
      </c>
    </row>
    <row r="84" spans="3:3" ht="19.899999999999999" customHeight="1">
      <c r="C84" s="47" t="str">
        <f>IF(Data!O33&gt;=80,"Delighted",IF(Data!O33&gt;=70,"Happy",IF(Data!O33&gt;=60,"Acceptable",IF(Data!O33&gt;=50,"Unimpressed",IF(Data!O33&lt;50,"Unhappy")))))</f>
        <v>Unimpressed</v>
      </c>
    </row>
    <row r="85" spans="3:3" ht="19.899999999999999" customHeight="1">
      <c r="C85" s="47" t="str">
        <f>IF(Data!O34&gt;=80,"Delighted",IF(Data!O34&gt;=70,"Happy",IF(Data!O34&gt;=60,"Acceptable",IF(Data!O34&gt;=50,"Unimpressed",IF(Data!O34&lt;50,"Unhappy")))))</f>
        <v>Happy</v>
      </c>
    </row>
    <row r="86" spans="3:3" ht="19.899999999999999" customHeight="1">
      <c r="C86" s="47" t="str">
        <f>IF(Data!O35&gt;=80,"Delighted",IF(Data!O35&gt;=70,"Happy",IF(Data!O35&gt;=60,"Acceptable",IF(Data!O35&gt;=50,"Unimpressed",IF(Data!O35&lt;50,"Unhappy")))))</f>
        <v>Unhappy</v>
      </c>
    </row>
    <row r="87" spans="3:3" ht="19.899999999999999" customHeight="1">
      <c r="C87" s="47" t="str">
        <f>IF(Data!O36&gt;=80,"Delighted",IF(Data!O36&gt;=70,"Happy",IF(Data!O36&gt;=60,"Acceptable",IF(Data!O36&gt;=50,"Unimpressed",IF(Data!O36&lt;50,"Unhappy")))))</f>
        <v>Delighted</v>
      </c>
    </row>
    <row r="88" spans="3:3" ht="19.899999999999999" customHeight="1">
      <c r="C88" s="47" t="str">
        <f>IF(Data!O37&gt;=80,"Delighted",IF(Data!O37&gt;=70,"Happy",IF(Data!O37&gt;=60,"Acceptable",IF(Data!O37&gt;=50,"Unimpressed",IF(Data!O37&lt;50,"Unhappy")))))</f>
        <v>Unhappy</v>
      </c>
    </row>
    <row r="89" spans="3:3" ht="19.899999999999999" customHeight="1">
      <c r="C89" s="47" t="str">
        <f>IF(Data!O38&gt;=80,"Delighted",IF(Data!O38&gt;=70,"Happy",IF(Data!O38&gt;=60,"Acceptable",IF(Data!O38&gt;=50,"Unimpressed",IF(Data!O38&lt;50,"Unhappy")))))</f>
        <v>Unhappy</v>
      </c>
    </row>
    <row r="90" spans="3:3" ht="19.899999999999999" customHeight="1">
      <c r="C90" s="47" t="str">
        <f>IF(Data!O39&gt;=80,"Delighted",IF(Data!O39&gt;=70,"Happy",IF(Data!O39&gt;=60,"Acceptable",IF(Data!O39&gt;=50,"Unimpressed",IF(Data!O39&lt;50,"Unhappy")))))</f>
        <v>Unimpressed</v>
      </c>
    </row>
    <row r="91" spans="3:3" ht="19.899999999999999" customHeight="1">
      <c r="C91" s="47" t="str">
        <f>IF(Data!O40&gt;=80,"Delighted",IF(Data!O40&gt;=70,"Happy",IF(Data!O40&gt;=60,"Acceptable",IF(Data!O40&gt;=50,"Unimpressed",IF(Data!O40&lt;50,"Unhappy")))))</f>
        <v>Acceptable</v>
      </c>
    </row>
    <row r="92" spans="3:3" ht="19.899999999999999" customHeight="1">
      <c r="C92" s="47" t="str">
        <f>IF(Data!O41&gt;=80,"Delighted",IF(Data!O41&gt;=70,"Happy",IF(Data!O41&gt;=60,"Acceptable",IF(Data!O41&gt;=50,"Unimpressed",IF(Data!O41&lt;50,"Unhappy")))))</f>
        <v>Happy</v>
      </c>
    </row>
    <row r="93" spans="3:3" ht="19.899999999999999" customHeight="1">
      <c r="C93" s="47" t="str">
        <f>IF(Data!O42&gt;=80,"Delighted",IF(Data!O42&gt;=70,"Happy",IF(Data!O42&gt;=60,"Acceptable",IF(Data!O42&gt;=50,"Unimpressed",IF(Data!O42&lt;50,"Unhappy")))))</f>
        <v>Delighted</v>
      </c>
    </row>
    <row r="94" spans="3:3" ht="19.899999999999999" customHeight="1">
      <c r="C94" s="47" t="str">
        <f>IF(Data!O43&gt;=80,"Delighted",IF(Data!O43&gt;=70,"Happy",IF(Data!O43&gt;=60,"Acceptable",IF(Data!O43&gt;=50,"Unimpressed",IF(Data!O43&lt;50,"Unhappy")))))</f>
        <v>Happy</v>
      </c>
    </row>
    <row r="95" spans="3:3" ht="19.899999999999999" customHeight="1">
      <c r="C95" s="47" t="str">
        <f>IF(Data!O44&gt;=80,"Delighted",IF(Data!O44&gt;=70,"Happy",IF(Data!O44&gt;=60,"Acceptable",IF(Data!O44&gt;=50,"Unimpressed",IF(Data!O44&lt;50,"Unhappy")))))</f>
        <v>Delighted</v>
      </c>
    </row>
    <row r="96" spans="3:3" ht="19.899999999999999" customHeight="1">
      <c r="C96" s="47" t="str">
        <f>IF(Data!O45&gt;=80,"Delighted",IF(Data!O45&gt;=70,"Happy",IF(Data!O45&gt;=60,"Acceptable",IF(Data!O45&gt;=50,"Unimpressed",IF(Data!O45&lt;50,"Unhappy")))))</f>
        <v>Acceptable</v>
      </c>
    </row>
    <row r="97" spans="3:3" ht="19.899999999999999" customHeight="1">
      <c r="C97" s="47" t="str">
        <f>IF(Data!O46&gt;=80,"Delighted",IF(Data!O46&gt;=70,"Happy",IF(Data!O46&gt;=60,"Acceptable",IF(Data!O46&gt;=50,"Unimpressed",IF(Data!O46&lt;50,"Unhappy")))))</f>
        <v>Happy</v>
      </c>
    </row>
    <row r="98" spans="3:3" ht="19.899999999999999" customHeight="1">
      <c r="C98" s="47" t="str">
        <f>IF(Data!O47&gt;=80,"Delighted",IF(Data!O47&gt;=70,"Happy",IF(Data!O47&gt;=60,"Acceptable",IF(Data!O47&gt;=50,"Unimpressed",IF(Data!O47&lt;50,"Unhappy")))))</f>
        <v>Acceptable</v>
      </c>
    </row>
    <row r="99" spans="3:3" ht="19.899999999999999" customHeight="1">
      <c r="C99" s="47" t="str">
        <f>IF(Data!O48&gt;=80,"Delighted",IF(Data!O48&gt;=70,"Happy",IF(Data!O48&gt;=60,"Acceptable",IF(Data!O48&gt;=50,"Unimpressed",IF(Data!O48&lt;50,"Unhappy")))))</f>
        <v>Delighted</v>
      </c>
    </row>
    <row r="100" spans="3:3" ht="19.899999999999999" customHeight="1">
      <c r="C100" s="47" t="str">
        <f>IF(Data!O49&gt;=80,"Delighted",IF(Data!O49&gt;=70,"Happy",IF(Data!O49&gt;=60,"Acceptable",IF(Data!O49&gt;=50,"Unimpressed",IF(Data!O49&lt;50,"Unhappy")))))</f>
        <v>Delighted</v>
      </c>
    </row>
    <row r="101" spans="3:3" ht="19.899999999999999" customHeight="1">
      <c r="C101" s="47" t="str">
        <f>IF(Data!O50&gt;=80,"Delighted",IF(Data!O50&gt;=70,"Happy",IF(Data!O50&gt;=60,"Acceptable",IF(Data!O50&gt;=50,"Unimpressed",IF(Data!O50&lt;50,"Unhappy")))))</f>
        <v>Unimpressed</v>
      </c>
    </row>
    <row r="102" spans="3:3" ht="19.899999999999999" customHeight="1">
      <c r="C102" s="47" t="str">
        <f>IF(Data!O51&gt;=80,"Delighted",IF(Data!O51&gt;=70,"Happy",IF(Data!O51&gt;=60,"Acceptable",IF(Data!O51&gt;=50,"Unimpressed",IF(Data!O51&lt;50,"Unhappy")))))</f>
        <v>Happy</v>
      </c>
    </row>
    <row r="103" spans="3:3" ht="19.899999999999999" customHeight="1">
      <c r="C103" s="47" t="str">
        <f>IF(Data!O52&gt;=80,"Delighted",IF(Data!O52&gt;=70,"Happy",IF(Data!O52&gt;=60,"Acceptable",IF(Data!O52&gt;=50,"Unimpressed",IF(Data!O52&lt;50,"Unhappy")))))</f>
        <v>Happy</v>
      </c>
    </row>
    <row r="104" spans="3:3" ht="19.899999999999999" customHeight="1">
      <c r="C104" s="47" t="str">
        <f>IF(Data!O53&gt;=80,"Delighted",IF(Data!O53&gt;=70,"Happy",IF(Data!O53&gt;=60,"Acceptable",IF(Data!O53&gt;=50,"Unimpressed",IF(Data!O53&lt;50,"Unhappy")))))</f>
        <v>Delighted</v>
      </c>
    </row>
    <row r="105" spans="3:3" ht="19.899999999999999" customHeight="1">
      <c r="C105" s="47" t="str">
        <f>IF(Data!O54&gt;=80,"Delighted",IF(Data!O54&gt;=70,"Happy",IF(Data!O54&gt;=60,"Acceptable",IF(Data!O54&gt;=50,"Unimpressed",IF(Data!O54&lt;50,"Unhappy")))))</f>
        <v>Acceptable</v>
      </c>
    </row>
    <row r="106" spans="3:3" ht="19.899999999999999" customHeight="1">
      <c r="C106" s="47" t="str">
        <f>IF(Data!O55&gt;=80,"Delighted",IF(Data!O55&gt;=70,"Happy",IF(Data!O55&gt;=60,"Acceptable",IF(Data!O55&gt;=50,"Unimpressed",IF(Data!O55&lt;50,"Unhappy")))))</f>
        <v>Happy</v>
      </c>
    </row>
    <row r="107" spans="3:3" ht="19.899999999999999" customHeight="1">
      <c r="C107" s="47" t="str">
        <f>IF(Data!O56&gt;=80,"Delighted",IF(Data!O56&gt;=70,"Happy",IF(Data!O56&gt;=60,"Acceptable",IF(Data!O56&gt;=50,"Unimpressed",IF(Data!O56&lt;50,"Unhappy")))))</f>
        <v>Acceptable</v>
      </c>
    </row>
    <row r="108" spans="3:3" ht="19.899999999999999" customHeight="1">
      <c r="C108" s="47" t="str">
        <f>IF(Data!O57&gt;=80,"Delighted",IF(Data!O57&gt;=70,"Happy",IF(Data!O57&gt;=60,"Acceptable",IF(Data!O57&gt;=50,"Unimpressed",IF(Data!O57&lt;50,"Unhappy")))))</f>
        <v>Happy</v>
      </c>
    </row>
    <row r="109" spans="3:3" ht="19.899999999999999" customHeight="1">
      <c r="C109" s="47" t="str">
        <f>IF(Data!O58&gt;=80,"Delighted",IF(Data!O58&gt;=70,"Happy",IF(Data!O58&gt;=60,"Acceptable",IF(Data!O58&gt;=50,"Unimpressed",IF(Data!O58&lt;50,"Unhappy")))))</f>
        <v>Acceptable</v>
      </c>
    </row>
    <row r="110" spans="3:3" ht="19.899999999999999" customHeight="1">
      <c r="C110" s="47" t="str">
        <f>IF(Data!O59&gt;=80,"Delighted",IF(Data!O59&gt;=70,"Happy",IF(Data!O59&gt;=60,"Acceptable",IF(Data!O59&gt;=50,"Unimpressed",IF(Data!O59&lt;50,"Unhappy")))))</f>
        <v>Happy</v>
      </c>
    </row>
    <row r="111" spans="3:3" ht="19.899999999999999" customHeight="1">
      <c r="C111" s="47" t="str">
        <f>IF(Data!O60&gt;=80,"Delighted",IF(Data!O60&gt;=70,"Happy",IF(Data!O60&gt;=60,"Acceptable",IF(Data!O60&gt;=50,"Unimpressed",IF(Data!O60&lt;50,"Unhappy")))))</f>
        <v>Delighted</v>
      </c>
    </row>
    <row r="112" spans="3:3" ht="19.899999999999999" customHeight="1">
      <c r="C112" s="47" t="str">
        <f>IF(Data!O61&gt;=80,"Delighted",IF(Data!O61&gt;=70,"Happy",IF(Data!O61&gt;=60,"Acceptable",IF(Data!O61&gt;=50,"Unimpressed",IF(Data!O61&lt;50,"Unhappy")))))</f>
        <v>Acceptable</v>
      </c>
    </row>
    <row r="113" spans="3:3" ht="19.899999999999999" customHeight="1">
      <c r="C113" s="47" t="str">
        <f>IF(Data!O62&gt;=80,"Delighted",IF(Data!O62&gt;=70,"Happy",IF(Data!O62&gt;=60,"Acceptable",IF(Data!O62&gt;=50,"Unimpressed",IF(Data!O62&lt;50,"Unhappy")))))</f>
        <v>Happy</v>
      </c>
    </row>
    <row r="114" spans="3:3" ht="19.899999999999999" customHeight="1">
      <c r="C114" s="47" t="str">
        <f>IF(Data!O63&gt;=80,"Delighted",IF(Data!O63&gt;=70,"Happy",IF(Data!O63&gt;=60,"Acceptable",IF(Data!O63&gt;=50,"Unimpressed",IF(Data!O63&lt;50,"Unhappy")))))</f>
        <v>Delighted</v>
      </c>
    </row>
    <row r="115" spans="3:3" ht="19.899999999999999" customHeight="1">
      <c r="C115" s="47" t="str">
        <f>IF(Data!O64&gt;=80,"Delighted",IF(Data!O64&gt;=70,"Happy",IF(Data!O64&gt;=60,"Acceptable",IF(Data!O64&gt;=50,"Unimpressed",IF(Data!O64&lt;50,"Unhappy")))))</f>
        <v>Unhappy</v>
      </c>
    </row>
    <row r="116" spans="3:3" ht="19.899999999999999" customHeight="1">
      <c r="C116" s="47" t="str">
        <f>IF(Data!O65&gt;=80,"Delighted",IF(Data!O65&gt;=70,"Happy",IF(Data!O65&gt;=60,"Acceptable",IF(Data!O65&gt;=50,"Unimpressed",IF(Data!O65&lt;50,"Unhappy")))))</f>
        <v>Unimpressed</v>
      </c>
    </row>
    <row r="117" spans="3:3" ht="19.899999999999999" customHeight="1">
      <c r="C117" s="47" t="str">
        <f>IF(Data!O66&gt;=80,"Delighted",IF(Data!O66&gt;=70,"Happy",IF(Data!O66&gt;=60,"Acceptable",IF(Data!O66&gt;=50,"Unimpressed",IF(Data!O66&lt;50,"Unhappy")))))</f>
        <v>Delighted</v>
      </c>
    </row>
    <row r="118" spans="3:3" ht="19.899999999999999" customHeight="1">
      <c r="C118" s="47" t="str">
        <f>IF(Data!O67&gt;=80,"Delighted",IF(Data!O67&gt;=70,"Happy",IF(Data!O67&gt;=60,"Acceptable",IF(Data!O67&gt;=50,"Unimpressed",IF(Data!O67&lt;50,"Unhappy")))))</f>
        <v>Delighted</v>
      </c>
    </row>
    <row r="119" spans="3:3" ht="19.899999999999999" customHeight="1">
      <c r="C119" s="47" t="str">
        <f>IF(Data!O68&gt;=80,"Delighted",IF(Data!O68&gt;=70,"Happy",IF(Data!O68&gt;=60,"Acceptable",IF(Data!O68&gt;=50,"Unimpressed",IF(Data!O68&lt;50,"Unhappy")))))</f>
        <v>Happy</v>
      </c>
    </row>
    <row r="120" spans="3:3" ht="19.899999999999999" customHeight="1">
      <c r="C120" s="47" t="str">
        <f>IF(Data!O69&gt;=80,"Delighted",IF(Data!O69&gt;=70,"Happy",IF(Data!O69&gt;=60,"Acceptable",IF(Data!O69&gt;=50,"Unimpressed",IF(Data!O69&lt;50,"Unhappy")))))</f>
        <v>Acceptable</v>
      </c>
    </row>
    <row r="121" spans="3:3" ht="19.899999999999999" customHeight="1">
      <c r="C121" s="47" t="str">
        <f>IF(Data!O70&gt;=80,"Delighted",IF(Data!O70&gt;=70,"Happy",IF(Data!O70&gt;=60,"Acceptable",IF(Data!O70&gt;=50,"Unimpressed",IF(Data!O70&lt;50,"Unhappy")))))</f>
        <v>Acceptable</v>
      </c>
    </row>
    <row r="122" spans="3:3" ht="19.899999999999999" customHeight="1">
      <c r="C122" s="47" t="str">
        <f>IF(Data!O71&gt;=80,"Delighted",IF(Data!O71&gt;=70,"Happy",IF(Data!O71&gt;=60,"Acceptable",IF(Data!O71&gt;=50,"Unimpressed",IF(Data!O71&lt;50,"Unhappy")))))</f>
        <v>Happy</v>
      </c>
    </row>
    <row r="123" spans="3:3" ht="19.899999999999999" customHeight="1">
      <c r="C123" s="47" t="str">
        <f>IF(Data!O72&gt;=80,"Delighted",IF(Data!O72&gt;=70,"Happy",IF(Data!O72&gt;=60,"Acceptable",IF(Data!O72&gt;=50,"Unimpressed",IF(Data!O72&lt;50,"Unhappy")))))</f>
        <v>Acceptable</v>
      </c>
    </row>
    <row r="124" spans="3:3" ht="19.899999999999999" customHeight="1">
      <c r="C124" s="47" t="str">
        <f>IF(Data!O73&gt;=80,"Delighted",IF(Data!O73&gt;=70,"Happy",IF(Data!O73&gt;=60,"Acceptable",IF(Data!O73&gt;=50,"Unimpressed",IF(Data!O73&lt;50,"Unhappy")))))</f>
        <v>Delighted</v>
      </c>
    </row>
    <row r="125" spans="3:3" ht="19.899999999999999" customHeight="1">
      <c r="C125" s="47" t="str">
        <f>IF(Data!O74&gt;=80,"Delighted",IF(Data!O74&gt;=70,"Happy",IF(Data!O74&gt;=60,"Acceptable",IF(Data!O74&gt;=50,"Unimpressed",IF(Data!O74&lt;50,"Unhappy")))))</f>
        <v>Delighted</v>
      </c>
    </row>
    <row r="126" spans="3:3" ht="19.899999999999999" customHeight="1">
      <c r="C126" s="47" t="str">
        <f>IF(Data!O75&gt;=80,"Delighted",IF(Data!O75&gt;=70,"Happy",IF(Data!O75&gt;=60,"Acceptable",IF(Data!O75&gt;=50,"Unimpressed",IF(Data!O75&lt;50,"Unhappy")))))</f>
        <v>Delighted</v>
      </c>
    </row>
    <row r="127" spans="3:3" ht="19.899999999999999" customHeight="1">
      <c r="C127" s="47" t="str">
        <f>IF(Data!O76&gt;=80,"Delighted",IF(Data!O76&gt;=70,"Happy",IF(Data!O76&gt;=60,"Acceptable",IF(Data!O76&gt;=50,"Unimpressed",IF(Data!O76&lt;50,"Unhappy")))))</f>
        <v>Happy</v>
      </c>
    </row>
    <row r="128" spans="3:3" ht="19.899999999999999" customHeight="1">
      <c r="C128" s="47" t="str">
        <f>IF(Data!O77&gt;=80,"Delighted",IF(Data!O77&gt;=70,"Happy",IF(Data!O77&gt;=60,"Acceptable",IF(Data!O77&gt;=50,"Unimpressed",IF(Data!O77&lt;50,"Unhappy")))))</f>
        <v>Acceptable</v>
      </c>
    </row>
    <row r="129" spans="3:3" ht="19.899999999999999" customHeight="1">
      <c r="C129" s="47" t="str">
        <f>IF(Data!O78&gt;=80,"Delighted",IF(Data!O78&gt;=70,"Happy",IF(Data!O78&gt;=60,"Acceptable",IF(Data!O78&gt;=50,"Unimpressed",IF(Data!O78&lt;50,"Unhappy")))))</f>
        <v>Unimpressed</v>
      </c>
    </row>
    <row r="130" spans="3:3" ht="19.899999999999999" customHeight="1">
      <c r="C130" s="47" t="str">
        <f>IF(Data!O79&gt;=80,"Delighted",IF(Data!O79&gt;=70,"Happy",IF(Data!O79&gt;=60,"Acceptable",IF(Data!O79&gt;=50,"Unimpressed",IF(Data!O79&lt;50,"Unhappy")))))</f>
        <v>Happy</v>
      </c>
    </row>
    <row r="131" spans="3:3" ht="19.899999999999999" customHeight="1">
      <c r="C131" s="47" t="str">
        <f>IF(Data!O80&gt;=80,"Delighted",IF(Data!O80&gt;=70,"Happy",IF(Data!O80&gt;=60,"Acceptable",IF(Data!O80&gt;=50,"Unimpressed",IF(Data!O80&lt;50,"Unhappy")))))</f>
        <v>Acceptable</v>
      </c>
    </row>
    <row r="132" spans="3:3" ht="19.899999999999999" customHeight="1">
      <c r="C132" s="47" t="str">
        <f>IF(Data!O81&gt;=80,"Delighted",IF(Data!O81&gt;=70,"Happy",IF(Data!O81&gt;=60,"Acceptable",IF(Data!O81&gt;=50,"Unimpressed",IF(Data!O81&lt;50,"Unhappy")))))</f>
        <v>Happy</v>
      </c>
    </row>
    <row r="133" spans="3:3" ht="19.899999999999999" customHeight="1">
      <c r="C133" s="47" t="str">
        <f>IF(Data!O82&gt;=80,"Delighted",IF(Data!O82&gt;=70,"Happy",IF(Data!O82&gt;=60,"Acceptable",IF(Data!O82&gt;=50,"Unimpressed",IF(Data!O82&lt;50,"Unhappy")))))</f>
        <v>Unimpressed</v>
      </c>
    </row>
    <row r="134" spans="3:3" ht="19.899999999999999" customHeight="1">
      <c r="C134" s="47" t="str">
        <f>IF(Data!O83&gt;=80,"Delighted",IF(Data!O83&gt;=70,"Happy",IF(Data!O83&gt;=60,"Acceptable",IF(Data!O83&gt;=50,"Unimpressed",IF(Data!O83&lt;50,"Unhappy")))))</f>
        <v>Acceptable</v>
      </c>
    </row>
    <row r="135" spans="3:3" ht="19.899999999999999" customHeight="1">
      <c r="C135" s="47" t="str">
        <f>IF(Data!O84&gt;=80,"Delighted",IF(Data!O84&gt;=70,"Happy",IF(Data!O84&gt;=60,"Acceptable",IF(Data!O84&gt;=50,"Unimpressed",IF(Data!O84&lt;50,"Unhappy")))))</f>
        <v>Unimpressed</v>
      </c>
    </row>
    <row r="136" spans="3:3" ht="19.899999999999999" customHeight="1">
      <c r="C136" s="47" t="str">
        <f>IF(Data!O85&gt;=80,"Delighted",IF(Data!O85&gt;=70,"Happy",IF(Data!O85&gt;=60,"Acceptable",IF(Data!O85&gt;=50,"Unimpressed",IF(Data!O85&lt;50,"Unhappy")))))</f>
        <v>Delighted</v>
      </c>
    </row>
    <row r="137" spans="3:3" ht="19.899999999999999" customHeight="1">
      <c r="C137" s="47" t="str">
        <f>IF(Data!O86&gt;=80,"Delighted",IF(Data!O86&gt;=70,"Happy",IF(Data!O86&gt;=60,"Acceptable",IF(Data!O86&gt;=50,"Unimpressed",IF(Data!O86&lt;50,"Unhappy")))))</f>
        <v>Delighted</v>
      </c>
    </row>
    <row r="138" spans="3:3" ht="19.899999999999999" customHeight="1">
      <c r="C138" s="47" t="str">
        <f>IF(Data!O87&gt;=80,"Delighted",IF(Data!O87&gt;=70,"Happy",IF(Data!O87&gt;=60,"Acceptable",IF(Data!O87&gt;=50,"Unimpressed",IF(Data!O87&lt;50,"Unhappy")))))</f>
        <v>Unimpressed</v>
      </c>
    </row>
    <row r="139" spans="3:3" ht="19.899999999999999" customHeight="1">
      <c r="C139" s="47" t="str">
        <f>IF(Data!O88&gt;=80,"Delighted",IF(Data!O88&gt;=70,"Happy",IF(Data!O88&gt;=60,"Acceptable",IF(Data!O88&gt;=50,"Unimpressed",IF(Data!O88&lt;50,"Unhappy")))))</f>
        <v>Delighted</v>
      </c>
    </row>
    <row r="140" spans="3:3" ht="19.899999999999999" customHeight="1">
      <c r="C140" s="47" t="str">
        <f>IF(Data!O89&gt;=80,"Delighted",IF(Data!O89&gt;=70,"Happy",IF(Data!O89&gt;=60,"Acceptable",IF(Data!O89&gt;=50,"Unimpressed",IF(Data!O89&lt;50,"Unhappy")))))</f>
        <v>Delighted</v>
      </c>
    </row>
    <row r="141" spans="3:3" ht="19.899999999999999" customHeight="1">
      <c r="C141" s="47" t="str">
        <f>IF(Data!O90&gt;=80,"Delighted",IF(Data!O90&gt;=70,"Happy",IF(Data!O90&gt;=60,"Acceptable",IF(Data!O90&gt;=50,"Unimpressed",IF(Data!O90&lt;50,"Unhappy")))))</f>
        <v>Unimpressed</v>
      </c>
    </row>
    <row r="142" spans="3:3" ht="19.899999999999999" customHeight="1">
      <c r="C142" s="47" t="str">
        <f>IF(Data!O91&gt;=80,"Delighted",IF(Data!O91&gt;=70,"Happy",IF(Data!O91&gt;=60,"Acceptable",IF(Data!O91&gt;=50,"Unimpressed",IF(Data!O91&lt;50,"Unhappy")))))</f>
        <v>Unhappy</v>
      </c>
    </row>
    <row r="143" spans="3:3" ht="19.899999999999999" customHeight="1">
      <c r="C143" s="47" t="str">
        <f>IF(Data!O92&gt;=80,"Delighted",IF(Data!O92&gt;=70,"Happy",IF(Data!O92&gt;=60,"Acceptable",IF(Data!O92&gt;=50,"Unimpressed",IF(Data!O92&lt;50,"Unhappy")))))</f>
        <v>Acceptable</v>
      </c>
    </row>
    <row r="144" spans="3:3" ht="19.899999999999999" customHeight="1">
      <c r="C144" s="47" t="str">
        <f>IF(Data!O93&gt;=80,"Delighted",IF(Data!O93&gt;=70,"Happy",IF(Data!O93&gt;=60,"Acceptable",IF(Data!O93&gt;=50,"Unimpressed",IF(Data!O93&lt;50,"Unhappy")))))</f>
        <v>Unimpressed</v>
      </c>
    </row>
    <row r="145" spans="3:3" ht="19.899999999999999" customHeight="1">
      <c r="C145" s="47" t="str">
        <f>IF(Data!O94&gt;=80,"Delighted",IF(Data!O94&gt;=70,"Happy",IF(Data!O94&gt;=60,"Acceptable",IF(Data!O94&gt;=50,"Unimpressed",IF(Data!O94&lt;50,"Unhappy")))))</f>
        <v>Happy</v>
      </c>
    </row>
    <row r="146" spans="3:3" ht="19.899999999999999" customHeight="1">
      <c r="C146" s="47" t="str">
        <f>IF(Data!O95&gt;=80,"Delighted",IF(Data!O95&gt;=70,"Happy",IF(Data!O95&gt;=60,"Acceptable",IF(Data!O95&gt;=50,"Unimpressed",IF(Data!O95&lt;50,"Unhappy")))))</f>
        <v>Happy</v>
      </c>
    </row>
    <row r="147" spans="3:3" ht="19.899999999999999" customHeight="1">
      <c r="C147" s="47" t="str">
        <f>IF(Data!O96&gt;=80,"Delighted",IF(Data!O96&gt;=70,"Happy",IF(Data!O96&gt;=60,"Acceptable",IF(Data!O96&gt;=50,"Unimpressed",IF(Data!O96&lt;50,"Unhappy")))))</f>
        <v>Acceptable</v>
      </c>
    </row>
    <row r="148" spans="3:3" ht="19.899999999999999" customHeight="1">
      <c r="C148" s="47" t="str">
        <f>IF(Data!O97&gt;=80,"Delighted",IF(Data!O97&gt;=70,"Happy",IF(Data!O97&gt;=60,"Acceptable",IF(Data!O97&gt;=50,"Unimpressed",IF(Data!O97&lt;50,"Unhappy")))))</f>
        <v>Unimpressed</v>
      </c>
    </row>
    <row r="149" spans="3:3" ht="19.899999999999999" customHeight="1">
      <c r="C149" s="47" t="str">
        <f>IF(Data!O98&gt;=80,"Delighted",IF(Data!O98&gt;=70,"Happy",IF(Data!O98&gt;=60,"Acceptable",IF(Data!O98&gt;=50,"Unimpressed",IF(Data!O98&lt;50,"Unhappy")))))</f>
        <v>Acceptable</v>
      </c>
    </row>
    <row r="150" spans="3:3" ht="19.899999999999999" customHeight="1">
      <c r="C150" s="47" t="str">
        <f>IF(Data!O99&gt;=80,"Delighted",IF(Data!O99&gt;=70,"Happy",IF(Data!O99&gt;=60,"Acceptable",IF(Data!O99&gt;=50,"Unimpressed",IF(Data!O99&lt;50,"Unhappy")))))</f>
        <v>Acceptable</v>
      </c>
    </row>
    <row r="151" spans="3:3" ht="19.899999999999999" customHeight="1">
      <c r="C151" s="47" t="str">
        <f>IF(Data!O100&gt;=80,"Delighted",IF(Data!O100&gt;=70,"Happy",IF(Data!O100&gt;=60,"Acceptable",IF(Data!O100&gt;=50,"Unimpressed",IF(Data!O100&lt;50,"Unhappy")))))</f>
        <v>Unimpressed</v>
      </c>
    </row>
    <row r="152" spans="3:3" ht="19.899999999999999" customHeight="1">
      <c r="C152" s="47" t="str">
        <f>IF(Data!O101&gt;=80,"Delighted",IF(Data!O101&gt;=70,"Happy",IF(Data!O101&gt;=60,"Acceptable",IF(Data!O101&gt;=50,"Unimpressed",IF(Data!O101&lt;50,"Unhappy")))))</f>
        <v>Unimpressed</v>
      </c>
    </row>
    <row r="153" spans="3:3" ht="19.899999999999999" customHeight="1">
      <c r="C153" s="47" t="str">
        <f>IF(Data!O102&gt;=80,"Delighted",IF(Data!O102&gt;=70,"Happy",IF(Data!O102&gt;=60,"Acceptable",IF(Data!O102&gt;=50,"Unimpressed",IF(Data!O102&lt;50,"Unhappy")))))</f>
        <v>Acceptable</v>
      </c>
    </row>
    <row r="154" spans="3:3" ht="19.899999999999999" customHeight="1">
      <c r="C154" s="47" t="str">
        <f>IF(Data!O103&gt;=80,"Delighted",IF(Data!O103&gt;=70,"Happy",IF(Data!O103&gt;=60,"Acceptable",IF(Data!O103&gt;=50,"Unimpressed",IF(Data!O103&lt;50,"Unhappy")))))</f>
        <v>Happy</v>
      </c>
    </row>
    <row r="155" spans="3:3" ht="19.899999999999999" customHeight="1">
      <c r="C155" s="47" t="str">
        <f>IF(Data!O104&gt;=80,"Delighted",IF(Data!O104&gt;=70,"Happy",IF(Data!O104&gt;=60,"Acceptable",IF(Data!O104&gt;=50,"Unimpressed",IF(Data!O104&lt;50,"Unhappy")))))</f>
        <v>Unimpressed</v>
      </c>
    </row>
    <row r="156" spans="3:3" ht="19.899999999999999" customHeight="1">
      <c r="C156" s="47" t="str">
        <f>IF(Data!O105&gt;=80,"Delighted",IF(Data!O105&gt;=70,"Happy",IF(Data!O105&gt;=60,"Acceptable",IF(Data!O105&gt;=50,"Unimpressed",IF(Data!O105&lt;50,"Unhappy")))))</f>
        <v>Delighted</v>
      </c>
    </row>
    <row r="157" spans="3:3" ht="19.899999999999999" customHeight="1">
      <c r="C157" s="47" t="str">
        <f>IF(Data!O106&gt;=80,"Delighted",IF(Data!O106&gt;=70,"Happy",IF(Data!O106&gt;=60,"Acceptable",IF(Data!O106&gt;=50,"Unimpressed",IF(Data!O106&lt;50,"Unhappy")))))</f>
        <v>Acceptable</v>
      </c>
    </row>
    <row r="158" spans="3:3" ht="19.899999999999999" customHeight="1">
      <c r="C158" s="47" t="str">
        <f>IF(Data!O107&gt;=80,"Delighted",IF(Data!O107&gt;=70,"Happy",IF(Data!O107&gt;=60,"Acceptable",IF(Data!O107&gt;=50,"Unimpressed",IF(Data!O107&lt;50,"Unhappy")))))</f>
        <v>Delighted</v>
      </c>
    </row>
    <row r="159" spans="3:3" ht="19.899999999999999" customHeight="1">
      <c r="C159" s="47" t="str">
        <f>IF(Data!O108&gt;=80,"Delighted",IF(Data!O108&gt;=70,"Happy",IF(Data!O108&gt;=60,"Acceptable",IF(Data!O108&gt;=50,"Unimpressed",IF(Data!O108&lt;50,"Unhappy")))))</f>
        <v>Delighted</v>
      </c>
    </row>
    <row r="160" spans="3:3" ht="19.899999999999999" customHeight="1">
      <c r="C160" s="47" t="str">
        <f>IF(Data!O109&gt;=80,"Delighted",IF(Data!O109&gt;=70,"Happy",IF(Data!O109&gt;=60,"Acceptable",IF(Data!O109&gt;=50,"Unimpressed",IF(Data!O109&lt;50,"Unhappy")))))</f>
        <v>Acceptable</v>
      </c>
    </row>
    <row r="161" spans="3:3" ht="19.899999999999999" customHeight="1">
      <c r="C161" s="47" t="str">
        <f>IF(Data!O110&gt;=80,"Delighted",IF(Data!O110&gt;=70,"Happy",IF(Data!O110&gt;=60,"Acceptable",IF(Data!O110&gt;=50,"Unimpressed",IF(Data!O110&lt;50,"Unhappy")))))</f>
        <v>Acceptable</v>
      </c>
    </row>
    <row r="162" spans="3:3" ht="19.899999999999999" customHeight="1">
      <c r="C162" s="47" t="str">
        <f>IF(Data!O111&gt;=80,"Delighted",IF(Data!O111&gt;=70,"Happy",IF(Data!O111&gt;=60,"Acceptable",IF(Data!O111&gt;=50,"Unimpressed",IF(Data!O111&lt;50,"Unhappy")))))</f>
        <v>Unimpressed</v>
      </c>
    </row>
    <row r="163" spans="3:3" ht="19.899999999999999" customHeight="1">
      <c r="C163" s="47" t="str">
        <f>IF(Data!O112&gt;=80,"Delighted",IF(Data!O112&gt;=70,"Happy",IF(Data!O112&gt;=60,"Acceptable",IF(Data!O112&gt;=50,"Unimpressed",IF(Data!O112&lt;50,"Unhappy")))))</f>
        <v>Delighted</v>
      </c>
    </row>
    <row r="164" spans="3:3" ht="19.899999999999999" customHeight="1">
      <c r="C164" s="47" t="str">
        <f>IF(Data!O113&gt;=80,"Delighted",IF(Data!O113&gt;=70,"Happy",IF(Data!O113&gt;=60,"Acceptable",IF(Data!O113&gt;=50,"Unimpressed",IF(Data!O113&lt;50,"Unhappy")))))</f>
        <v>Delighted</v>
      </c>
    </row>
    <row r="165" spans="3:3" ht="19.899999999999999" customHeight="1">
      <c r="C165" s="47" t="str">
        <f>IF(Data!O114&gt;=80,"Delighted",IF(Data!O114&gt;=70,"Happy",IF(Data!O114&gt;=60,"Acceptable",IF(Data!O114&gt;=50,"Unimpressed",IF(Data!O114&lt;50,"Unhappy")))))</f>
        <v>Delighted</v>
      </c>
    </row>
    <row r="166" spans="3:3" ht="19.899999999999999" customHeight="1">
      <c r="C166" s="47" t="str">
        <f>IF(Data!O115&gt;=80,"Delighted",IF(Data!O115&gt;=70,"Happy",IF(Data!O115&gt;=60,"Acceptable",IF(Data!O115&gt;=50,"Unimpressed",IF(Data!O115&lt;50,"Unhappy")))))</f>
        <v>Delighted</v>
      </c>
    </row>
    <row r="167" spans="3:3" ht="19.899999999999999" customHeight="1">
      <c r="C167" s="47" t="str">
        <f>IF(Data!O116&gt;=80,"Delighted",IF(Data!O116&gt;=70,"Happy",IF(Data!O116&gt;=60,"Acceptable",IF(Data!O116&gt;=50,"Unimpressed",IF(Data!O116&lt;50,"Unhappy")))))</f>
        <v>Delighted</v>
      </c>
    </row>
    <row r="168" spans="3:3" ht="19.899999999999999" customHeight="1">
      <c r="C168" s="47" t="str">
        <f>IF(Data!O117&gt;=80,"Delighted",IF(Data!O117&gt;=70,"Happy",IF(Data!O117&gt;=60,"Acceptable",IF(Data!O117&gt;=50,"Unimpressed",IF(Data!O117&lt;50,"Unhappy")))))</f>
        <v>Delighted</v>
      </c>
    </row>
    <row r="169" spans="3:3" ht="19.899999999999999" customHeight="1">
      <c r="C169" s="47" t="str">
        <f>IF(Data!O118&gt;=80,"Delighted",IF(Data!O118&gt;=70,"Happy",IF(Data!O118&gt;=60,"Acceptable",IF(Data!O118&gt;=50,"Unimpressed",IF(Data!O118&lt;50,"Unhappy")))))</f>
        <v>Unimpressed</v>
      </c>
    </row>
    <row r="170" spans="3:3" ht="19.899999999999999" customHeight="1">
      <c r="C170" s="47" t="str">
        <f>IF(Data!O119&gt;=80,"Delighted",IF(Data!O119&gt;=70,"Happy",IF(Data!O119&gt;=60,"Acceptable",IF(Data!O119&gt;=50,"Unimpressed",IF(Data!O119&lt;50,"Unhappy")))))</f>
        <v>Delighted</v>
      </c>
    </row>
    <row r="171" spans="3:3" ht="19.899999999999999" customHeight="1">
      <c r="C171" s="47" t="str">
        <f>IF(Data!O120&gt;=80,"Delighted",IF(Data!O120&gt;=70,"Happy",IF(Data!O120&gt;=60,"Acceptable",IF(Data!O120&gt;=50,"Unimpressed",IF(Data!O120&lt;50,"Unhappy")))))</f>
        <v>Delighted</v>
      </c>
    </row>
    <row r="172" spans="3:3" ht="19.899999999999999" customHeight="1">
      <c r="C172" s="47" t="str">
        <f>IF(Data!O121&gt;=80,"Delighted",IF(Data!O121&gt;=70,"Happy",IF(Data!O121&gt;=60,"Acceptable",IF(Data!O121&gt;=50,"Unimpressed",IF(Data!O121&lt;50,"Unhappy")))))</f>
        <v>Delighted</v>
      </c>
    </row>
    <row r="173" spans="3:3" ht="19.899999999999999" customHeight="1">
      <c r="C173" s="47" t="str">
        <f>IF(Data!O122&gt;=80,"Delighted",IF(Data!O122&gt;=70,"Happy",IF(Data!O122&gt;=60,"Acceptable",IF(Data!O122&gt;=50,"Unimpressed",IF(Data!O122&lt;50,"Unhappy")))))</f>
        <v>Delighted</v>
      </c>
    </row>
    <row r="174" spans="3:3" ht="19.899999999999999" customHeight="1">
      <c r="C174" s="47" t="str">
        <f>IF(Data!O123&gt;=80,"Delighted",IF(Data!O123&gt;=70,"Happy",IF(Data!O123&gt;=60,"Acceptable",IF(Data!O123&gt;=50,"Unimpressed",IF(Data!O123&lt;50,"Unhappy")))))</f>
        <v>Delighted</v>
      </c>
    </row>
    <row r="175" spans="3:3" ht="19.899999999999999" customHeight="1">
      <c r="C175" s="47" t="str">
        <f>IF(Data!O124&gt;=80,"Delighted",IF(Data!O124&gt;=70,"Happy",IF(Data!O124&gt;=60,"Acceptable",IF(Data!O124&gt;=50,"Unimpressed",IF(Data!O124&lt;50,"Unhappy")))))</f>
        <v>Acceptable</v>
      </c>
    </row>
    <row r="176" spans="3:3" ht="19.899999999999999" customHeight="1">
      <c r="C176" s="47" t="str">
        <f>IF(Data!O125&gt;=80,"Delighted",IF(Data!O125&gt;=70,"Happy",IF(Data!O125&gt;=60,"Acceptable",IF(Data!O125&gt;=50,"Unimpressed",IF(Data!O125&lt;50,"Unhappy")))))</f>
        <v>Acceptable</v>
      </c>
    </row>
    <row r="177" spans="3:3" ht="19.899999999999999" customHeight="1">
      <c r="C177" s="47" t="str">
        <f>IF(Data!O126&gt;=80,"Delighted",IF(Data!O126&gt;=70,"Happy",IF(Data!O126&gt;=60,"Acceptable",IF(Data!O126&gt;=50,"Unimpressed",IF(Data!O126&lt;50,"Unhappy")))))</f>
        <v>Happy</v>
      </c>
    </row>
    <row r="178" spans="3:3" ht="19.899999999999999" customHeight="1">
      <c r="C178" s="47" t="str">
        <f>IF(Data!O127&gt;=80,"Delighted",IF(Data!O127&gt;=70,"Happy",IF(Data!O127&gt;=60,"Acceptable",IF(Data!O127&gt;=50,"Unimpressed",IF(Data!O127&lt;50,"Unhappy")))))</f>
        <v>Unimpressed</v>
      </c>
    </row>
    <row r="179" spans="3:3" ht="19.899999999999999" customHeight="1">
      <c r="C179" s="47" t="str">
        <f>IF(Data!O128&gt;=80,"Delighted",IF(Data!O128&gt;=70,"Happy",IF(Data!O128&gt;=60,"Acceptable",IF(Data!O128&gt;=50,"Unimpressed",IF(Data!O128&lt;50,"Unhappy")))))</f>
        <v>Happy</v>
      </c>
    </row>
    <row r="180" spans="3:3" ht="19.899999999999999" customHeight="1">
      <c r="C180" s="47" t="str">
        <f>IF(Data!O129&gt;=80,"Delighted",IF(Data!O129&gt;=70,"Happy",IF(Data!O129&gt;=60,"Acceptable",IF(Data!O129&gt;=50,"Unimpressed",IF(Data!O129&lt;50,"Unhappy")))))</f>
        <v>Happy</v>
      </c>
    </row>
    <row r="181" spans="3:3" ht="19.899999999999999" customHeight="1">
      <c r="C181" s="47" t="str">
        <f>IF(Data!O130&gt;=80,"Delighted",IF(Data!O130&gt;=70,"Happy",IF(Data!O130&gt;=60,"Acceptable",IF(Data!O130&gt;=50,"Unimpressed",IF(Data!O130&lt;50,"Unhappy")))))</f>
        <v>Acceptable</v>
      </c>
    </row>
    <row r="182" spans="3:3" ht="19.899999999999999" customHeight="1">
      <c r="C182" s="47" t="str">
        <f>IF(Data!O131&gt;=80,"Delighted",IF(Data!O131&gt;=70,"Happy",IF(Data!O131&gt;=60,"Acceptable",IF(Data!O131&gt;=50,"Unimpressed",IF(Data!O131&lt;50,"Unhappy")))))</f>
        <v>Delighted</v>
      </c>
    </row>
    <row r="183" spans="3:3" ht="19.899999999999999" customHeight="1">
      <c r="C183" s="47" t="str">
        <f>IF(Data!O132&gt;=80,"Delighted",IF(Data!O132&gt;=70,"Happy",IF(Data!O132&gt;=60,"Acceptable",IF(Data!O132&gt;=50,"Unimpressed",IF(Data!O132&lt;50,"Unhappy")))))</f>
        <v>Unimpressed</v>
      </c>
    </row>
    <row r="184" spans="3:3" ht="19.899999999999999" customHeight="1">
      <c r="C184" s="47" t="str">
        <f>IF(Data!O133&gt;=80,"Delighted",IF(Data!O133&gt;=70,"Happy",IF(Data!O133&gt;=60,"Acceptable",IF(Data!O133&gt;=50,"Unimpressed",IF(Data!O133&lt;50,"Unhappy")))))</f>
        <v>Unimpressed</v>
      </c>
    </row>
    <row r="185" spans="3:3" ht="19.899999999999999" customHeight="1">
      <c r="C185" s="47" t="str">
        <f>IF(Data!O134&gt;=80,"Delighted",IF(Data!O134&gt;=70,"Happy",IF(Data!O134&gt;=60,"Acceptable",IF(Data!O134&gt;=50,"Unimpressed",IF(Data!O134&lt;50,"Unhappy")))))</f>
        <v>Unimpressed</v>
      </c>
    </row>
    <row r="186" spans="3:3" ht="19.899999999999999" customHeight="1">
      <c r="C186" s="47" t="str">
        <f>IF(Data!O135&gt;=80,"Delighted",IF(Data!O135&gt;=70,"Happy",IF(Data!O135&gt;=60,"Acceptable",IF(Data!O135&gt;=50,"Unimpressed",IF(Data!O135&lt;50,"Unhappy")))))</f>
        <v>Unimpressed</v>
      </c>
    </row>
    <row r="187" spans="3:3" ht="19.899999999999999" customHeight="1">
      <c r="C187" s="47" t="str">
        <f>IF(Data!O136&gt;=80,"Delighted",IF(Data!O136&gt;=70,"Happy",IF(Data!O136&gt;=60,"Acceptable",IF(Data!O136&gt;=50,"Unimpressed",IF(Data!O136&lt;50,"Unhappy")))))</f>
        <v>Delighted</v>
      </c>
    </row>
    <row r="188" spans="3:3" ht="19.899999999999999" customHeight="1">
      <c r="C188" s="47" t="str">
        <f>IF(Data!O137&gt;=80,"Delighted",IF(Data!O137&gt;=70,"Happy",IF(Data!O137&gt;=60,"Acceptable",IF(Data!O137&gt;=50,"Unimpressed",IF(Data!O137&lt;50,"Unhappy")))))</f>
        <v>Acceptable</v>
      </c>
    </row>
    <row r="189" spans="3:3" ht="19.899999999999999" customHeight="1">
      <c r="C189" s="47" t="str">
        <f>IF(Data!O138&gt;=80,"Delighted",IF(Data!O138&gt;=70,"Happy",IF(Data!O138&gt;=60,"Acceptable",IF(Data!O138&gt;=50,"Unimpressed",IF(Data!O138&lt;50,"Unhappy")))))</f>
        <v>Delighted</v>
      </c>
    </row>
    <row r="190" spans="3:3" ht="19.899999999999999" customHeight="1">
      <c r="C190" s="47" t="str">
        <f>IF(Data!O139&gt;=80,"Delighted",IF(Data!O139&gt;=70,"Happy",IF(Data!O139&gt;=60,"Acceptable",IF(Data!O139&gt;=50,"Unimpressed",IF(Data!O139&lt;50,"Unhappy")))))</f>
        <v>Acceptable</v>
      </c>
    </row>
    <row r="191" spans="3:3" ht="19.899999999999999" customHeight="1">
      <c r="C191" s="47" t="str">
        <f>IF(Data!O140&gt;=80,"Delighted",IF(Data!O140&gt;=70,"Happy",IF(Data!O140&gt;=60,"Acceptable",IF(Data!O140&gt;=50,"Unimpressed",IF(Data!O140&lt;50,"Unhappy")))))</f>
        <v>Happy</v>
      </c>
    </row>
    <row r="192" spans="3:3" ht="19.899999999999999" customHeight="1">
      <c r="C192" s="47" t="str">
        <f>IF(Data!O141&gt;=80,"Delighted",IF(Data!O141&gt;=70,"Happy",IF(Data!O141&gt;=60,"Acceptable",IF(Data!O141&gt;=50,"Unimpressed",IF(Data!O141&lt;50,"Unhappy")))))</f>
        <v>Unhappy</v>
      </c>
    </row>
    <row r="193" spans="3:3" ht="19.899999999999999" customHeight="1">
      <c r="C193" s="47" t="str">
        <f>IF(Data!O142&gt;=80,"Delighted",IF(Data!O142&gt;=70,"Happy",IF(Data!O142&gt;=60,"Acceptable",IF(Data!O142&gt;=50,"Unimpressed",IF(Data!O142&lt;50,"Unhappy")))))</f>
        <v>Unhappy</v>
      </c>
    </row>
    <row r="194" spans="3:3" ht="19.899999999999999" customHeight="1">
      <c r="C194" s="47" t="str">
        <f>IF(Data!O143&gt;=80,"Delighted",IF(Data!O143&gt;=70,"Happy",IF(Data!O143&gt;=60,"Acceptable",IF(Data!O143&gt;=50,"Unimpressed",IF(Data!O143&lt;50,"Unhappy")))))</f>
        <v>Happy</v>
      </c>
    </row>
    <row r="195" spans="3:3" ht="19.899999999999999" customHeight="1">
      <c r="C195" s="47" t="str">
        <f>IF(Data!O144&gt;=80,"Delighted",IF(Data!O144&gt;=70,"Happy",IF(Data!O144&gt;=60,"Acceptable",IF(Data!O144&gt;=50,"Unimpressed",IF(Data!O144&lt;50,"Unhappy")))))</f>
        <v>Unhappy</v>
      </c>
    </row>
    <row r="196" spans="3:3" ht="19.899999999999999" customHeight="1">
      <c r="C196" s="47" t="str">
        <f>IF(Data!O145&gt;=80,"Delighted",IF(Data!O145&gt;=70,"Happy",IF(Data!O145&gt;=60,"Acceptable",IF(Data!O145&gt;=50,"Unimpressed",IF(Data!O145&lt;50,"Unhappy")))))</f>
        <v>Delighted</v>
      </c>
    </row>
    <row r="197" spans="3:3" ht="19.899999999999999" customHeight="1">
      <c r="C197" s="47" t="str">
        <f>IF(Data!O146&gt;=80,"Delighted",IF(Data!O146&gt;=70,"Happy",IF(Data!O146&gt;=60,"Acceptable",IF(Data!O146&gt;=50,"Unimpressed",IF(Data!O146&lt;50,"Unhappy")))))</f>
        <v>Unhappy</v>
      </c>
    </row>
    <row r="198" spans="3:3" ht="19.899999999999999" customHeight="1">
      <c r="C198" s="47" t="str">
        <f>IF(Data!O147&gt;=80,"Delighted",IF(Data!O147&gt;=70,"Happy",IF(Data!O147&gt;=60,"Acceptable",IF(Data!O147&gt;=50,"Unimpressed",IF(Data!O147&lt;50,"Unhappy")))))</f>
        <v>Acceptable</v>
      </c>
    </row>
    <row r="199" spans="3:3" ht="19.899999999999999" customHeight="1">
      <c r="C199" s="47" t="str">
        <f>IF(Data!O148&gt;=80,"Delighted",IF(Data!O148&gt;=70,"Happy",IF(Data!O148&gt;=60,"Acceptable",IF(Data!O148&gt;=50,"Unimpressed",IF(Data!O148&lt;50,"Unhappy")))))</f>
        <v>Delighted</v>
      </c>
    </row>
    <row r="200" spans="3:3" ht="19.899999999999999" customHeight="1">
      <c r="C200" s="47" t="str">
        <f>IF(Data!O149&gt;=80,"Delighted",IF(Data!O149&gt;=70,"Happy",IF(Data!O149&gt;=60,"Acceptable",IF(Data!O149&gt;=50,"Unimpressed",IF(Data!O149&lt;50,"Unhappy")))))</f>
        <v>Unimpressed</v>
      </c>
    </row>
    <row r="201" spans="3:3" ht="19.899999999999999" customHeight="1">
      <c r="C201" s="47" t="str">
        <f>IF(Data!O150&gt;=80,"Delighted",IF(Data!O150&gt;=70,"Happy",IF(Data!O150&gt;=60,"Acceptable",IF(Data!O150&gt;=50,"Unimpressed",IF(Data!O150&lt;50,"Unhappy")))))</f>
        <v>Delighted</v>
      </c>
    </row>
    <row r="202" spans="3:3" ht="19.899999999999999" customHeight="1">
      <c r="C202" s="47" t="str">
        <f>IF(Data!O151&gt;=80,"Delighted",IF(Data!O151&gt;=70,"Happy",IF(Data!O151&gt;=60,"Acceptable",IF(Data!O151&gt;=50,"Unimpressed",IF(Data!O151&lt;50,"Unhappy")))))</f>
        <v>Delighted</v>
      </c>
    </row>
    <row r="203" spans="3:3" ht="19.899999999999999" customHeight="1">
      <c r="C203" s="47" t="str">
        <f>IF(Data!O152&gt;=80,"Delighted",IF(Data!O152&gt;=70,"Happy",IF(Data!O152&gt;=60,"Acceptable",IF(Data!O152&gt;=50,"Unimpressed",IF(Data!O152&lt;50,"Unhappy")))))</f>
        <v>Unhappy</v>
      </c>
    </row>
    <row r="204" spans="3:3" ht="19.899999999999999" customHeight="1">
      <c r="C204" s="47" t="str">
        <f>IF(Data!O153&gt;=80,"Delighted",IF(Data!O153&gt;=70,"Happy",IF(Data!O153&gt;=60,"Acceptable",IF(Data!O153&gt;=50,"Unimpressed",IF(Data!O153&lt;50,"Unhappy")))))</f>
        <v>Delighted</v>
      </c>
    </row>
    <row r="205" spans="3:3" ht="19.899999999999999" customHeight="1">
      <c r="C205" s="47" t="str">
        <f>IF(Data!O154&gt;=80,"Delighted",IF(Data!O154&gt;=70,"Happy",IF(Data!O154&gt;=60,"Acceptable",IF(Data!O154&gt;=50,"Unimpressed",IF(Data!O154&lt;50,"Unhappy")))))</f>
        <v>Unhappy</v>
      </c>
    </row>
    <row r="206" spans="3:3" ht="19.899999999999999" customHeight="1">
      <c r="C206" s="47" t="str">
        <f>IF(Data!O155&gt;=80,"Delighted",IF(Data!O155&gt;=70,"Happy",IF(Data!O155&gt;=60,"Acceptable",IF(Data!O155&gt;=50,"Unimpressed",IF(Data!O155&lt;50,"Unhappy")))))</f>
        <v>Happy</v>
      </c>
    </row>
    <row r="207" spans="3:3" ht="19.899999999999999" customHeight="1">
      <c r="C207" s="47" t="str">
        <f>IF(Data!O156&gt;=80,"Delighted",IF(Data!O156&gt;=70,"Happy",IF(Data!O156&gt;=60,"Acceptable",IF(Data!O156&gt;=50,"Unimpressed",IF(Data!O156&lt;50,"Unhappy")))))</f>
        <v>Acceptable</v>
      </c>
    </row>
    <row r="208" spans="3:3" ht="19.899999999999999" customHeight="1">
      <c r="C208" s="47" t="str">
        <f>IF(Data!O157&gt;=80,"Delighted",IF(Data!O157&gt;=70,"Happy",IF(Data!O157&gt;=60,"Acceptable",IF(Data!O157&gt;=50,"Unimpressed",IF(Data!O157&lt;50,"Unhappy")))))</f>
        <v>Unimpressed</v>
      </c>
    </row>
    <row r="209" spans="3:3" ht="19.899999999999999" customHeight="1">
      <c r="C209" s="47" t="str">
        <f>IF(Data!O158&gt;=80,"Delighted",IF(Data!O158&gt;=70,"Happy",IF(Data!O158&gt;=60,"Acceptable",IF(Data!O158&gt;=50,"Unimpressed",IF(Data!O158&lt;50,"Unhappy")))))</f>
        <v>Happy</v>
      </c>
    </row>
    <row r="210" spans="3:3" ht="19.899999999999999" customHeight="1">
      <c r="C210" s="47" t="str">
        <f>IF(Data!O159&gt;=80,"Delighted",IF(Data!O159&gt;=70,"Happy",IF(Data!O159&gt;=60,"Acceptable",IF(Data!O159&gt;=50,"Unimpressed",IF(Data!O159&lt;50,"Unhappy")))))</f>
        <v>Delighted</v>
      </c>
    </row>
    <row r="211" spans="3:3" ht="19.899999999999999" customHeight="1">
      <c r="C211" s="47" t="str">
        <f>IF(Data!O160&gt;=80,"Delighted",IF(Data!O160&gt;=70,"Happy",IF(Data!O160&gt;=60,"Acceptable",IF(Data!O160&gt;=50,"Unimpressed",IF(Data!O160&lt;50,"Unhappy")))))</f>
        <v>Happy</v>
      </c>
    </row>
    <row r="212" spans="3:3" ht="19.899999999999999" customHeight="1">
      <c r="C212" s="47" t="str">
        <f>IF(Data!O161&gt;=80,"Delighted",IF(Data!O161&gt;=70,"Happy",IF(Data!O161&gt;=60,"Acceptable",IF(Data!O161&gt;=50,"Unimpressed",IF(Data!O161&lt;50,"Unhappy")))))</f>
        <v>Delighted</v>
      </c>
    </row>
    <row r="213" spans="3:3" ht="19.899999999999999" customHeight="1">
      <c r="C213" s="47" t="str">
        <f>IF(Data!O162&gt;=80,"Delighted",IF(Data!O162&gt;=70,"Happy",IF(Data!O162&gt;=60,"Acceptable",IF(Data!O162&gt;=50,"Unimpressed",IF(Data!O162&lt;50,"Unhappy")))))</f>
        <v>Unimpressed</v>
      </c>
    </row>
    <row r="214" spans="3:3" ht="19.899999999999999" customHeight="1">
      <c r="C214" s="47" t="str">
        <f>IF(Data!O163&gt;=80,"Delighted",IF(Data!O163&gt;=70,"Happy",IF(Data!O163&gt;=60,"Acceptable",IF(Data!O163&gt;=50,"Unimpressed",IF(Data!O163&lt;50,"Unhappy")))))</f>
        <v>Delighted</v>
      </c>
    </row>
    <row r="215" spans="3:3" ht="19.899999999999999" customHeight="1">
      <c r="C215" s="47" t="str">
        <f>IF(Data!O164&gt;=80,"Delighted",IF(Data!O164&gt;=70,"Happy",IF(Data!O164&gt;=60,"Acceptable",IF(Data!O164&gt;=50,"Unimpressed",IF(Data!O164&lt;50,"Unhappy")))))</f>
        <v>Unimpressed</v>
      </c>
    </row>
    <row r="216" spans="3:3" ht="19.899999999999999" customHeight="1">
      <c r="C216" s="47" t="str">
        <f>IF(Data!O165&gt;=80,"Delighted",IF(Data!O165&gt;=70,"Happy",IF(Data!O165&gt;=60,"Acceptable",IF(Data!O165&gt;=50,"Unimpressed",IF(Data!O165&lt;50,"Unhappy")))))</f>
        <v>Unimpressed</v>
      </c>
    </row>
    <row r="217" spans="3:3" ht="19.899999999999999" customHeight="1">
      <c r="C217" s="47" t="str">
        <f>IF(Data!O166&gt;=80,"Delighted",IF(Data!O166&gt;=70,"Happy",IF(Data!O166&gt;=60,"Acceptable",IF(Data!O166&gt;=50,"Unimpressed",IF(Data!O166&lt;50,"Unhappy")))))</f>
        <v>Happy</v>
      </c>
    </row>
    <row r="218" spans="3:3" ht="19.899999999999999" customHeight="1">
      <c r="C218" s="47" t="str">
        <f>IF(Data!O167&gt;=80,"Delighted",IF(Data!O167&gt;=70,"Happy",IF(Data!O167&gt;=60,"Acceptable",IF(Data!O167&gt;=50,"Unimpressed",IF(Data!O167&lt;50,"Unhappy")))))</f>
        <v>Happy</v>
      </c>
    </row>
    <row r="219" spans="3:3" ht="19.899999999999999" customHeight="1">
      <c r="C219" s="47" t="str">
        <f>IF(Data!O168&gt;=80,"Delighted",IF(Data!O168&gt;=70,"Happy",IF(Data!O168&gt;=60,"Acceptable",IF(Data!O168&gt;=50,"Unimpressed",IF(Data!O168&lt;50,"Unhappy")))))</f>
        <v>Happy</v>
      </c>
    </row>
    <row r="220" spans="3:3" ht="19.899999999999999" customHeight="1">
      <c r="C220" s="47" t="str">
        <f>IF(Data!O169&gt;=80,"Delighted",IF(Data!O169&gt;=70,"Happy",IF(Data!O169&gt;=60,"Acceptable",IF(Data!O169&gt;=50,"Unimpressed",IF(Data!O169&lt;50,"Unhappy")))))</f>
        <v>Unimpressed</v>
      </c>
    </row>
    <row r="221" spans="3:3" ht="19.899999999999999" customHeight="1">
      <c r="C221" s="47" t="str">
        <f>IF(Data!O170&gt;=80,"Delighted",IF(Data!O170&gt;=70,"Happy",IF(Data!O170&gt;=60,"Acceptable",IF(Data!O170&gt;=50,"Unimpressed",IF(Data!O170&lt;50,"Unhappy")))))</f>
        <v>Unhappy</v>
      </c>
    </row>
    <row r="222" spans="3:3" ht="19.899999999999999" customHeight="1">
      <c r="C222" s="47" t="str">
        <f>IF(Data!O171&gt;=80,"Delighted",IF(Data!O171&gt;=70,"Happy",IF(Data!O171&gt;=60,"Acceptable",IF(Data!O171&gt;=50,"Unimpressed",IF(Data!O171&lt;50,"Unhappy")))))</f>
        <v>Happy</v>
      </c>
    </row>
    <row r="223" spans="3:3" ht="19.899999999999999" customHeight="1">
      <c r="C223" s="47" t="str">
        <f>IF(Data!O172&gt;=80,"Delighted",IF(Data!O172&gt;=70,"Happy",IF(Data!O172&gt;=60,"Acceptable",IF(Data!O172&gt;=50,"Unimpressed",IF(Data!O172&lt;50,"Unhappy")))))</f>
        <v>Acceptable</v>
      </c>
    </row>
    <row r="224" spans="3:3" ht="19.899999999999999" customHeight="1">
      <c r="C224" s="47" t="str">
        <f>IF(Data!O173&gt;=80,"Delighted",IF(Data!O173&gt;=70,"Happy",IF(Data!O173&gt;=60,"Acceptable",IF(Data!O173&gt;=50,"Unimpressed",IF(Data!O173&lt;50,"Unhappy")))))</f>
        <v>Acceptable</v>
      </c>
    </row>
    <row r="225" spans="3:3" ht="19.899999999999999" customHeight="1">
      <c r="C225" s="47" t="str">
        <f>IF(Data!O174&gt;=80,"Delighted",IF(Data!O174&gt;=70,"Happy",IF(Data!O174&gt;=60,"Acceptable",IF(Data!O174&gt;=50,"Unimpressed",IF(Data!O174&lt;50,"Unhappy")))))</f>
        <v>Delighted</v>
      </c>
    </row>
    <row r="226" spans="3:3" ht="19.899999999999999" customHeight="1">
      <c r="C226" s="47" t="str">
        <f>IF(Data!O175&gt;=80,"Delighted",IF(Data!O175&gt;=70,"Happy",IF(Data!O175&gt;=60,"Acceptable",IF(Data!O175&gt;=50,"Unimpressed",IF(Data!O175&lt;50,"Unhappy")))))</f>
        <v>Happy</v>
      </c>
    </row>
    <row r="227" spans="3:3" ht="19.899999999999999" customHeight="1">
      <c r="C227" s="47" t="str">
        <f>IF(Data!O176&gt;=80,"Delighted",IF(Data!O176&gt;=70,"Happy",IF(Data!O176&gt;=60,"Acceptable",IF(Data!O176&gt;=50,"Unimpressed",IF(Data!O176&lt;50,"Unhappy")))))</f>
        <v>Unimpressed</v>
      </c>
    </row>
    <row r="228" spans="3:3" ht="19.899999999999999" customHeight="1">
      <c r="C228" s="47" t="str">
        <f>IF(Data!O177&gt;=80,"Delighted",IF(Data!O177&gt;=70,"Happy",IF(Data!O177&gt;=60,"Acceptable",IF(Data!O177&gt;=50,"Unimpressed",IF(Data!O177&lt;50,"Unhappy")))))</f>
        <v>Delighted</v>
      </c>
    </row>
    <row r="229" spans="3:3" ht="19.899999999999999" customHeight="1">
      <c r="C229" s="47" t="str">
        <f>IF(Data!O178&gt;=80,"Delighted",IF(Data!O178&gt;=70,"Happy",IF(Data!O178&gt;=60,"Acceptable",IF(Data!O178&gt;=50,"Unimpressed",IF(Data!O178&lt;50,"Unhappy")))))</f>
        <v>Delighted</v>
      </c>
    </row>
    <row r="230" spans="3:3" ht="19.899999999999999" customHeight="1">
      <c r="C230" s="47" t="str">
        <f>IF(Data!O179&gt;=80,"Delighted",IF(Data!O179&gt;=70,"Happy",IF(Data!O179&gt;=60,"Acceptable",IF(Data!O179&gt;=50,"Unimpressed",IF(Data!O179&lt;50,"Unhappy")))))</f>
        <v>Delighted</v>
      </c>
    </row>
    <row r="231" spans="3:3" ht="19.899999999999999" customHeight="1">
      <c r="C231" s="47" t="str">
        <f>IF(Data!O180&gt;=80,"Delighted",IF(Data!O180&gt;=70,"Happy",IF(Data!O180&gt;=60,"Acceptable",IF(Data!O180&gt;=50,"Unimpressed",IF(Data!O180&lt;50,"Unhappy")))))</f>
        <v>Unimpressed</v>
      </c>
    </row>
    <row r="232" spans="3:3" ht="19.899999999999999" customHeight="1">
      <c r="C232" s="47" t="str">
        <f>IF(Data!O181&gt;=80,"Delighted",IF(Data!O181&gt;=70,"Happy",IF(Data!O181&gt;=60,"Acceptable",IF(Data!O181&gt;=50,"Unimpressed",IF(Data!O181&lt;50,"Unhappy")))))</f>
        <v>Unhappy</v>
      </c>
    </row>
    <row r="233" spans="3:3" ht="19.899999999999999" customHeight="1">
      <c r="C233" s="47" t="str">
        <f>IF(Data!O182&gt;=80,"Delighted",IF(Data!O182&gt;=70,"Happy",IF(Data!O182&gt;=60,"Acceptable",IF(Data!O182&gt;=50,"Unimpressed",IF(Data!O182&lt;50,"Unhappy")))))</f>
        <v>Unimpressed</v>
      </c>
    </row>
    <row r="234" spans="3:3" ht="19.899999999999999" customHeight="1">
      <c r="C234" s="47" t="str">
        <f>IF(Data!O183&gt;=80,"Delighted",IF(Data!O183&gt;=70,"Happy",IF(Data!O183&gt;=60,"Acceptable",IF(Data!O183&gt;=50,"Unimpressed",IF(Data!O183&lt;50,"Unhappy")))))</f>
        <v>Delighted</v>
      </c>
    </row>
    <row r="235" spans="3:3" ht="19.899999999999999" customHeight="1">
      <c r="C235" s="47" t="str">
        <f>IF(Data!O184&gt;=80,"Delighted",IF(Data!O184&gt;=70,"Happy",IF(Data!O184&gt;=60,"Acceptable",IF(Data!O184&gt;=50,"Unimpressed",IF(Data!O184&lt;50,"Unhappy")))))</f>
        <v>Unimpressed</v>
      </c>
    </row>
    <row r="236" spans="3:3" ht="19.899999999999999" customHeight="1">
      <c r="C236" s="47" t="str">
        <f>IF(Data!O185&gt;=80,"Delighted",IF(Data!O185&gt;=70,"Happy",IF(Data!O185&gt;=60,"Acceptable",IF(Data!O185&gt;=50,"Unimpressed",IF(Data!O185&lt;50,"Unhappy")))))</f>
        <v>Delighted</v>
      </c>
    </row>
    <row r="237" spans="3:3" ht="19.899999999999999" customHeight="1">
      <c r="C237" s="47" t="str">
        <f>IF(Data!O186&gt;=80,"Delighted",IF(Data!O186&gt;=70,"Happy",IF(Data!O186&gt;=60,"Acceptable",IF(Data!O186&gt;=50,"Unimpressed",IF(Data!O186&lt;50,"Unhappy")))))</f>
        <v>Delighted</v>
      </c>
    </row>
    <row r="238" spans="3:3" ht="19.899999999999999" customHeight="1">
      <c r="C238" s="47" t="str">
        <f>IF(Data!O187&gt;=80,"Delighted",IF(Data!O187&gt;=70,"Happy",IF(Data!O187&gt;=60,"Acceptable",IF(Data!O187&gt;=50,"Unimpressed",IF(Data!O187&lt;50,"Unhappy")))))</f>
        <v>Unhappy</v>
      </c>
    </row>
    <row r="239" spans="3:3" ht="19.899999999999999" customHeight="1">
      <c r="C239" s="47" t="str">
        <f>IF(Data!O188&gt;=80,"Delighted",IF(Data!O188&gt;=70,"Happy",IF(Data!O188&gt;=60,"Acceptable",IF(Data!O188&gt;=50,"Unimpressed",IF(Data!O188&lt;50,"Unhappy")))))</f>
        <v>Delighted</v>
      </c>
    </row>
    <row r="240" spans="3:3" ht="19.899999999999999" customHeight="1">
      <c r="C240" s="47" t="str">
        <f>IF(Data!O189&gt;=80,"Delighted",IF(Data!O189&gt;=70,"Happy",IF(Data!O189&gt;=60,"Acceptable",IF(Data!O189&gt;=50,"Unimpressed",IF(Data!O189&lt;50,"Unhappy")))))</f>
        <v>Unimpressed</v>
      </c>
    </row>
    <row r="241" spans="3:3" ht="19.899999999999999" customHeight="1">
      <c r="C241" s="47" t="str">
        <f>IF(Data!O190&gt;=80,"Delighted",IF(Data!O190&gt;=70,"Happy",IF(Data!O190&gt;=60,"Acceptable",IF(Data!O190&gt;=50,"Unimpressed",IF(Data!O190&lt;50,"Unhappy")))))</f>
        <v>Unimpressed</v>
      </c>
    </row>
    <row r="242" spans="3:3" ht="19.899999999999999" customHeight="1">
      <c r="C242" s="47" t="str">
        <f>IF(Data!O191&gt;=80,"Delighted",IF(Data!O191&gt;=70,"Happy",IF(Data!O191&gt;=60,"Acceptable",IF(Data!O191&gt;=50,"Unimpressed",IF(Data!O191&lt;50,"Unhappy")))))</f>
        <v>Unimpressed</v>
      </c>
    </row>
    <row r="243" spans="3:3" ht="19.899999999999999" customHeight="1">
      <c r="C243" s="47" t="str">
        <f>IF(Data!O192&gt;=80,"Delighted",IF(Data!O192&gt;=70,"Happy",IF(Data!O192&gt;=60,"Acceptable",IF(Data!O192&gt;=50,"Unimpressed",IF(Data!O192&lt;50,"Unhappy")))))</f>
        <v>Acceptable</v>
      </c>
    </row>
    <row r="244" spans="3:3" ht="19.899999999999999" customHeight="1">
      <c r="C244" s="47" t="str">
        <f>IF(Data!O193&gt;=80,"Delighted",IF(Data!O193&gt;=70,"Happy",IF(Data!O193&gt;=60,"Acceptable",IF(Data!O193&gt;=50,"Unimpressed",IF(Data!O193&lt;50,"Unhappy")))))</f>
        <v>Delighted</v>
      </c>
    </row>
    <row r="245" spans="3:3" ht="19.899999999999999" customHeight="1">
      <c r="C245" s="47" t="str">
        <f>IF(Data!O194&gt;=80,"Delighted",IF(Data!O194&gt;=70,"Happy",IF(Data!O194&gt;=60,"Acceptable",IF(Data!O194&gt;=50,"Unimpressed",IF(Data!O194&lt;50,"Unhappy")))))</f>
        <v>Happy</v>
      </c>
    </row>
    <row r="246" spans="3:3" ht="19.899999999999999" customHeight="1">
      <c r="C246" s="47" t="str">
        <f>IF(Data!O195&gt;=80,"Delighted",IF(Data!O195&gt;=70,"Happy",IF(Data!O195&gt;=60,"Acceptable",IF(Data!O195&gt;=50,"Unimpressed",IF(Data!O195&lt;50,"Unhappy")))))</f>
        <v>Unimpressed</v>
      </c>
    </row>
    <row r="247" spans="3:3" ht="19.899999999999999" customHeight="1">
      <c r="C247" s="47" t="str">
        <f>IF(Data!O196&gt;=80,"Delighted",IF(Data!O196&gt;=70,"Happy",IF(Data!O196&gt;=60,"Acceptable",IF(Data!O196&gt;=50,"Unimpressed",IF(Data!O196&lt;50,"Unhappy")))))</f>
        <v>Delighted</v>
      </c>
    </row>
    <row r="248" spans="3:3" ht="19.899999999999999" customHeight="1">
      <c r="C248" s="47" t="str">
        <f>IF(Data!O197&gt;=80,"Delighted",IF(Data!O197&gt;=70,"Happy",IF(Data!O197&gt;=60,"Acceptable",IF(Data!O197&gt;=50,"Unimpressed",IF(Data!O197&lt;50,"Unhappy")))))</f>
        <v>Acceptable</v>
      </c>
    </row>
    <row r="249" spans="3:3" ht="19.899999999999999" customHeight="1">
      <c r="C249" s="47" t="str">
        <f>IF(Data!O198&gt;=80,"Delighted",IF(Data!O198&gt;=70,"Happy",IF(Data!O198&gt;=60,"Acceptable",IF(Data!O198&gt;=50,"Unimpressed",IF(Data!O198&lt;50,"Unhappy")))))</f>
        <v>Happy</v>
      </c>
    </row>
    <row r="250" spans="3:3" ht="19.899999999999999" customHeight="1">
      <c r="C250" s="47" t="str">
        <f>IF(Data!O199&gt;=80,"Delighted",IF(Data!O199&gt;=70,"Happy",IF(Data!O199&gt;=60,"Acceptable",IF(Data!O199&gt;=50,"Unimpressed",IF(Data!O199&lt;50,"Unhappy")))))</f>
        <v>Acceptable</v>
      </c>
    </row>
    <row r="251" spans="3:3" ht="19.899999999999999" customHeight="1">
      <c r="C251" s="47" t="str">
        <f>IF(Data!O200&gt;=80,"Delighted",IF(Data!O200&gt;=70,"Happy",IF(Data!O200&gt;=60,"Acceptable",IF(Data!O200&gt;=50,"Unimpressed",IF(Data!O200&lt;50,"Unhappy")))))</f>
        <v>Unhappy</v>
      </c>
    </row>
    <row r="252" spans="3:3" ht="19.899999999999999" customHeight="1">
      <c r="C252" s="47" t="str">
        <f>IF(Data!O201&gt;=80,"Delighted",IF(Data!O201&gt;=70,"Happy",IF(Data!O201&gt;=60,"Acceptable",IF(Data!O201&gt;=50,"Unimpressed",IF(Data!O201&lt;50,"Unhappy")))))</f>
        <v>Acceptable</v>
      </c>
    </row>
  </sheetData>
  <pageMargins left="0.7" right="0.7" top="0.75" bottom="0.75" header="0.3" footer="0.3"/>
  <pageSetup orientation="portrait" horizontalDpi="300" verticalDpi="30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66"/>
  <sheetViews>
    <sheetView topLeftCell="A56" zoomScale="80" zoomScaleNormal="80" workbookViewId="0">
      <selection activeCell="I63" sqref="I63"/>
    </sheetView>
  </sheetViews>
  <sheetFormatPr defaultColWidth="11.7109375" defaultRowHeight="19.899999999999999" customHeight="1"/>
  <cols>
    <col min="1" max="1" width="9" style="37" customWidth="1"/>
    <col min="2" max="2" width="11.7109375" style="29"/>
    <col min="3" max="3" width="14" style="29" customWidth="1"/>
    <col min="4" max="4" width="13.85546875" style="29" customWidth="1"/>
    <col min="5" max="6" width="11.7109375" style="29"/>
    <col min="7" max="7" width="22.7109375" style="29" customWidth="1"/>
    <col min="8" max="8" width="15" style="29" bestFit="1" customWidth="1"/>
    <col min="9" max="9" width="11.7109375" style="29"/>
    <col min="10" max="10" width="12.85546875" style="29" customWidth="1"/>
    <col min="11" max="16384" width="11.7109375" style="29"/>
  </cols>
  <sheetData>
    <row r="1" spans="1:26" ht="19.899999999999999" customHeight="1">
      <c r="A1" s="31" t="s">
        <v>77</v>
      </c>
      <c r="C1" s="29" t="s">
        <v>68</v>
      </c>
    </row>
    <row r="2" spans="1:26" ht="19.899999999999999" customHeight="1">
      <c r="B2" s="32"/>
      <c r="C2" s="33"/>
      <c r="D2" s="33"/>
      <c r="E2" s="33"/>
      <c r="F2" s="33"/>
      <c r="G2" s="33"/>
      <c r="H2" s="33"/>
      <c r="I2" s="33"/>
      <c r="J2" s="33"/>
      <c r="K2" s="33"/>
      <c r="L2" s="33"/>
      <c r="M2" s="33"/>
      <c r="N2" s="33"/>
      <c r="O2" s="33"/>
      <c r="P2" s="33"/>
      <c r="Q2" s="33"/>
      <c r="R2" s="33"/>
      <c r="S2" s="33"/>
      <c r="T2" s="33"/>
      <c r="U2" s="33"/>
      <c r="V2" s="33"/>
      <c r="W2" s="33"/>
      <c r="X2" s="33"/>
      <c r="Y2" s="33"/>
      <c r="Z2" s="34"/>
    </row>
    <row r="3" spans="1:26" ht="19.899999999999999" customHeight="1">
      <c r="B3" s="35" t="s">
        <v>97</v>
      </c>
      <c r="C3" s="31" t="s">
        <v>39</v>
      </c>
      <c r="E3" s="37"/>
      <c r="W3"/>
      <c r="Z3" s="36"/>
    </row>
    <row r="4" spans="1:26" ht="19.899999999999999" customHeight="1">
      <c r="B4" s="35"/>
      <c r="C4" s="29" t="s">
        <v>98</v>
      </c>
      <c r="D4" s="49" t="s">
        <v>171</v>
      </c>
      <c r="Z4" s="36"/>
    </row>
    <row r="5" spans="1:26" ht="19.899999999999999" customHeight="1">
      <c r="B5" s="35"/>
      <c r="C5" s="29" t="s">
        <v>99</v>
      </c>
      <c r="D5" s="49" t="s">
        <v>172</v>
      </c>
      <c r="Z5" s="36"/>
    </row>
    <row r="6" spans="1:26" ht="19.899999999999999" customHeight="1">
      <c r="B6" s="35"/>
      <c r="C6" s="29" t="s">
        <v>100</v>
      </c>
      <c r="D6" s="49" t="s">
        <v>173</v>
      </c>
      <c r="Z6" s="36"/>
    </row>
    <row r="7" spans="1:26" ht="19.899999999999999" customHeight="1">
      <c r="B7" s="35"/>
      <c r="C7" s="29" t="s">
        <v>101</v>
      </c>
      <c r="D7" s="49" t="s">
        <v>174</v>
      </c>
      <c r="Z7" s="36"/>
    </row>
    <row r="8" spans="1:26" ht="19.899999999999999" customHeight="1">
      <c r="B8" s="35"/>
      <c r="D8" s="37"/>
      <c r="Z8" s="36"/>
    </row>
    <row r="9" spans="1:26" ht="19.899999999999999" customHeight="1">
      <c r="B9" s="35" t="s">
        <v>102</v>
      </c>
      <c r="C9" s="31" t="s">
        <v>39</v>
      </c>
      <c r="E9" s="37"/>
      <c r="Z9" s="36"/>
    </row>
    <row r="10" spans="1:26" ht="19.899999999999999" customHeight="1">
      <c r="B10" s="35"/>
      <c r="C10" s="29" t="s">
        <v>98</v>
      </c>
      <c r="D10" s="63" t="s">
        <v>182</v>
      </c>
      <c r="Z10" s="36"/>
    </row>
    <row r="11" spans="1:26" ht="19.899999999999999" customHeight="1">
      <c r="B11" s="35"/>
      <c r="C11" s="29" t="s">
        <v>99</v>
      </c>
      <c r="D11" s="63" t="s">
        <v>183</v>
      </c>
      <c r="Z11" s="36"/>
    </row>
    <row r="12" spans="1:26" ht="19.899999999999999" customHeight="1">
      <c r="B12" s="35"/>
      <c r="C12" s="29" t="s">
        <v>100</v>
      </c>
      <c r="D12" s="63" t="s">
        <v>184</v>
      </c>
      <c r="Z12" s="36"/>
    </row>
    <row r="13" spans="1:26" ht="19.899999999999999" customHeight="1">
      <c r="B13" s="35"/>
      <c r="C13" s="29" t="s">
        <v>101</v>
      </c>
      <c r="D13" s="63" t="s">
        <v>182</v>
      </c>
      <c r="Z13" s="36"/>
    </row>
    <row r="14" spans="1:26" ht="19.899999999999999" customHeight="1">
      <c r="B14" s="35"/>
      <c r="V14"/>
      <c r="W14"/>
      <c r="X14"/>
      <c r="Z14" s="36"/>
    </row>
    <row r="15" spans="1:26" ht="19.899999999999999" customHeight="1">
      <c r="B15" s="38"/>
      <c r="C15" s="39"/>
      <c r="D15" s="39"/>
      <c r="E15" s="39"/>
      <c r="F15" s="39"/>
      <c r="G15" s="39"/>
      <c r="H15" s="39"/>
      <c r="I15" s="39"/>
      <c r="J15" s="39"/>
      <c r="K15" s="39"/>
      <c r="L15" s="39"/>
      <c r="M15" s="39"/>
      <c r="N15" s="39"/>
      <c r="O15" s="39"/>
      <c r="P15" s="39"/>
      <c r="Q15" s="39"/>
      <c r="R15" s="39"/>
      <c r="S15" s="39"/>
      <c r="T15" s="39"/>
      <c r="U15" s="39"/>
      <c r="V15" s="39"/>
      <c r="W15" s="39"/>
      <c r="X15" s="39"/>
      <c r="Y15" s="39"/>
      <c r="Z15" s="40"/>
    </row>
    <row r="16" spans="1:26" ht="19.899999999999999" customHeight="1">
      <c r="B16" s="41"/>
      <c r="C16" s="41"/>
      <c r="D16" s="41"/>
      <c r="E16" s="41"/>
      <c r="F16" s="41"/>
      <c r="G16" s="41"/>
      <c r="H16" s="41"/>
      <c r="I16" s="41"/>
      <c r="J16" s="41"/>
      <c r="K16" s="41"/>
      <c r="L16" s="41"/>
      <c r="M16" s="41"/>
      <c r="N16" s="41"/>
      <c r="O16" s="41"/>
      <c r="P16" s="41"/>
      <c r="Q16" s="41"/>
      <c r="R16" s="41"/>
      <c r="S16" s="41"/>
      <c r="T16" s="41"/>
      <c r="U16" s="41"/>
      <c r="V16" s="41"/>
      <c r="W16" s="41"/>
      <c r="X16" s="41"/>
      <c r="Y16" s="41"/>
      <c r="Z16" s="41"/>
    </row>
    <row r="17" spans="1:26" ht="19.899999999999999" customHeight="1">
      <c r="A17" s="31" t="s">
        <v>84</v>
      </c>
      <c r="C17" s="29" t="s">
        <v>68</v>
      </c>
    </row>
    <row r="18" spans="1:26" ht="19.899999999999999" customHeight="1">
      <c r="B18" s="32"/>
      <c r="C18" s="33"/>
      <c r="D18" s="33"/>
      <c r="E18" s="33"/>
      <c r="F18" s="33"/>
      <c r="G18" s="33"/>
      <c r="H18" s="33"/>
      <c r="I18" s="33"/>
      <c r="J18" s="33"/>
      <c r="K18" s="33"/>
      <c r="L18" s="33"/>
      <c r="M18" s="33"/>
      <c r="N18" s="33"/>
      <c r="O18" s="33"/>
      <c r="P18" s="33"/>
      <c r="Q18" s="33"/>
      <c r="R18" s="33"/>
      <c r="S18" s="33"/>
      <c r="T18" s="33"/>
      <c r="U18" s="33"/>
      <c r="V18" s="33"/>
      <c r="W18" s="33"/>
      <c r="X18" s="33"/>
      <c r="Y18" s="33"/>
      <c r="Z18" s="34"/>
    </row>
    <row r="19" spans="1:26" ht="19.899999999999999" customHeight="1">
      <c r="B19" s="61" t="s">
        <v>180</v>
      </c>
      <c r="C19" s="49"/>
      <c r="Z19" s="36"/>
    </row>
    <row r="20" spans="1:26" ht="19.899999999999999" customHeight="1">
      <c r="B20" s="35"/>
      <c r="C20" s="60" t="s">
        <v>39</v>
      </c>
      <c r="D20" s="60" t="s">
        <v>170</v>
      </c>
      <c r="Z20" s="36"/>
    </row>
    <row r="21" spans="1:26" ht="19.899999999999999" customHeight="1">
      <c r="B21" s="35"/>
      <c r="C21" s="54" t="s">
        <v>54</v>
      </c>
      <c r="D21" s="54">
        <v>0.34184517315516527</v>
      </c>
      <c r="Z21" s="36"/>
    </row>
    <row r="22" spans="1:26" ht="19.899999999999999" customHeight="1">
      <c r="B22" s="35"/>
      <c r="C22" s="54" t="s">
        <v>51</v>
      </c>
      <c r="D22" s="54">
        <v>0.37734655293122482</v>
      </c>
      <c r="Z22" s="36"/>
    </row>
    <row r="23" spans="1:26" ht="19.899999999999999" customHeight="1">
      <c r="B23" s="35"/>
      <c r="C23" s="54" t="s">
        <v>59</v>
      </c>
      <c r="D23" s="54">
        <v>0.37266711576922817</v>
      </c>
      <c r="Z23" s="36"/>
    </row>
    <row r="24" spans="1:26" ht="19.899999999999999" customHeight="1">
      <c r="B24" s="35"/>
      <c r="C24" s="54" t="s">
        <v>57</v>
      </c>
      <c r="D24" s="54">
        <v>0.31047506037592965</v>
      </c>
      <c r="Z24" s="36"/>
    </row>
    <row r="25" spans="1:26" ht="19.899999999999999" customHeight="1">
      <c r="B25" s="35"/>
      <c r="Z25" s="36"/>
    </row>
    <row r="26" spans="1:26" ht="19.899999999999999" customHeight="1">
      <c r="B26" s="35"/>
      <c r="Z26" s="36"/>
    </row>
    <row r="27" spans="1:26" ht="19.899999999999999" customHeight="1">
      <c r="B27" s="61" t="s">
        <v>181</v>
      </c>
      <c r="Z27" s="36"/>
    </row>
    <row r="28" spans="1:26" ht="19.899999999999999" customHeight="1">
      <c r="B28" s="35"/>
      <c r="C28" s="54" t="s">
        <v>39</v>
      </c>
      <c r="D28" s="54" t="s">
        <v>179</v>
      </c>
      <c r="Z28" s="36"/>
    </row>
    <row r="29" spans="1:26" ht="19.899999999999999" customHeight="1">
      <c r="B29" s="35"/>
      <c r="C29" s="54" t="s">
        <v>54</v>
      </c>
      <c r="D29" s="62">
        <v>72.093664742928979</v>
      </c>
      <c r="Z29" s="36"/>
    </row>
    <row r="30" spans="1:26" ht="19.899999999999999" customHeight="1">
      <c r="B30" s="35"/>
      <c r="C30" s="54" t="s">
        <v>51</v>
      </c>
      <c r="D30" s="62">
        <v>74.054264683762511</v>
      </c>
      <c r="Z30" s="36"/>
    </row>
    <row r="31" spans="1:26" ht="19.899999999999999" customHeight="1">
      <c r="B31" s="35"/>
      <c r="C31" s="54" t="s">
        <v>59</v>
      </c>
      <c r="D31" s="62">
        <v>76.02246248028365</v>
      </c>
      <c r="Z31" s="36"/>
    </row>
    <row r="32" spans="1:26" ht="19.899999999999999" customHeight="1">
      <c r="B32" s="35"/>
      <c r="C32" s="54" t="s">
        <v>57</v>
      </c>
      <c r="D32" s="62">
        <v>71.836389233512733</v>
      </c>
      <c r="Z32" s="36"/>
    </row>
    <row r="33" spans="2:26" ht="19.899999999999999" customHeight="1">
      <c r="B33" s="35"/>
      <c r="Z33" s="36"/>
    </row>
    <row r="34" spans="2:26" ht="19.899999999999999" customHeight="1">
      <c r="B34" s="35"/>
      <c r="Z34" s="36"/>
    </row>
    <row r="35" spans="2:26" ht="19.899999999999999" customHeight="1">
      <c r="B35" s="35"/>
      <c r="Z35" s="36"/>
    </row>
    <row r="36" spans="2:26" ht="19.899999999999999" customHeight="1">
      <c r="B36" s="35"/>
      <c r="Z36" s="36"/>
    </row>
    <row r="37" spans="2:26" ht="19.899999999999999" customHeight="1">
      <c r="B37" s="35"/>
      <c r="Z37" s="36"/>
    </row>
    <row r="38" spans="2:26" ht="19.899999999999999" customHeight="1">
      <c r="B38" s="35"/>
      <c r="Z38" s="36"/>
    </row>
    <row r="39" spans="2:26" ht="19.899999999999999" customHeight="1">
      <c r="B39" s="35"/>
      <c r="Z39" s="36"/>
    </row>
    <row r="40" spans="2:26" ht="19.899999999999999" customHeight="1">
      <c r="B40" s="35"/>
      <c r="Z40" s="36"/>
    </row>
    <row r="41" spans="2:26" ht="19.899999999999999" customHeight="1">
      <c r="B41" s="35"/>
      <c r="Z41" s="36"/>
    </row>
    <row r="42" spans="2:26" ht="19.899999999999999" customHeight="1">
      <c r="B42" s="35"/>
      <c r="Z42" s="36"/>
    </row>
    <row r="43" spans="2:26" ht="19.899999999999999" customHeight="1">
      <c r="B43" s="35"/>
      <c r="Z43" s="36"/>
    </row>
    <row r="44" spans="2:26" ht="19.899999999999999" customHeight="1">
      <c r="B44" s="35"/>
      <c r="Z44" s="36"/>
    </row>
    <row r="45" spans="2:26" ht="19.899999999999999" customHeight="1">
      <c r="B45" s="35"/>
      <c r="Z45" s="36"/>
    </row>
    <row r="46" spans="2:26" ht="19.899999999999999" customHeight="1">
      <c r="B46" s="35"/>
      <c r="K46" s="37"/>
      <c r="Z46" s="36"/>
    </row>
    <row r="47" spans="2:26" ht="19.899999999999999" customHeight="1">
      <c r="B47" s="35"/>
      <c r="K47" s="37"/>
      <c r="Z47" s="36"/>
    </row>
    <row r="48" spans="2:26" ht="19.899999999999999" customHeight="1">
      <c r="B48" s="35"/>
      <c r="K48" s="37"/>
      <c r="Z48" s="36"/>
    </row>
    <row r="49" spans="1:26" ht="19.899999999999999" customHeight="1">
      <c r="B49" s="35"/>
      <c r="K49" s="37"/>
      <c r="Z49" s="36"/>
    </row>
    <row r="50" spans="1:26" ht="19.899999999999999" customHeight="1">
      <c r="B50" s="35"/>
      <c r="K50" s="37"/>
      <c r="Z50" s="36"/>
    </row>
    <row r="51" spans="1:26" ht="19.899999999999999" customHeight="1">
      <c r="B51" s="38"/>
      <c r="C51" s="39"/>
      <c r="D51" s="39"/>
      <c r="E51" s="39"/>
      <c r="F51" s="39"/>
      <c r="G51" s="39"/>
      <c r="H51" s="39"/>
      <c r="I51" s="39"/>
      <c r="J51" s="39"/>
      <c r="K51" s="39"/>
      <c r="L51" s="39"/>
      <c r="M51" s="39"/>
      <c r="N51" s="39"/>
      <c r="O51" s="39"/>
      <c r="P51" s="39"/>
      <c r="Q51" s="39"/>
      <c r="R51" s="39"/>
      <c r="S51" s="39"/>
      <c r="T51" s="39"/>
      <c r="U51" s="39"/>
      <c r="V51" s="39"/>
      <c r="W51" s="39"/>
      <c r="X51" s="39"/>
      <c r="Y51" s="39"/>
      <c r="Z51" s="40"/>
    </row>
    <row r="52" spans="1:26" ht="19.899999999999999" customHeight="1">
      <c r="A52" s="31" t="s">
        <v>85</v>
      </c>
      <c r="C52" s="29" t="s">
        <v>68</v>
      </c>
    </row>
    <row r="53" spans="1:26" ht="19.899999999999999" customHeight="1">
      <c r="C53" s="43" t="s">
        <v>175</v>
      </c>
      <c r="D53" s="143" t="s">
        <v>281</v>
      </c>
      <c r="E53" s="144"/>
      <c r="F53" s="144"/>
      <c r="G53" s="145"/>
      <c r="H53" s="46"/>
      <c r="I53" s="46"/>
      <c r="J53" s="46"/>
    </row>
    <row r="54" spans="1:26" ht="19.899999999999999" customHeight="1">
      <c r="D54" s="103" t="s">
        <v>39</v>
      </c>
      <c r="E54" s="103" t="s">
        <v>119</v>
      </c>
      <c r="F54" s="103" t="s">
        <v>120</v>
      </c>
      <c r="G54" s="103" t="s">
        <v>167</v>
      </c>
      <c r="H54" s="107" t="s">
        <v>168</v>
      </c>
      <c r="I54" s="107" t="s">
        <v>169</v>
      </c>
      <c r="J54" s="110" t="s">
        <v>280</v>
      </c>
    </row>
    <row r="55" spans="1:26" ht="19.899999999999999" customHeight="1">
      <c r="D55" s="100" t="s">
        <v>54</v>
      </c>
      <c r="E55" s="102">
        <f>AVERAGEIFS(Data!N2:N201,Data!D2:D201,'3'!D55)</f>
        <v>3058.75</v>
      </c>
      <c r="F55" s="102">
        <f t="array" ref="F55">_xlfn.STDEV.S(IF(Data!D2:D201='3'!D55,Data!N2:N201))</f>
        <v>1128.5100509898816</v>
      </c>
      <c r="G55" s="102">
        <f>COUNTIF(Data!D2:D201,'3'!D55)</f>
        <v>28</v>
      </c>
      <c r="H55" s="101">
        <f>(2500-E55)/F55</f>
        <v>-0.4951218640098845</v>
      </c>
      <c r="I55" s="101">
        <f>(3500-E55)/F55</f>
        <v>0.39100227739483051</v>
      </c>
      <c r="J55" s="102">
        <f>_xlfn.NORM.S.DIST(I55,TRUE)-_xlfn.NORM.S.DIST(H55,TRUE)</f>
        <v>0.34184517315516527</v>
      </c>
    </row>
    <row r="56" spans="1:26" ht="19.899999999999999" customHeight="1">
      <c r="D56" s="100" t="s">
        <v>51</v>
      </c>
      <c r="E56" s="102">
        <f>AVERAGEIFS(Data!N2:N201,Data!D2:D201,'3'!D56)</f>
        <v>2867.867924528302</v>
      </c>
      <c r="F56" s="102">
        <f t="array" ref="F56">_xlfn.STDEV.S(IF(Data!D2:D201='3'!D56,Data!N2:N201))</f>
        <v>1007.3708361131856</v>
      </c>
      <c r="G56" s="102">
        <f>COUNTIF(Data!D2:D201,'3'!D56)</f>
        <v>53</v>
      </c>
      <c r="H56" s="101">
        <f t="shared" ref="H56:H58" si="0">(2500-E56)/F56</f>
        <v>-0.36517627008905112</v>
      </c>
      <c r="I56" s="101">
        <f t="shared" ref="I56:I58" si="1">(3500-E56)/F56</f>
        <v>0.62750682550102466</v>
      </c>
      <c r="J56" s="102">
        <f t="shared" ref="J56:J58" si="2">_xlfn.NORM.S.DIST(I56,TRUE)-_xlfn.NORM.S.DIST(H56,TRUE)</f>
        <v>0.37734655293122482</v>
      </c>
    </row>
    <row r="57" spans="1:26" ht="19.899999999999999" customHeight="1">
      <c r="D57" s="100" t="s">
        <v>59</v>
      </c>
      <c r="E57" s="102">
        <f>AVERAGEIFS(Data!N2:N201,Data!D2:D201,'3'!D57)</f>
        <v>2358.2222222222222</v>
      </c>
      <c r="F57" s="102">
        <f t="array" ref="F57">_xlfn.STDEV.S(IF(Data!D2:D201='3'!D57,Data!N2:N201))</f>
        <v>664.32359202472594</v>
      </c>
      <c r="G57" s="102">
        <f>COUNTIF(Data!D2:D201,'3'!D57)</f>
        <v>36</v>
      </c>
      <c r="H57" s="101">
        <f t="shared" si="0"/>
        <v>0.21341674370718555</v>
      </c>
      <c r="I57" s="101">
        <f t="shared" si="1"/>
        <v>1.7187072557484624</v>
      </c>
      <c r="J57" s="102">
        <f t="shared" si="2"/>
        <v>0.37266711576922817</v>
      </c>
    </row>
    <row r="58" spans="1:26" ht="19.899999999999999" customHeight="1">
      <c r="D58" s="100" t="s">
        <v>57</v>
      </c>
      <c r="E58" s="102">
        <f>AVERAGEIFS(Data!N2:N201,Data!D2:D201,'3'!D58)</f>
        <v>3443.2530120481929</v>
      </c>
      <c r="F58" s="102">
        <f t="array" ref="F58">_xlfn.STDEV.S(IF(Data!D2:D201='3'!D58,Data!N2:N201))</f>
        <v>1164.4533821096791</v>
      </c>
      <c r="G58" s="102">
        <f>COUNTIF(Data!D2:D201,'3'!D58)</f>
        <v>83</v>
      </c>
      <c r="H58" s="101">
        <f t="shared" si="0"/>
        <v>-0.81003930817674286</v>
      </c>
      <c r="I58" s="101">
        <f t="shared" si="1"/>
        <v>4.8732726293427654E-2</v>
      </c>
      <c r="J58" s="102">
        <f t="shared" si="2"/>
        <v>0.31047506037592965</v>
      </c>
    </row>
    <row r="61" spans="1:26" ht="19.899999999999999" customHeight="1">
      <c r="C61" s="43" t="s">
        <v>176</v>
      </c>
      <c r="D61" s="143" t="s">
        <v>283</v>
      </c>
      <c r="E61" s="144"/>
      <c r="F61" s="144"/>
      <c r="G61" s="145"/>
      <c r="H61" s="46"/>
      <c r="I61" s="46"/>
      <c r="J61" s="46"/>
    </row>
    <row r="62" spans="1:26" ht="19.899999999999999" customHeight="1">
      <c r="D62" s="103" t="s">
        <v>39</v>
      </c>
      <c r="E62" s="103" t="s">
        <v>119</v>
      </c>
      <c r="F62" s="103" t="s">
        <v>120</v>
      </c>
      <c r="G62" s="103" t="s">
        <v>177</v>
      </c>
      <c r="H62" s="104" t="s">
        <v>282</v>
      </c>
      <c r="I62" s="103" t="s">
        <v>178</v>
      </c>
      <c r="J62" s="103" t="s">
        <v>179</v>
      </c>
    </row>
    <row r="63" spans="1:26" ht="19.899999999999999" customHeight="1">
      <c r="D63" s="100" t="s">
        <v>54</v>
      </c>
      <c r="E63" s="102">
        <f>AVERAGEIFS(Data!O2:O201,Data!D2:D201,'3'!D63)</f>
        <v>68.678571428571431</v>
      </c>
      <c r="F63" s="102">
        <f t="array" ref="F63">_xlfn.STDEV.S(IF(Data!D2:D201='3'!D63,Data!O2:O201))</f>
        <v>13.479898811106539</v>
      </c>
      <c r="G63" s="102">
        <f>COUNTIF(Data!D2:D201,'3'!D63)</f>
        <v>28</v>
      </c>
      <c r="H63" s="101">
        <v>0.6</v>
      </c>
      <c r="I63" s="102">
        <f>_xlfn.NORM.S.INV(H63)</f>
        <v>0.25334710313579978</v>
      </c>
      <c r="J63" s="111">
        <f>(I63*F63)+E63</f>
        <v>72.093664742928979</v>
      </c>
    </row>
    <row r="64" spans="1:26" ht="19.899999999999999" customHeight="1">
      <c r="D64" s="100" t="s">
        <v>51</v>
      </c>
      <c r="E64" s="102">
        <f>AVERAGEIFS(Data!O2:O201,Data!D2:D201,'3'!D64)</f>
        <v>70.283018867924525</v>
      </c>
      <c r="F64" s="102">
        <f>_xlfn.STDEV.S(IF(Data!D2:D201='3'!D64,Data!O2:O201))</f>
        <v>14.8856875376093</v>
      </c>
      <c r="G64" s="102">
        <f>COUNTIF(Data!D2:D201,'3'!D64)</f>
        <v>53</v>
      </c>
      <c r="H64" s="101">
        <v>0.6</v>
      </c>
      <c r="I64" s="102">
        <f t="shared" ref="I64:I66" si="3">_xlfn.NORM.S.INV(H64)</f>
        <v>0.25334710313579978</v>
      </c>
      <c r="J64" s="111">
        <f t="shared" ref="J64:J66" si="4">(I64*F64)+E64</f>
        <v>74.054264683762511</v>
      </c>
    </row>
    <row r="65" spans="4:10" ht="19.899999999999999" customHeight="1">
      <c r="D65" s="100" t="s">
        <v>59</v>
      </c>
      <c r="E65" s="102">
        <f>AVERAGEIFS(Data!O2:O201,Data!D2:D201,'3'!D65)</f>
        <v>72.138888888888886</v>
      </c>
      <c r="F65" s="102">
        <f t="array" ref="F65">_xlfn.STDEV.S(IF(Data!D2:D201='3'!D65,Data!O2:O201))</f>
        <v>15.329062552229308</v>
      </c>
      <c r="G65" s="102">
        <f>COUNTIF(Data!D2:D201,'3'!D65)</f>
        <v>36</v>
      </c>
      <c r="H65" s="101">
        <v>0.6</v>
      </c>
      <c r="I65" s="102">
        <f t="shared" si="3"/>
        <v>0.25334710313579978</v>
      </c>
      <c r="J65" s="111">
        <f t="shared" si="4"/>
        <v>76.02246248028365</v>
      </c>
    </row>
    <row r="66" spans="4:10" ht="19.899999999999999" customHeight="1">
      <c r="D66" s="100" t="s">
        <v>57</v>
      </c>
      <c r="E66" s="102">
        <f>AVERAGEIFS(Data!O2:O201,Data!D2:D201,'3'!D66)</f>
        <v>67.975903614457835</v>
      </c>
      <c r="F66" s="102">
        <f t="array" ref="F66">_xlfn.STDEV.S(IF(Data!D2:D201='3'!D66,Data!O2:O201))</f>
        <v>15.237930772729571</v>
      </c>
      <c r="G66" s="102">
        <f>COUNTIF(Data!D2:D201,'3'!D66)</f>
        <v>83</v>
      </c>
      <c r="H66" s="101">
        <v>0.6</v>
      </c>
      <c r="I66" s="102">
        <f t="shared" si="3"/>
        <v>0.25334710313579978</v>
      </c>
      <c r="J66" s="111">
        <f t="shared" si="4"/>
        <v>71.836389233512733</v>
      </c>
    </row>
  </sheetData>
  <sortState ref="B30:E229">
    <sortCondition ref="C30:C229"/>
    <sortCondition ref="D30:D229"/>
    <sortCondition ref="E30:E229"/>
  </sortState>
  <mergeCells count="2">
    <mergeCell ref="D53:G53"/>
    <mergeCell ref="D61:G61"/>
  </mergeCells>
  <pageMargins left="0.7" right="0.7" top="0.75" bottom="0.75" header="0.3" footer="0.3"/>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6"/>
  <sheetViews>
    <sheetView topLeftCell="B9" zoomScale="80" zoomScaleNormal="80" workbookViewId="0">
      <selection activeCell="J66" sqref="J66"/>
    </sheetView>
  </sheetViews>
  <sheetFormatPr defaultColWidth="11.7109375" defaultRowHeight="19.899999999999999" customHeight="1"/>
  <cols>
    <col min="1" max="1" width="9" style="37" customWidth="1"/>
    <col min="2" max="3" width="11.7109375" style="29"/>
    <col min="4" max="4" width="15.28515625" style="29" customWidth="1"/>
    <col min="5" max="5" width="24.85546875" style="29" bestFit="1" customWidth="1"/>
    <col min="6" max="6" width="13.28515625" style="29" customWidth="1"/>
    <col min="7" max="7" width="13.140625" style="29" customWidth="1"/>
    <col min="8" max="16384" width="11.7109375" style="29"/>
  </cols>
  <sheetData>
    <row r="1" spans="1:26" ht="19.899999999999999" customHeight="1">
      <c r="A1" s="31" t="s">
        <v>77</v>
      </c>
      <c r="C1" s="29" t="s">
        <v>103</v>
      </c>
    </row>
    <row r="2" spans="1:26" ht="19.899999999999999" customHeight="1">
      <c r="B2" s="32"/>
      <c r="C2" s="33"/>
      <c r="D2" s="33"/>
      <c r="E2" s="33"/>
      <c r="F2" s="33"/>
      <c r="G2" s="33"/>
      <c r="H2" s="33"/>
      <c r="I2" s="33"/>
      <c r="J2" s="33"/>
      <c r="K2" s="33"/>
      <c r="L2" s="33"/>
      <c r="M2" s="33"/>
      <c r="N2" s="33"/>
      <c r="O2" s="33"/>
      <c r="P2" s="33"/>
      <c r="Q2" s="33"/>
      <c r="R2" s="33"/>
      <c r="S2" s="33"/>
      <c r="T2" s="33"/>
      <c r="U2" s="33"/>
      <c r="V2" s="33"/>
      <c r="W2" s="33"/>
      <c r="X2" s="33"/>
      <c r="Y2" s="33"/>
      <c r="Z2" s="34"/>
    </row>
    <row r="3" spans="1:26" ht="19.899999999999999" customHeight="1">
      <c r="B3" s="35" t="s">
        <v>104</v>
      </c>
      <c r="C3" s="42" t="s">
        <v>38</v>
      </c>
      <c r="E3" s="64"/>
      <c r="Z3" s="36"/>
    </row>
    <row r="4" spans="1:26" ht="19.899999999999999" customHeight="1">
      <c r="B4" s="35"/>
      <c r="C4" s="29" t="s">
        <v>105</v>
      </c>
      <c r="D4" s="69" t="s">
        <v>284</v>
      </c>
      <c r="Z4" s="36"/>
    </row>
    <row r="5" spans="1:26" ht="19.899999999999999" customHeight="1">
      <c r="B5" s="35"/>
      <c r="C5" s="29" t="s">
        <v>106</v>
      </c>
      <c r="D5" s="69" t="s">
        <v>235</v>
      </c>
      <c r="Z5" s="36"/>
    </row>
    <row r="6" spans="1:26" ht="19.899999999999999" customHeight="1">
      <c r="B6" s="35"/>
      <c r="C6" s="56" t="s">
        <v>107</v>
      </c>
      <c r="D6" s="68" t="s">
        <v>235</v>
      </c>
      <c r="Z6" s="36"/>
    </row>
    <row r="7" spans="1:26" ht="19.899999999999999" customHeight="1">
      <c r="B7" s="35"/>
      <c r="D7" s="37"/>
      <c r="Z7" s="36"/>
    </row>
    <row r="8" spans="1:26" ht="19.899999999999999" customHeight="1">
      <c r="B8" s="35" t="s">
        <v>108</v>
      </c>
      <c r="C8" s="31" t="s">
        <v>39</v>
      </c>
      <c r="D8" s="37"/>
      <c r="N8" s="31"/>
      <c r="Z8" s="36"/>
    </row>
    <row r="9" spans="1:26" ht="19.899999999999999" customHeight="1">
      <c r="B9" s="35"/>
      <c r="C9" s="29" t="s">
        <v>98</v>
      </c>
      <c r="D9" s="37" t="s">
        <v>263</v>
      </c>
      <c r="Z9" s="36"/>
    </row>
    <row r="10" spans="1:26" ht="19.899999999999999" customHeight="1">
      <c r="B10" s="35"/>
      <c r="C10" s="29" t="s">
        <v>99</v>
      </c>
      <c r="D10" s="37" t="s">
        <v>265</v>
      </c>
      <c r="Z10" s="36"/>
    </row>
    <row r="11" spans="1:26" ht="19.899999999999999" customHeight="1">
      <c r="B11" s="35"/>
      <c r="C11" s="29" t="s">
        <v>100</v>
      </c>
      <c r="D11" s="37" t="s">
        <v>264</v>
      </c>
      <c r="Z11" s="36"/>
    </row>
    <row r="12" spans="1:26" ht="19.899999999999999" customHeight="1">
      <c r="B12" s="35"/>
      <c r="C12" s="29" t="s">
        <v>101</v>
      </c>
      <c r="D12" s="37" t="s">
        <v>266</v>
      </c>
      <c r="Z12" s="36"/>
    </row>
    <row r="13" spans="1:26" ht="19.899999999999999" customHeight="1">
      <c r="B13" s="38"/>
      <c r="C13" s="39"/>
      <c r="D13" s="39"/>
      <c r="E13" s="39"/>
      <c r="F13" s="39"/>
      <c r="G13" s="39"/>
      <c r="H13" s="39"/>
      <c r="I13" s="39"/>
      <c r="J13" s="39"/>
      <c r="K13" s="39"/>
      <c r="L13" s="39"/>
      <c r="M13" s="39"/>
      <c r="N13" s="39"/>
      <c r="O13" s="39"/>
      <c r="P13" s="39"/>
      <c r="Q13" s="39"/>
      <c r="R13" s="39"/>
      <c r="S13" s="39"/>
      <c r="T13" s="39"/>
      <c r="U13" s="39"/>
      <c r="V13" s="39"/>
      <c r="W13" s="39"/>
      <c r="X13" s="39"/>
      <c r="Y13" s="39"/>
      <c r="Z13" s="40"/>
    </row>
    <row r="14" spans="1:26" ht="19.899999999999999" customHeight="1">
      <c r="B14" s="41"/>
      <c r="C14" s="41"/>
      <c r="D14" s="41"/>
      <c r="E14" s="41"/>
      <c r="F14" s="41"/>
      <c r="G14" s="41"/>
      <c r="H14" s="41"/>
      <c r="I14" s="41"/>
      <c r="J14" s="41"/>
      <c r="K14" s="41"/>
      <c r="L14" s="41"/>
      <c r="M14" s="41"/>
      <c r="N14" s="41"/>
      <c r="O14" s="41"/>
      <c r="P14" s="41"/>
      <c r="Q14" s="41"/>
      <c r="R14" s="41"/>
      <c r="S14" s="41"/>
      <c r="T14" s="41"/>
      <c r="U14" s="41"/>
      <c r="V14" s="41"/>
      <c r="W14" s="41"/>
      <c r="X14" s="41"/>
      <c r="Y14" s="41"/>
      <c r="Z14" s="41"/>
    </row>
    <row r="15" spans="1:26" ht="19.899999999999999" customHeight="1">
      <c r="A15" s="31" t="s">
        <v>84</v>
      </c>
      <c r="C15" s="29" t="s">
        <v>103</v>
      </c>
    </row>
    <row r="16" spans="1:26" ht="19.899999999999999" customHeight="1">
      <c r="B16" s="32"/>
      <c r="C16" s="33"/>
      <c r="D16" s="33"/>
      <c r="E16" s="33"/>
      <c r="F16" s="33"/>
      <c r="G16" s="33"/>
      <c r="H16" s="33"/>
      <c r="I16" s="33"/>
      <c r="J16" s="33"/>
      <c r="K16" s="33"/>
      <c r="L16" s="33"/>
      <c r="M16" s="33"/>
      <c r="N16" s="33"/>
      <c r="O16" s="33"/>
      <c r="P16" s="33"/>
      <c r="Q16" s="33"/>
      <c r="R16" s="33"/>
      <c r="S16" s="33"/>
      <c r="T16" s="33"/>
      <c r="U16" s="33"/>
      <c r="V16" s="33"/>
      <c r="W16" s="33"/>
      <c r="X16" s="33"/>
      <c r="Y16" s="33"/>
      <c r="Z16" s="34"/>
    </row>
    <row r="17" spans="2:26" ht="19.899999999999999" customHeight="1">
      <c r="B17" s="35"/>
      <c r="C17" s="43" t="s">
        <v>175</v>
      </c>
      <c r="D17" s="48" t="s">
        <v>38</v>
      </c>
      <c r="E17" s="48" t="s">
        <v>50</v>
      </c>
      <c r="F17" s="48" t="s">
        <v>196</v>
      </c>
      <c r="G17" s="48" t="s">
        <v>56</v>
      </c>
      <c r="Z17" s="36"/>
    </row>
    <row r="18" spans="2:26" ht="19.899999999999999" customHeight="1">
      <c r="B18" s="35"/>
      <c r="D18" s="48" t="s">
        <v>195</v>
      </c>
      <c r="E18" s="46">
        <v>8.9684089572724598E-2</v>
      </c>
      <c r="F18" s="46">
        <v>3.1649978455703387E-2</v>
      </c>
      <c r="G18" s="46">
        <v>0.3850230886084558</v>
      </c>
      <c r="Z18" s="36"/>
    </row>
    <row r="19" spans="2:26" ht="19.899999999999999" customHeight="1">
      <c r="B19" s="35"/>
      <c r="Z19" s="36"/>
    </row>
    <row r="20" spans="2:26" ht="19.899999999999999" customHeight="1">
      <c r="B20" s="35"/>
      <c r="D20" s="43" t="s">
        <v>50</v>
      </c>
      <c r="L20" s="43" t="s">
        <v>53</v>
      </c>
      <c r="Z20" s="36"/>
    </row>
    <row r="21" spans="2:26" ht="19.899999999999999" customHeight="1">
      <c r="B21" s="35"/>
      <c r="D21" s="37" t="s">
        <v>253</v>
      </c>
      <c r="L21" s="37" t="s">
        <v>255</v>
      </c>
      <c r="Z21" s="36"/>
    </row>
    <row r="22" spans="2:26" ht="19.899999999999999" customHeight="1">
      <c r="B22" s="35"/>
      <c r="D22" s="37" t="s">
        <v>254</v>
      </c>
      <c r="L22" s="49" t="s">
        <v>206</v>
      </c>
      <c r="Z22" s="36"/>
    </row>
    <row r="23" spans="2:26" ht="19.899999999999999" customHeight="1">
      <c r="B23" s="35"/>
      <c r="Z23" s="36"/>
    </row>
    <row r="24" spans="2:26" ht="19.899999999999999" customHeight="1">
      <c r="B24" s="35"/>
      <c r="D24" s="43" t="s">
        <v>56</v>
      </c>
      <c r="Z24" s="36"/>
    </row>
    <row r="25" spans="2:26" ht="19.899999999999999" customHeight="1">
      <c r="B25" s="35"/>
      <c r="D25" s="37" t="s">
        <v>256</v>
      </c>
      <c r="Z25" s="36"/>
    </row>
    <row r="26" spans="2:26" ht="19.899999999999999" customHeight="1">
      <c r="B26" s="35"/>
      <c r="D26" s="49" t="s">
        <v>208</v>
      </c>
      <c r="Z26" s="36"/>
    </row>
    <row r="27" spans="2:26" ht="19.899999999999999" customHeight="1">
      <c r="B27" s="35"/>
      <c r="Z27" s="36"/>
    </row>
    <row r="28" spans="2:26" ht="19.899999999999999" customHeight="1">
      <c r="B28" s="35"/>
      <c r="Z28" s="36"/>
    </row>
    <row r="29" spans="2:26" ht="19.899999999999999" customHeight="1">
      <c r="B29" s="35"/>
      <c r="C29" s="43" t="s">
        <v>176</v>
      </c>
      <c r="Z29" s="36"/>
    </row>
    <row r="30" spans="2:26" ht="19.899999999999999" customHeight="1">
      <c r="B30" s="35"/>
      <c r="D30" s="48" t="s">
        <v>218</v>
      </c>
      <c r="E30" s="48" t="s">
        <v>54</v>
      </c>
      <c r="F30" s="48" t="s">
        <v>51</v>
      </c>
      <c r="G30" s="48" t="s">
        <v>59</v>
      </c>
      <c r="H30" s="48" t="s">
        <v>57</v>
      </c>
      <c r="Z30" s="36"/>
    </row>
    <row r="31" spans="2:26" ht="19.899999999999999" customHeight="1">
      <c r="B31" s="35"/>
      <c r="D31" s="46" t="s">
        <v>222</v>
      </c>
      <c r="E31" s="46">
        <v>-3.5925849560819945</v>
      </c>
      <c r="F31" s="46">
        <v>0.4898979485566361</v>
      </c>
      <c r="G31" s="46">
        <v>-2.2861904265976332</v>
      </c>
      <c r="H31" s="46">
        <v>5.3888774341229917</v>
      </c>
      <c r="Z31" s="36"/>
    </row>
    <row r="32" spans="2:26" ht="19.899999999999999" customHeight="1">
      <c r="B32" s="35"/>
      <c r="D32" s="46" t="s">
        <v>223</v>
      </c>
      <c r="E32" s="46">
        <v>-1.9599639845400538</v>
      </c>
      <c r="F32" s="46">
        <v>-1.9599639845400538</v>
      </c>
      <c r="G32" s="46">
        <v>-1.9599639845400538</v>
      </c>
      <c r="H32" s="46">
        <v>-1.9599639845400538</v>
      </c>
      <c r="Z32" s="36"/>
    </row>
    <row r="33" spans="2:26" ht="19.899999999999999" customHeight="1">
      <c r="B33" s="35"/>
      <c r="D33" s="46" t="s">
        <v>224</v>
      </c>
      <c r="E33" s="46">
        <v>1.9599639845400538</v>
      </c>
      <c r="F33" s="46">
        <v>1.9599639845400538</v>
      </c>
      <c r="G33" s="46">
        <v>1.9599639845400538</v>
      </c>
      <c r="H33" s="46">
        <v>1.9599639845400538</v>
      </c>
      <c r="Z33" s="36"/>
    </row>
    <row r="34" spans="2:26" ht="19.899999999999999" customHeight="1">
      <c r="B34" s="35"/>
      <c r="Z34" s="36"/>
    </row>
    <row r="35" spans="2:26" ht="19.899999999999999" customHeight="1">
      <c r="B35" s="35"/>
      <c r="Z35" s="36"/>
    </row>
    <row r="36" spans="2:26" ht="19.899999999999999" customHeight="1">
      <c r="B36" s="35"/>
      <c r="D36" s="43" t="s">
        <v>54</v>
      </c>
      <c r="N36" s="43" t="s">
        <v>51</v>
      </c>
      <c r="Z36" s="36"/>
    </row>
    <row r="37" spans="2:26" ht="19.899999999999999" customHeight="1">
      <c r="B37" s="35"/>
      <c r="D37" s="37" t="s">
        <v>261</v>
      </c>
      <c r="N37" s="49" t="s">
        <v>234</v>
      </c>
      <c r="Z37" s="36"/>
    </row>
    <row r="38" spans="2:26" ht="19.899999999999999" customHeight="1">
      <c r="B38" s="35"/>
      <c r="Z38" s="36"/>
    </row>
    <row r="39" spans="2:26" ht="19.899999999999999" customHeight="1">
      <c r="B39" s="35"/>
      <c r="Z39" s="36"/>
    </row>
    <row r="40" spans="2:26" ht="19.899999999999999" customHeight="1">
      <c r="B40" s="35"/>
      <c r="D40" s="43" t="s">
        <v>59</v>
      </c>
      <c r="N40" s="43" t="s">
        <v>57</v>
      </c>
      <c r="Z40" s="36"/>
    </row>
    <row r="41" spans="2:26" ht="19.899999999999999" customHeight="1">
      <c r="B41" s="35"/>
      <c r="D41" s="37" t="s">
        <v>262</v>
      </c>
      <c r="N41" s="49" t="s">
        <v>231</v>
      </c>
      <c r="Z41" s="36"/>
    </row>
    <row r="42" spans="2:26" ht="19.899999999999999" customHeight="1">
      <c r="B42" s="35"/>
      <c r="Z42" s="36"/>
    </row>
    <row r="43" spans="2:26" ht="19.899999999999999" customHeight="1">
      <c r="B43" s="35"/>
      <c r="Z43" s="36"/>
    </row>
    <row r="44" spans="2:26" ht="19.899999999999999" customHeight="1">
      <c r="B44" s="35"/>
      <c r="K44" s="37"/>
      <c r="Z44" s="36"/>
    </row>
    <row r="45" spans="2:26" ht="19.899999999999999" customHeight="1">
      <c r="B45" s="35"/>
      <c r="K45" s="37"/>
      <c r="Z45" s="36"/>
    </row>
    <row r="46" spans="2:26" ht="19.899999999999999" customHeight="1">
      <c r="B46" s="35"/>
      <c r="K46" s="37"/>
      <c r="Z46" s="36"/>
    </row>
    <row r="47" spans="2:26" ht="19.899999999999999" customHeight="1">
      <c r="B47" s="35"/>
      <c r="K47" s="37"/>
      <c r="Z47" s="36"/>
    </row>
    <row r="48" spans="2:26" ht="19.899999999999999" customHeight="1">
      <c r="B48" s="35"/>
      <c r="K48" s="37"/>
      <c r="Z48" s="36"/>
    </row>
    <row r="49" spans="1:26" ht="19.899999999999999" customHeight="1">
      <c r="B49" s="38"/>
      <c r="C49" s="39"/>
      <c r="D49" s="39"/>
      <c r="E49" s="39"/>
      <c r="F49" s="39"/>
      <c r="G49" s="39"/>
      <c r="H49" s="39"/>
      <c r="I49" s="39"/>
      <c r="J49" s="39"/>
      <c r="K49" s="39"/>
      <c r="L49" s="39"/>
      <c r="M49" s="39"/>
      <c r="N49" s="39"/>
      <c r="O49" s="39"/>
      <c r="P49" s="39"/>
      <c r="Q49" s="39"/>
      <c r="R49" s="39"/>
      <c r="S49" s="39"/>
      <c r="T49" s="39"/>
      <c r="U49" s="39"/>
      <c r="V49" s="39"/>
      <c r="W49" s="39"/>
      <c r="X49" s="39"/>
      <c r="Y49" s="39"/>
      <c r="Z49" s="40"/>
    </row>
    <row r="50" spans="1:26" ht="19.899999999999999" customHeight="1">
      <c r="A50" s="31" t="s">
        <v>85</v>
      </c>
      <c r="C50" s="29" t="s">
        <v>103</v>
      </c>
    </row>
    <row r="53" spans="1:26" ht="19.899999999999999" customHeight="1">
      <c r="C53" s="43" t="s">
        <v>180</v>
      </c>
    </row>
    <row r="54" spans="1:26" ht="19.899999999999999" customHeight="1">
      <c r="D54" s="45" t="s">
        <v>185</v>
      </c>
      <c r="E54" s="46"/>
      <c r="F54" s="46"/>
      <c r="G54" s="46"/>
      <c r="K54" s="43"/>
      <c r="P54" s="49" t="s">
        <v>187</v>
      </c>
    </row>
    <row r="55" spans="1:26" ht="19.899999999999999" customHeight="1">
      <c r="D55" s="48" t="s">
        <v>38</v>
      </c>
      <c r="E55" s="48" t="s">
        <v>119</v>
      </c>
      <c r="F55" s="48" t="s">
        <v>120</v>
      </c>
      <c r="G55" s="45" t="s">
        <v>186</v>
      </c>
    </row>
    <row r="56" spans="1:26" ht="19.899999999999999" customHeight="1">
      <c r="D56" s="48" t="s">
        <v>50</v>
      </c>
      <c r="E56" s="50">
        <f>AVERAGEIF(Data!C2:C201,'4'!D56,Data!O2:O201)</f>
        <v>69.293333333333337</v>
      </c>
      <c r="F56" s="50">
        <f t="array" ref="F56">_xlfn.STDEV.S(IF(Data!C2:C201='4'!D56,Data!O2:O201))</f>
        <v>14.651605698678555</v>
      </c>
      <c r="G56" s="50">
        <f>COUNTIF(Data!C2:C201,'4'!D56)</f>
        <v>75</v>
      </c>
    </row>
    <row r="57" spans="1:26" ht="19.899999999999999" customHeight="1">
      <c r="D57" s="48" t="s">
        <v>53</v>
      </c>
      <c r="E57" s="50">
        <f>AVERAGEIF(Data!C2:C201,'4'!D57,Data!O2:O201)</f>
        <v>69.651785714285708</v>
      </c>
      <c r="F57" s="50">
        <f t="array" ref="F57">_xlfn.STDEV.S(IF(Data!C2:C201='4'!D57,Data!O2:O201))</f>
        <v>14.960434197478746</v>
      </c>
      <c r="G57" s="50">
        <f>COUNTIF(Data!C2:C201,'4'!D57)</f>
        <v>112</v>
      </c>
    </row>
    <row r="58" spans="1:26" ht="19.899999999999999" customHeight="1">
      <c r="D58" s="48" t="s">
        <v>56</v>
      </c>
      <c r="E58" s="50">
        <f>AVERAGEIF(Data!C2:C201,'4'!D58,Data!O2:O201)</f>
        <v>68.384615384615387</v>
      </c>
      <c r="F58" s="50">
        <f t="array" ref="F58">_xlfn.STDEV.S(IF(Data!C2:C201='4'!D58,Data!O2:O201))</f>
        <v>16.695999827995031</v>
      </c>
      <c r="G58" s="50">
        <f>COUNTIF(Data!C2:C201,'4'!D58)</f>
        <v>13</v>
      </c>
      <c r="P58" s="65" t="s">
        <v>153</v>
      </c>
    </row>
    <row r="59" spans="1:26" ht="19.899999999999999" customHeight="1">
      <c r="P59" s="59"/>
    </row>
    <row r="60" spans="1:26" ht="19.899999999999999" customHeight="1">
      <c r="D60" s="54" t="s">
        <v>38</v>
      </c>
      <c r="E60" s="54" t="s">
        <v>50</v>
      </c>
      <c r="F60" s="54" t="s">
        <v>196</v>
      </c>
      <c r="G60" s="54" t="s">
        <v>56</v>
      </c>
      <c r="P60" s="65" t="s">
        <v>154</v>
      </c>
    </row>
    <row r="61" spans="1:26" ht="19.899999999999999" customHeight="1">
      <c r="D61" s="66" t="s">
        <v>189</v>
      </c>
      <c r="E61" s="54">
        <v>67</v>
      </c>
      <c r="F61" s="54">
        <v>67</v>
      </c>
      <c r="G61" s="54">
        <v>67</v>
      </c>
      <c r="P61" s="59"/>
    </row>
    <row r="62" spans="1:26" ht="19.899999999999999" customHeight="1">
      <c r="D62" s="54" t="s">
        <v>190</v>
      </c>
      <c r="E62" s="54">
        <f>E56</f>
        <v>69.293333333333337</v>
      </c>
      <c r="F62" s="54">
        <f>E57</f>
        <v>69.651785714285708</v>
      </c>
      <c r="G62" s="54">
        <f>E58</f>
        <v>68.384615384615387</v>
      </c>
      <c r="P62" s="65" t="s">
        <v>155</v>
      </c>
    </row>
    <row r="63" spans="1:26" ht="19.899999999999999" customHeight="1">
      <c r="D63" s="54" t="s">
        <v>191</v>
      </c>
      <c r="E63" s="54">
        <f>F56</f>
        <v>14.651605698678555</v>
      </c>
      <c r="F63" s="54">
        <f>F57</f>
        <v>14.960434197478746</v>
      </c>
      <c r="G63" s="54">
        <f>F58</f>
        <v>16.695999827995031</v>
      </c>
      <c r="P63" s="59"/>
    </row>
    <row r="64" spans="1:26" ht="19.899999999999999" customHeight="1">
      <c r="D64" s="54" t="s">
        <v>192</v>
      </c>
      <c r="E64" s="54">
        <f>G56</f>
        <v>75</v>
      </c>
      <c r="F64" s="54">
        <f>G57</f>
        <v>112</v>
      </c>
      <c r="G64" s="54">
        <f>G58</f>
        <v>13</v>
      </c>
      <c r="P64" s="65" t="s">
        <v>188</v>
      </c>
    </row>
    <row r="65" spans="3:17" ht="19.899999999999999" customHeight="1">
      <c r="D65" s="54" t="s">
        <v>121</v>
      </c>
      <c r="E65" s="54">
        <f>E64-1</f>
        <v>74</v>
      </c>
      <c r="F65" s="54">
        <f t="shared" ref="F65:G65" si="0">F64-1</f>
        <v>111</v>
      </c>
      <c r="G65" s="54">
        <f t="shared" si="0"/>
        <v>12</v>
      </c>
    </row>
    <row r="66" spans="3:17" ht="19.899999999999999" customHeight="1">
      <c r="D66" s="66" t="s">
        <v>193</v>
      </c>
      <c r="E66" s="54">
        <v>0.05</v>
      </c>
      <c r="F66" s="54">
        <v>0.05</v>
      </c>
      <c r="G66" s="54">
        <v>0.05</v>
      </c>
    </row>
    <row r="67" spans="3:17" ht="19.899999999999999" customHeight="1">
      <c r="D67" s="54" t="s">
        <v>194</v>
      </c>
      <c r="E67" s="54">
        <f>(E62-E61)/(E63/(SQRT(E64)))</f>
        <v>1.355540796590945</v>
      </c>
      <c r="F67" s="54">
        <f t="shared" ref="F67:G67" si="1">(F62-F61)/(F63/(SQRT(F64)))</f>
        <v>1.8758721672439567</v>
      </c>
      <c r="G67" s="54">
        <f t="shared" si="1"/>
        <v>0.2990118481946929</v>
      </c>
    </row>
    <row r="68" spans="3:17" ht="19.899999999999999" customHeight="1">
      <c r="D68" s="54" t="s">
        <v>195</v>
      </c>
      <c r="E68" s="54">
        <f>1-_xlfn.T.DIST(E67,E65,1)</f>
        <v>8.9684089572724557E-2</v>
      </c>
      <c r="F68" s="54">
        <f t="shared" ref="F68:G68" si="2">1-_xlfn.T.DIST(F67,F65,1)</f>
        <v>3.1649978455703387E-2</v>
      </c>
      <c r="G68" s="54">
        <f t="shared" si="2"/>
        <v>0.3850230886084558</v>
      </c>
    </row>
    <row r="70" spans="3:17" ht="19.899999999999999" customHeight="1">
      <c r="D70" s="49" t="s">
        <v>199</v>
      </c>
      <c r="I70" s="51"/>
      <c r="J70" s="49" t="s">
        <v>199</v>
      </c>
      <c r="P70" s="51"/>
      <c r="Q70" s="49" t="s">
        <v>199</v>
      </c>
    </row>
    <row r="71" spans="3:17" ht="19.899999999999999" customHeight="1">
      <c r="D71" s="49" t="s">
        <v>198</v>
      </c>
      <c r="I71" s="51"/>
      <c r="J71" s="49" t="s">
        <v>204</v>
      </c>
      <c r="P71" s="51"/>
      <c r="Q71" s="49" t="s">
        <v>202</v>
      </c>
    </row>
    <row r="72" spans="3:17" ht="19.899999999999999" customHeight="1">
      <c r="D72" s="49" t="s">
        <v>197</v>
      </c>
      <c r="I72" s="51"/>
      <c r="J72" s="49" t="s">
        <v>205</v>
      </c>
      <c r="P72" s="51"/>
      <c r="Q72" s="49" t="s">
        <v>203</v>
      </c>
    </row>
    <row r="73" spans="3:17" ht="19.899999999999999" customHeight="1">
      <c r="I73" s="51"/>
      <c r="P73" s="51"/>
    </row>
    <row r="74" spans="3:17" ht="19.899999999999999" customHeight="1">
      <c r="D74" s="49" t="s">
        <v>200</v>
      </c>
      <c r="I74" s="51"/>
      <c r="P74" s="51"/>
    </row>
    <row r="75" spans="3:17" ht="19.899999999999999" customHeight="1">
      <c r="I75" s="51"/>
      <c r="P75" s="51"/>
    </row>
    <row r="76" spans="3:17" ht="19.899999999999999" customHeight="1">
      <c r="D76" s="37" t="s">
        <v>252</v>
      </c>
      <c r="I76" s="51"/>
      <c r="J76" s="37" t="s">
        <v>201</v>
      </c>
      <c r="P76" s="51"/>
      <c r="Q76" s="49" t="s">
        <v>207</v>
      </c>
    </row>
    <row r="77" spans="3:17" ht="19.899999999999999" customHeight="1">
      <c r="I77" s="51"/>
      <c r="P77" s="51"/>
    </row>
    <row r="80" spans="3:17" ht="19.899999999999999" customHeight="1">
      <c r="C80" s="43" t="s">
        <v>181</v>
      </c>
      <c r="D80" s="45" t="s">
        <v>39</v>
      </c>
      <c r="E80" s="46" t="s">
        <v>167</v>
      </c>
      <c r="F80" s="45" t="s">
        <v>221</v>
      </c>
    </row>
    <row r="81" spans="4:17" ht="19.899999999999999" customHeight="1">
      <c r="D81" s="48" t="s">
        <v>54</v>
      </c>
      <c r="E81" s="30">
        <f>COUNTIF(Data!D2:D201,D81)</f>
        <v>28</v>
      </c>
      <c r="F81" s="46">
        <f>E81/200</f>
        <v>0.14000000000000001</v>
      </c>
    </row>
    <row r="82" spans="4:17" ht="19.899999999999999" customHeight="1">
      <c r="D82" s="48" t="s">
        <v>51</v>
      </c>
      <c r="E82" s="30">
        <f>COUNTIF(Data!D2:D201,D82)</f>
        <v>53</v>
      </c>
      <c r="F82" s="46">
        <f t="shared" ref="F82:F84" si="3">E82/200</f>
        <v>0.26500000000000001</v>
      </c>
    </row>
    <row r="83" spans="4:17" ht="19.899999999999999" customHeight="1">
      <c r="D83" s="48" t="s">
        <v>59</v>
      </c>
      <c r="E83" s="30">
        <f>COUNTIF(Data!D2:D201,D83)</f>
        <v>36</v>
      </c>
      <c r="F83" s="46">
        <f t="shared" si="3"/>
        <v>0.18</v>
      </c>
    </row>
    <row r="84" spans="4:17" ht="19.899999999999999" customHeight="1">
      <c r="D84" s="48" t="s">
        <v>57</v>
      </c>
      <c r="E84" s="30">
        <f>COUNTIF(Data!D2:D201,D84)</f>
        <v>83</v>
      </c>
      <c r="F84" s="46">
        <f t="shared" si="3"/>
        <v>0.41499999999999998</v>
      </c>
    </row>
    <row r="85" spans="4:17" ht="19.899999999999999" customHeight="1">
      <c r="D85" s="48" t="s">
        <v>118</v>
      </c>
      <c r="E85" s="30">
        <f>SUM(E81:E84)</f>
        <v>200</v>
      </c>
      <c r="F85" s="30">
        <f>SUM(F81:F84)</f>
        <v>1</v>
      </c>
    </row>
    <row r="87" spans="4:17" ht="19.899999999999999" customHeight="1">
      <c r="D87" s="49" t="s">
        <v>209</v>
      </c>
      <c r="E87" s="43" t="s">
        <v>54</v>
      </c>
      <c r="G87" s="51"/>
      <c r="H87" s="43" t="s">
        <v>51</v>
      </c>
      <c r="K87" s="51"/>
      <c r="L87" s="43" t="s">
        <v>59</v>
      </c>
      <c r="P87" s="51"/>
      <c r="Q87" s="43" t="s">
        <v>57</v>
      </c>
    </row>
    <row r="88" spans="4:17" ht="19.899999999999999" customHeight="1">
      <c r="D88" s="49" t="s">
        <v>210</v>
      </c>
      <c r="G88" s="67" t="s">
        <v>212</v>
      </c>
      <c r="K88" s="67" t="s">
        <v>214</v>
      </c>
      <c r="P88" s="67" t="s">
        <v>216</v>
      </c>
    </row>
    <row r="89" spans="4:17" ht="19.899999999999999" customHeight="1">
      <c r="D89" s="49" t="s">
        <v>211</v>
      </c>
      <c r="G89" s="67" t="s">
        <v>213</v>
      </c>
      <c r="K89" s="67" t="s">
        <v>215</v>
      </c>
      <c r="P89" s="67" t="s">
        <v>217</v>
      </c>
    </row>
    <row r="91" spans="4:17" ht="19.899999999999999" customHeight="1">
      <c r="D91" s="48" t="s">
        <v>218</v>
      </c>
      <c r="E91" s="48" t="s">
        <v>54</v>
      </c>
      <c r="F91" s="48" t="s">
        <v>51</v>
      </c>
      <c r="G91" s="48" t="s">
        <v>59</v>
      </c>
      <c r="H91" s="48" t="s">
        <v>57</v>
      </c>
    </row>
    <row r="92" spans="4:17" ht="19.899999999999999" customHeight="1">
      <c r="D92" s="48" t="s">
        <v>219</v>
      </c>
      <c r="E92" s="46">
        <v>0.25</v>
      </c>
      <c r="F92" s="46">
        <v>0.25</v>
      </c>
      <c r="G92" s="46">
        <v>0.25</v>
      </c>
      <c r="H92" s="46">
        <v>0.25</v>
      </c>
      <c r="K92" s="43" t="s">
        <v>222</v>
      </c>
    </row>
    <row r="93" spans="4:17" ht="19.899999999999999" customHeight="1">
      <c r="D93" s="48" t="s">
        <v>220</v>
      </c>
      <c r="E93" s="46">
        <f>F81</f>
        <v>0.14000000000000001</v>
      </c>
      <c r="F93" s="46">
        <f>F82</f>
        <v>0.26500000000000001</v>
      </c>
      <c r="G93" s="46">
        <f>F83</f>
        <v>0.18</v>
      </c>
      <c r="H93" s="46">
        <f>F84</f>
        <v>0.41499999999999998</v>
      </c>
    </row>
    <row r="94" spans="4:17" ht="19.899999999999999" customHeight="1">
      <c r="D94" s="48" t="s">
        <v>192</v>
      </c>
      <c r="E94" s="46">
        <v>200</v>
      </c>
      <c r="F94" s="46">
        <v>200</v>
      </c>
      <c r="G94" s="46">
        <v>200</v>
      </c>
      <c r="H94" s="46">
        <v>200</v>
      </c>
    </row>
    <row r="95" spans="4:17" ht="19.899999999999999" customHeight="1">
      <c r="D95" s="48" t="s">
        <v>225</v>
      </c>
      <c r="E95" s="46">
        <f>0.05/2</f>
        <v>2.5000000000000001E-2</v>
      </c>
      <c r="F95" s="46">
        <f t="shared" ref="F95:H95" si="4">0.05/2</f>
        <v>2.5000000000000001E-2</v>
      </c>
      <c r="G95" s="46">
        <f t="shared" si="4"/>
        <v>2.5000000000000001E-2</v>
      </c>
      <c r="H95" s="46">
        <f t="shared" si="4"/>
        <v>2.5000000000000001E-2</v>
      </c>
    </row>
    <row r="96" spans="4:17" ht="19.899999999999999" customHeight="1">
      <c r="D96" s="48" t="s">
        <v>222</v>
      </c>
      <c r="E96" s="46">
        <f>(E93-E92)/SQRT(((E92*(1-E92))/E94))</f>
        <v>-3.5925849560819945</v>
      </c>
      <c r="F96" s="46">
        <f t="shared" ref="F96:G96" si="5">(F93-F92)/SQRT(((F92*(1-F92))/F94))</f>
        <v>0.4898979485566361</v>
      </c>
      <c r="G96" s="46">
        <f t="shared" si="5"/>
        <v>-2.2861904265976332</v>
      </c>
      <c r="H96" s="46">
        <f>(H93-H92)/SQRT(((H92*(1-H92))/H94))</f>
        <v>5.3888774341229917</v>
      </c>
    </row>
    <row r="97" spans="4:20" ht="19.899999999999999" customHeight="1">
      <c r="D97" s="48" t="s">
        <v>223</v>
      </c>
      <c r="E97" s="46">
        <f>_xlfn.NORM.S.INV(E95)</f>
        <v>-1.9599639845400538</v>
      </c>
      <c r="F97" s="46">
        <f t="shared" ref="F97:G97" si="6">_xlfn.NORM.S.INV(F95)</f>
        <v>-1.9599639845400538</v>
      </c>
      <c r="G97" s="46">
        <f t="shared" si="6"/>
        <v>-1.9599639845400538</v>
      </c>
      <c r="H97" s="46">
        <f>_xlfn.NORM.S.INV(H95)</f>
        <v>-1.9599639845400538</v>
      </c>
    </row>
    <row r="98" spans="4:20" ht="19.899999999999999" customHeight="1">
      <c r="D98" s="48" t="s">
        <v>224</v>
      </c>
      <c r="E98" s="46">
        <f>-_xlfn.NORM.S.INV(E95)</f>
        <v>1.9599639845400538</v>
      </c>
      <c r="F98" s="46">
        <f t="shared" ref="F98:H98" si="7">-_xlfn.NORM.S.INV(F95)</f>
        <v>1.9599639845400538</v>
      </c>
      <c r="G98" s="46">
        <f t="shared" si="7"/>
        <v>1.9599639845400538</v>
      </c>
      <c r="H98" s="46">
        <f t="shared" si="7"/>
        <v>1.9599639845400538</v>
      </c>
    </row>
    <row r="100" spans="4:20" ht="19.899999999999999" customHeight="1">
      <c r="D100" s="43" t="s">
        <v>226</v>
      </c>
    </row>
    <row r="101" spans="4:20" ht="19.899999999999999" customHeight="1">
      <c r="D101" s="49" t="s">
        <v>227</v>
      </c>
    </row>
    <row r="103" spans="4:20" ht="19.899999999999999" customHeight="1">
      <c r="D103" s="43" t="s">
        <v>228</v>
      </c>
      <c r="I103" s="51"/>
      <c r="N103" s="51"/>
      <c r="T103" s="51"/>
    </row>
    <row r="104" spans="4:20" ht="19.899999999999999" customHeight="1">
      <c r="D104" s="37" t="s">
        <v>257</v>
      </c>
      <c r="I104" s="67" t="s">
        <v>229</v>
      </c>
      <c r="N104" s="70" t="s">
        <v>258</v>
      </c>
      <c r="T104" s="67" t="s">
        <v>230</v>
      </c>
    </row>
    <row r="105" spans="4:20" ht="19.899999999999999" customHeight="1">
      <c r="D105" s="49" t="s">
        <v>232</v>
      </c>
      <c r="I105" s="67" t="s">
        <v>233</v>
      </c>
      <c r="N105" s="70" t="s">
        <v>259</v>
      </c>
      <c r="T105" s="70" t="s">
        <v>260</v>
      </c>
    </row>
    <row r="106" spans="4:20" ht="19.899999999999999" customHeight="1">
      <c r="I106" s="51"/>
      <c r="N106" s="51"/>
      <c r="T106" s="51"/>
    </row>
  </sheetData>
  <sortState ref="M32:N231">
    <sortCondition ref="N32:N231"/>
    <sortCondition ref="M32:M231"/>
  </sortState>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7"/>
  <sheetViews>
    <sheetView topLeftCell="A2" workbookViewId="0">
      <selection activeCell="F33" sqref="F33"/>
    </sheetView>
  </sheetViews>
  <sheetFormatPr defaultRowHeight="15"/>
  <cols>
    <col min="1" max="1" width="19.140625" customWidth="1"/>
    <col min="2" max="2" width="16.28515625" customWidth="1"/>
    <col min="3" max="3" width="9.7109375" bestFit="1" customWidth="1"/>
    <col min="4" max="4" width="8.5703125" customWidth="1"/>
    <col min="5" max="5" width="9.140625" customWidth="1"/>
    <col min="6" max="6" width="11.28515625" customWidth="1"/>
    <col min="7" max="7" width="11.28515625" bestFit="1" customWidth="1"/>
    <col min="8" max="9" width="5.5703125" customWidth="1"/>
    <col min="10" max="10" width="7" bestFit="1" customWidth="1"/>
    <col min="11" max="191" width="5.5703125" customWidth="1"/>
    <col min="192" max="192" width="11.28515625" bestFit="1" customWidth="1"/>
  </cols>
  <sheetData>
    <row r="1" spans="1:22">
      <c r="A1" s="128" t="s">
        <v>294</v>
      </c>
      <c r="B1" s="129"/>
      <c r="C1" s="129"/>
      <c r="D1" s="129"/>
      <c r="E1" s="129"/>
      <c r="F1" s="129"/>
      <c r="G1" s="129"/>
      <c r="H1" s="129"/>
      <c r="I1" s="129"/>
      <c r="J1" s="129"/>
      <c r="K1" s="129"/>
      <c r="L1" s="129"/>
      <c r="M1" s="129"/>
      <c r="N1" s="129"/>
      <c r="O1" s="129"/>
      <c r="P1" s="129"/>
      <c r="Q1" s="129"/>
      <c r="R1" s="129"/>
      <c r="S1" s="129"/>
      <c r="T1" s="129"/>
      <c r="U1" s="129"/>
      <c r="V1" s="130"/>
    </row>
    <row r="2" spans="1:22" ht="15.75" thickBot="1">
      <c r="A2" s="131"/>
      <c r="B2" s="132"/>
      <c r="C2" s="132"/>
      <c r="D2" s="132"/>
      <c r="E2" s="132"/>
      <c r="F2" s="132"/>
      <c r="G2" s="132"/>
      <c r="H2" s="132"/>
      <c r="I2" s="132"/>
      <c r="J2" s="132"/>
      <c r="K2" s="132"/>
      <c r="L2" s="132"/>
      <c r="M2" s="132"/>
      <c r="N2" s="132"/>
      <c r="O2" s="132"/>
      <c r="P2" s="132"/>
      <c r="Q2" s="132"/>
      <c r="R2" s="132"/>
      <c r="S2" s="132"/>
      <c r="T2" s="132"/>
      <c r="U2" s="132"/>
      <c r="V2" s="133"/>
    </row>
    <row r="3" spans="1:22" ht="15.75" thickBot="1">
      <c r="A3" s="134" t="s">
        <v>272</v>
      </c>
      <c r="B3" s="135" t="s">
        <v>289</v>
      </c>
      <c r="C3" s="132"/>
      <c r="D3" s="132"/>
      <c r="E3" s="132"/>
      <c r="F3" s="132"/>
      <c r="G3" s="132"/>
      <c r="H3" s="132"/>
      <c r="I3" s="132"/>
      <c r="J3" s="132"/>
      <c r="K3" s="132"/>
      <c r="L3" s="132"/>
      <c r="M3" s="132"/>
      <c r="N3" s="132"/>
      <c r="O3" s="152" t="s">
        <v>295</v>
      </c>
      <c r="P3" s="153"/>
      <c r="Q3" s="154"/>
      <c r="R3" s="132"/>
      <c r="S3" s="132"/>
      <c r="T3" s="132"/>
      <c r="U3" s="132"/>
      <c r="V3" s="133"/>
    </row>
    <row r="4" spans="1:22">
      <c r="A4" s="134" t="s">
        <v>267</v>
      </c>
      <c r="B4" s="132" t="s">
        <v>144</v>
      </c>
      <c r="C4" s="132" t="s">
        <v>146</v>
      </c>
      <c r="D4" s="132" t="s">
        <v>145</v>
      </c>
      <c r="E4" s="132" t="s">
        <v>142</v>
      </c>
      <c r="F4" s="132" t="s">
        <v>143</v>
      </c>
      <c r="G4" s="132" t="s">
        <v>268</v>
      </c>
      <c r="H4" s="132"/>
      <c r="I4" s="132"/>
      <c r="J4" s="132"/>
      <c r="K4" s="132"/>
      <c r="L4" s="132"/>
      <c r="M4" s="132"/>
      <c r="N4" s="132"/>
      <c r="O4" s="132"/>
      <c r="P4" s="132"/>
      <c r="Q4" s="132"/>
      <c r="R4" s="132"/>
      <c r="S4" s="132"/>
      <c r="T4" s="132"/>
      <c r="U4" s="132"/>
      <c r="V4" s="133"/>
    </row>
    <row r="5" spans="1:22">
      <c r="A5" s="136" t="s">
        <v>114</v>
      </c>
      <c r="B5" s="137">
        <v>29777</v>
      </c>
      <c r="C5" s="137">
        <v>65307</v>
      </c>
      <c r="D5" s="137">
        <v>31344</v>
      </c>
      <c r="E5" s="137">
        <v>8161</v>
      </c>
      <c r="F5" s="137">
        <v>45574</v>
      </c>
      <c r="G5" s="137">
        <v>180163</v>
      </c>
      <c r="H5" s="132"/>
      <c r="I5" s="132"/>
      <c r="J5" s="132"/>
      <c r="K5" s="132"/>
      <c r="L5" s="138" t="s">
        <v>300</v>
      </c>
      <c r="M5" s="132"/>
      <c r="N5" s="132"/>
      <c r="O5" s="132"/>
      <c r="P5" s="132"/>
      <c r="Q5" s="132"/>
      <c r="R5" s="132"/>
      <c r="S5" s="132"/>
      <c r="T5" s="132"/>
      <c r="U5" s="132"/>
      <c r="V5" s="133"/>
    </row>
    <row r="6" spans="1:22">
      <c r="A6" s="136" t="s">
        <v>116</v>
      </c>
      <c r="B6" s="137">
        <v>32241</v>
      </c>
      <c r="C6" s="137">
        <v>31287</v>
      </c>
      <c r="D6" s="137">
        <v>34089</v>
      </c>
      <c r="E6" s="137">
        <v>26490</v>
      </c>
      <c r="F6" s="137">
        <v>26911</v>
      </c>
      <c r="G6" s="137">
        <v>151018</v>
      </c>
      <c r="H6" s="132"/>
      <c r="I6" s="132"/>
      <c r="J6" s="132"/>
      <c r="K6" s="132"/>
      <c r="L6" s="132"/>
      <c r="M6" s="132"/>
      <c r="N6" s="132" t="str">
        <f>A7</f>
        <v>Prime</v>
      </c>
      <c r="O6" s="132"/>
      <c r="P6" s="132"/>
      <c r="Q6" s="132"/>
      <c r="R6" s="132"/>
      <c r="S6" s="132"/>
      <c r="T6" s="132"/>
      <c r="U6" s="132"/>
      <c r="V6" s="133"/>
    </row>
    <row r="7" spans="1:22" ht="15.75" thickBot="1">
      <c r="A7" s="136" t="s">
        <v>115</v>
      </c>
      <c r="B7" s="137">
        <v>39016</v>
      </c>
      <c r="C7" s="137">
        <v>30793</v>
      </c>
      <c r="D7" s="137">
        <v>31886</v>
      </c>
      <c r="E7" s="137">
        <v>16327</v>
      </c>
      <c r="F7" s="137">
        <v>44545</v>
      </c>
      <c r="G7" s="137">
        <v>162567</v>
      </c>
      <c r="H7" s="132"/>
      <c r="I7" s="132"/>
      <c r="J7" s="132"/>
      <c r="K7" s="132"/>
      <c r="L7" s="132"/>
      <c r="M7" s="132"/>
      <c r="N7" s="132"/>
      <c r="O7" s="132"/>
      <c r="P7" s="132"/>
      <c r="Q7" s="132"/>
      <c r="R7" s="132"/>
      <c r="S7" s="132"/>
      <c r="T7" s="132"/>
      <c r="U7" s="132"/>
      <c r="V7" s="133"/>
    </row>
    <row r="8" spans="1:22">
      <c r="A8" s="136" t="s">
        <v>117</v>
      </c>
      <c r="B8" s="137">
        <v>12049</v>
      </c>
      <c r="C8" s="137">
        <v>20399</v>
      </c>
      <c r="D8" s="137">
        <v>11748</v>
      </c>
      <c r="E8" s="137"/>
      <c r="F8" s="137">
        <v>20344</v>
      </c>
      <c r="G8" s="137">
        <v>64540</v>
      </c>
      <c r="H8" s="132"/>
      <c r="I8" s="132"/>
      <c r="J8" s="132"/>
      <c r="K8" s="132"/>
      <c r="L8" s="132"/>
      <c r="M8" s="132"/>
      <c r="N8" s="132"/>
      <c r="O8" s="132"/>
      <c r="P8" s="132"/>
      <c r="Q8" s="146">
        <f>VLOOKUP(N6,A4:G10,4,FALSE)</f>
        <v>31886</v>
      </c>
      <c r="R8" s="147"/>
      <c r="S8" s="148"/>
      <c r="T8" s="132"/>
      <c r="U8" s="132"/>
      <c r="V8" s="133"/>
    </row>
    <row r="9" spans="1:22" ht="15.75" thickBot="1">
      <c r="A9" s="136" t="s">
        <v>113</v>
      </c>
      <c r="B9" s="137">
        <v>3505</v>
      </c>
      <c r="C9" s="137">
        <v>32442</v>
      </c>
      <c r="D9" s="137">
        <v>2314</v>
      </c>
      <c r="E9" s="137">
        <v>4781</v>
      </c>
      <c r="F9" s="137">
        <v>6998</v>
      </c>
      <c r="G9" s="137">
        <v>50040</v>
      </c>
      <c r="H9" s="132"/>
      <c r="I9" s="132"/>
      <c r="J9" s="132"/>
      <c r="K9" s="132"/>
      <c r="L9" s="132"/>
      <c r="M9" s="132"/>
      <c r="N9" s="132"/>
      <c r="O9" s="132"/>
      <c r="P9" s="132"/>
      <c r="Q9" s="149"/>
      <c r="R9" s="150"/>
      <c r="S9" s="151"/>
      <c r="T9" s="132"/>
      <c r="U9" s="132"/>
      <c r="V9" s="133"/>
    </row>
    <row r="10" spans="1:22">
      <c r="A10" s="136" t="s">
        <v>268</v>
      </c>
      <c r="B10" s="137">
        <v>116588</v>
      </c>
      <c r="C10" s="137">
        <v>180228</v>
      </c>
      <c r="D10" s="137">
        <v>111381</v>
      </c>
      <c r="E10" s="137">
        <v>55759</v>
      </c>
      <c r="F10" s="137">
        <v>144372</v>
      </c>
      <c r="G10" s="137">
        <v>608328</v>
      </c>
      <c r="H10" s="132"/>
      <c r="I10" s="132"/>
      <c r="J10" s="132"/>
      <c r="K10" s="132"/>
      <c r="L10" s="132"/>
      <c r="M10" s="132"/>
      <c r="N10" s="132"/>
      <c r="O10" s="132"/>
      <c r="P10" s="132"/>
      <c r="Q10" s="132"/>
      <c r="R10" s="132"/>
      <c r="S10" s="132"/>
      <c r="T10" s="132"/>
      <c r="U10" s="132"/>
      <c r="V10" s="133"/>
    </row>
    <row r="11" spans="1:22">
      <c r="A11" s="131"/>
      <c r="B11" s="132"/>
      <c r="C11" s="132"/>
      <c r="D11" s="132"/>
      <c r="E11" s="132"/>
      <c r="F11" s="132"/>
      <c r="G11" s="132"/>
      <c r="H11" s="132"/>
      <c r="I11" s="132"/>
      <c r="J11" s="132"/>
      <c r="K11" s="132"/>
      <c r="L11" s="132"/>
      <c r="M11" s="132"/>
      <c r="N11" s="132"/>
      <c r="O11" s="132"/>
      <c r="P11" s="132"/>
      <c r="Q11" s="132"/>
      <c r="R11" s="132"/>
      <c r="S11" s="132"/>
      <c r="T11" s="132"/>
      <c r="U11" s="132"/>
      <c r="V11" s="133"/>
    </row>
    <row r="12" spans="1:22" ht="15.75" thickBot="1">
      <c r="A12" s="139"/>
      <c r="B12" s="140"/>
      <c r="C12" s="140"/>
      <c r="D12" s="140"/>
      <c r="E12" s="140"/>
      <c r="F12" s="140"/>
      <c r="G12" s="140"/>
      <c r="H12" s="140"/>
      <c r="I12" s="140"/>
      <c r="J12" s="140"/>
      <c r="K12" s="140"/>
      <c r="L12" s="140"/>
      <c r="M12" s="140"/>
      <c r="N12" s="140"/>
      <c r="O12" s="140"/>
      <c r="P12" s="140"/>
      <c r="Q12" s="140"/>
      <c r="R12" s="140"/>
      <c r="S12" s="140"/>
      <c r="T12" s="140"/>
      <c r="U12" s="140"/>
      <c r="V12" s="141"/>
    </row>
    <row r="13" spans="1:22" ht="15.75" thickBot="1"/>
    <row r="14" spans="1:22">
      <c r="A14" s="128" t="s">
        <v>296</v>
      </c>
      <c r="B14" s="129"/>
      <c r="C14" s="129"/>
      <c r="D14" s="129"/>
      <c r="E14" s="129"/>
      <c r="F14" s="129"/>
      <c r="G14" s="129"/>
      <c r="H14" s="129"/>
      <c r="I14" s="129"/>
      <c r="J14" s="129"/>
      <c r="K14" s="129"/>
      <c r="L14" s="129"/>
      <c r="M14" s="129"/>
      <c r="N14" s="129"/>
      <c r="O14" s="129"/>
      <c r="P14" s="129"/>
      <c r="Q14" s="129"/>
      <c r="R14" s="129"/>
      <c r="S14" s="129"/>
      <c r="T14" s="129"/>
      <c r="U14" s="129"/>
      <c r="V14" s="130"/>
    </row>
    <row r="15" spans="1:22">
      <c r="A15" s="131"/>
      <c r="B15" s="132"/>
      <c r="C15" s="132"/>
      <c r="D15" s="132"/>
      <c r="E15" s="132"/>
      <c r="F15" s="132"/>
      <c r="G15" s="132"/>
      <c r="H15" s="132"/>
      <c r="I15" s="132"/>
      <c r="J15" s="132"/>
      <c r="K15" s="132"/>
      <c r="L15" s="132"/>
      <c r="M15" s="132"/>
      <c r="N15" s="132"/>
      <c r="O15" s="132"/>
      <c r="P15" s="132"/>
      <c r="Q15" s="132"/>
      <c r="R15" s="132"/>
      <c r="S15" s="132"/>
      <c r="T15" s="132"/>
      <c r="U15" s="132"/>
      <c r="V15" s="133"/>
    </row>
    <row r="16" spans="1:22">
      <c r="A16" s="134" t="s">
        <v>297</v>
      </c>
      <c r="B16" s="135" t="s">
        <v>289</v>
      </c>
      <c r="C16" s="132"/>
      <c r="D16" s="132"/>
      <c r="E16" s="132"/>
      <c r="F16" s="132"/>
      <c r="G16" s="132"/>
      <c r="H16" s="132"/>
      <c r="I16" s="132"/>
      <c r="J16" s="132"/>
      <c r="K16" s="132"/>
      <c r="L16" s="132"/>
      <c r="M16" s="132"/>
      <c r="N16" s="132"/>
      <c r="O16" s="132"/>
      <c r="P16" s="132"/>
      <c r="Q16" s="132"/>
      <c r="R16" s="132"/>
      <c r="S16" s="132"/>
      <c r="T16" s="132"/>
      <c r="U16" s="132"/>
      <c r="V16" s="133"/>
    </row>
    <row r="17" spans="1:22" ht="15.75" thickBot="1">
      <c r="A17" s="134" t="s">
        <v>267</v>
      </c>
      <c r="B17" s="132" t="s">
        <v>291</v>
      </c>
      <c r="C17" s="132" t="s">
        <v>292</v>
      </c>
      <c r="D17" s="132" t="s">
        <v>290</v>
      </c>
      <c r="E17" s="132" t="s">
        <v>293</v>
      </c>
      <c r="F17" s="132" t="s">
        <v>268</v>
      </c>
      <c r="G17" s="132"/>
      <c r="H17" s="132"/>
      <c r="I17" s="132"/>
      <c r="J17" s="132"/>
      <c r="K17" s="132"/>
      <c r="L17" s="132"/>
      <c r="M17" s="132"/>
      <c r="N17" s="132"/>
      <c r="O17" s="132"/>
      <c r="P17" s="132"/>
      <c r="Q17" s="132"/>
      <c r="R17" s="132"/>
      <c r="S17" s="132"/>
      <c r="T17" s="132"/>
      <c r="U17" s="132"/>
      <c r="V17" s="133"/>
    </row>
    <row r="18" spans="1:22" ht="15.75" thickBot="1">
      <c r="A18" s="136" t="s">
        <v>114</v>
      </c>
      <c r="B18" s="137">
        <v>24</v>
      </c>
      <c r="C18" s="137">
        <v>9</v>
      </c>
      <c r="D18" s="137">
        <v>23</v>
      </c>
      <c r="E18" s="137">
        <v>5</v>
      </c>
      <c r="F18" s="137">
        <v>61</v>
      </c>
      <c r="G18" s="132"/>
      <c r="H18" s="132"/>
      <c r="I18" s="132"/>
      <c r="J18" s="132"/>
      <c r="K18" s="132"/>
      <c r="L18" s="132"/>
      <c r="M18" s="132"/>
      <c r="N18" s="132"/>
      <c r="O18" s="132"/>
      <c r="P18" s="132"/>
      <c r="Q18" s="152" t="s">
        <v>298</v>
      </c>
      <c r="R18" s="153"/>
      <c r="S18" s="154"/>
      <c r="T18" s="132"/>
      <c r="U18" s="132"/>
      <c r="V18" s="133"/>
    </row>
    <row r="19" spans="1:22">
      <c r="A19" s="136" t="s">
        <v>116</v>
      </c>
      <c r="B19" s="137">
        <v>13</v>
      </c>
      <c r="C19" s="137">
        <v>13</v>
      </c>
      <c r="D19" s="137">
        <v>10</v>
      </c>
      <c r="E19" s="137">
        <v>9</v>
      </c>
      <c r="F19" s="137">
        <v>45</v>
      </c>
      <c r="G19" s="132"/>
      <c r="H19" s="132"/>
      <c r="I19" s="132"/>
      <c r="J19" s="132"/>
      <c r="K19" s="132"/>
      <c r="L19" s="132"/>
      <c r="M19" s="132"/>
      <c r="N19" s="132"/>
      <c r="O19" s="132"/>
      <c r="P19" s="132"/>
      <c r="Q19" s="132"/>
      <c r="R19" s="132"/>
      <c r="S19" s="132"/>
      <c r="T19" s="132"/>
      <c r="U19" s="132"/>
      <c r="V19" s="133"/>
    </row>
    <row r="20" spans="1:22">
      <c r="A20" s="136" t="s">
        <v>115</v>
      </c>
      <c r="B20" s="137">
        <v>19</v>
      </c>
      <c r="C20" s="137">
        <v>11</v>
      </c>
      <c r="D20" s="137">
        <v>19</v>
      </c>
      <c r="E20" s="137">
        <v>5</v>
      </c>
      <c r="F20" s="137">
        <v>54</v>
      </c>
      <c r="G20" s="132"/>
      <c r="H20" s="132"/>
      <c r="I20" s="132"/>
      <c r="J20" s="132"/>
      <c r="K20" s="132"/>
      <c r="L20" s="138" t="s">
        <v>299</v>
      </c>
      <c r="M20" s="132"/>
      <c r="N20" s="132"/>
      <c r="O20" s="132"/>
      <c r="P20" s="132"/>
      <c r="Q20" s="132"/>
      <c r="R20" s="132"/>
      <c r="S20" s="132"/>
      <c r="T20" s="132"/>
      <c r="U20" s="132"/>
      <c r="V20" s="133"/>
    </row>
    <row r="21" spans="1:22">
      <c r="A21" s="136" t="s">
        <v>117</v>
      </c>
      <c r="B21" s="137">
        <v>5</v>
      </c>
      <c r="C21" s="137">
        <v>5</v>
      </c>
      <c r="D21" s="137">
        <v>6</v>
      </c>
      <c r="E21" s="137">
        <v>3</v>
      </c>
      <c r="F21" s="137">
        <v>19</v>
      </c>
      <c r="G21" s="132"/>
      <c r="H21" s="132"/>
      <c r="I21" s="132"/>
      <c r="J21" s="132"/>
      <c r="K21" s="132"/>
      <c r="L21" s="132"/>
      <c r="M21" s="132"/>
      <c r="N21" s="132"/>
      <c r="O21" s="132"/>
      <c r="P21" s="132" t="str">
        <f>E17</f>
        <v>Premium</v>
      </c>
      <c r="Q21" s="132"/>
      <c r="R21" s="132"/>
      <c r="S21" s="132"/>
      <c r="T21" s="132"/>
      <c r="U21" s="132"/>
      <c r="V21" s="133"/>
    </row>
    <row r="22" spans="1:22" ht="15.75" thickBot="1">
      <c r="A22" s="136" t="s">
        <v>113</v>
      </c>
      <c r="B22" s="137">
        <v>13</v>
      </c>
      <c r="C22" s="137">
        <v>2</v>
      </c>
      <c r="D22" s="137">
        <v>5</v>
      </c>
      <c r="E22" s="137">
        <v>1</v>
      </c>
      <c r="F22" s="137">
        <v>21</v>
      </c>
      <c r="G22" s="132"/>
      <c r="H22" s="132"/>
      <c r="I22" s="132"/>
      <c r="J22" s="132"/>
      <c r="K22" s="132"/>
      <c r="L22" s="132"/>
      <c r="M22" s="132"/>
      <c r="N22" s="132"/>
      <c r="O22" s="132"/>
      <c r="P22" s="132"/>
      <c r="Q22" s="132"/>
      <c r="R22" s="132"/>
      <c r="S22" s="132"/>
      <c r="T22" s="132"/>
      <c r="U22" s="132"/>
      <c r="V22" s="133"/>
    </row>
    <row r="23" spans="1:22">
      <c r="A23" s="136" t="s">
        <v>268</v>
      </c>
      <c r="B23" s="137">
        <v>74</v>
      </c>
      <c r="C23" s="137">
        <v>40</v>
      </c>
      <c r="D23" s="137">
        <v>63</v>
      </c>
      <c r="E23" s="137">
        <v>23</v>
      </c>
      <c r="F23" s="137">
        <v>200</v>
      </c>
      <c r="G23" s="132"/>
      <c r="H23" s="132"/>
      <c r="I23" s="132"/>
      <c r="J23" s="132"/>
      <c r="K23" s="132"/>
      <c r="L23" s="132"/>
      <c r="M23" s="132"/>
      <c r="N23" s="132"/>
      <c r="O23" s="132"/>
      <c r="P23" s="132"/>
      <c r="Q23" s="132"/>
      <c r="R23" s="146">
        <f>HLOOKUP(P21,A17:F23,5,FALSE)</f>
        <v>3</v>
      </c>
      <c r="S23" s="147"/>
      <c r="T23" s="148"/>
      <c r="U23" s="132"/>
      <c r="V23" s="133"/>
    </row>
    <row r="24" spans="1:22" ht="15.75" thickBot="1">
      <c r="A24" s="131"/>
      <c r="B24" s="132"/>
      <c r="C24" s="132"/>
      <c r="D24" s="132"/>
      <c r="E24" s="132"/>
      <c r="F24" s="132"/>
      <c r="G24" s="132"/>
      <c r="H24" s="132"/>
      <c r="I24" s="132"/>
      <c r="J24" s="132"/>
      <c r="K24" s="132"/>
      <c r="L24" s="132"/>
      <c r="M24" s="132"/>
      <c r="N24" s="132"/>
      <c r="O24" s="132"/>
      <c r="P24" s="132"/>
      <c r="Q24" s="132"/>
      <c r="R24" s="149"/>
      <c r="S24" s="150"/>
      <c r="T24" s="151"/>
      <c r="U24" s="132"/>
      <c r="V24" s="133"/>
    </row>
    <row r="25" spans="1:22">
      <c r="A25" s="131"/>
      <c r="B25" s="132"/>
      <c r="C25" s="132"/>
      <c r="D25" s="132"/>
      <c r="E25" s="132"/>
      <c r="F25" s="132"/>
      <c r="G25" s="132"/>
      <c r="H25" s="132"/>
      <c r="I25" s="132"/>
      <c r="J25" s="132"/>
      <c r="K25" s="132"/>
      <c r="L25" s="132"/>
      <c r="M25" s="132"/>
      <c r="N25" s="132"/>
      <c r="O25" s="132"/>
      <c r="P25" s="132"/>
      <c r="Q25" s="132"/>
      <c r="R25" s="132"/>
      <c r="S25" s="132"/>
      <c r="T25" s="132"/>
      <c r="U25" s="132"/>
      <c r="V25" s="133"/>
    </row>
    <row r="26" spans="1:22">
      <c r="A26" s="131"/>
      <c r="B26" s="132"/>
      <c r="C26" s="132"/>
      <c r="D26" s="132"/>
      <c r="E26" s="132"/>
      <c r="F26" s="132"/>
      <c r="G26" s="132"/>
      <c r="H26" s="132"/>
      <c r="I26" s="132"/>
      <c r="J26" s="132"/>
      <c r="K26" s="132"/>
      <c r="L26" s="132"/>
      <c r="M26" s="132"/>
      <c r="N26" s="132"/>
      <c r="O26" s="132"/>
      <c r="P26" s="132"/>
      <c r="Q26" s="132"/>
      <c r="R26" s="132"/>
      <c r="S26" s="132"/>
      <c r="T26" s="132"/>
      <c r="U26" s="132"/>
      <c r="V26" s="133"/>
    </row>
    <row r="27" spans="1:22" ht="15.75" thickBot="1">
      <c r="A27" s="139"/>
      <c r="B27" s="140"/>
      <c r="C27" s="140"/>
      <c r="D27" s="140"/>
      <c r="E27" s="140"/>
      <c r="F27" s="140"/>
      <c r="G27" s="140"/>
      <c r="H27" s="140"/>
      <c r="I27" s="140"/>
      <c r="J27" s="140"/>
      <c r="K27" s="140"/>
      <c r="L27" s="140"/>
      <c r="M27" s="140"/>
      <c r="N27" s="140"/>
      <c r="O27" s="140"/>
      <c r="P27" s="140"/>
      <c r="Q27" s="140"/>
      <c r="R27" s="140"/>
      <c r="S27" s="140"/>
      <c r="T27" s="140"/>
      <c r="U27" s="140"/>
      <c r="V27" s="141"/>
    </row>
  </sheetData>
  <mergeCells count="4">
    <mergeCell ref="Q8:S9"/>
    <mergeCell ref="O3:Q3"/>
    <mergeCell ref="Q18:S18"/>
    <mergeCell ref="R23:T2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10"/>
  <sheetViews>
    <sheetView topLeftCell="A2" zoomScale="70" zoomScaleNormal="70" workbookViewId="0">
      <selection activeCell="W18" sqref="W18"/>
    </sheetView>
  </sheetViews>
  <sheetFormatPr defaultColWidth="11.7109375" defaultRowHeight="15.75"/>
  <cols>
    <col min="1" max="1" width="9" style="4" customWidth="1"/>
    <col min="2" max="16384" width="11.7109375" style="5"/>
  </cols>
  <sheetData>
    <row r="1" spans="1:21" ht="19.899999999999999" customHeight="1">
      <c r="A1" s="6" t="s">
        <v>109</v>
      </c>
    </row>
    <row r="2" spans="1:21" ht="19.899999999999999" customHeight="1">
      <c r="B2" s="76"/>
      <c r="C2" s="77"/>
      <c r="D2" s="77"/>
      <c r="E2" s="77"/>
      <c r="F2" s="77"/>
      <c r="G2" s="77"/>
      <c r="H2" s="77"/>
      <c r="I2" s="77"/>
      <c r="J2" s="77"/>
      <c r="K2" s="77"/>
      <c r="L2" s="77"/>
      <c r="M2" s="77"/>
      <c r="N2" s="77"/>
      <c r="O2" s="77"/>
      <c r="P2" s="77"/>
      <c r="Q2" s="77"/>
      <c r="R2" s="77"/>
      <c r="S2" s="77"/>
      <c r="T2" s="77"/>
      <c r="U2" s="78"/>
    </row>
    <row r="3" spans="1:21" ht="19.899999999999999" customHeight="1">
      <c r="B3" s="79"/>
      <c r="C3" s="80"/>
      <c r="D3" s="80"/>
      <c r="E3" s="80"/>
      <c r="F3" s="80"/>
      <c r="G3" s="80"/>
      <c r="H3" s="80"/>
      <c r="I3" s="80"/>
      <c r="J3" s="80"/>
      <c r="K3" s="80"/>
      <c r="L3" s="80"/>
      <c r="M3" s="80"/>
      <c r="N3" s="80"/>
      <c r="O3" s="80"/>
      <c r="P3" s="80"/>
      <c r="Q3" s="80"/>
      <c r="R3" s="80"/>
      <c r="S3" s="80"/>
      <c r="T3" s="80"/>
      <c r="U3" s="81"/>
    </row>
    <row r="4" spans="1:21" ht="19.899999999999999" customHeight="1">
      <c r="B4" s="79"/>
      <c r="C4" s="80"/>
      <c r="D4" s="80"/>
      <c r="E4" s="80"/>
      <c r="F4" s="80"/>
      <c r="G4" s="80"/>
      <c r="H4" s="80"/>
      <c r="I4" s="80"/>
      <c r="J4" s="80"/>
      <c r="K4" s="80"/>
      <c r="L4" s="80"/>
      <c r="M4" s="80"/>
      <c r="N4" s="80"/>
      <c r="O4" s="80"/>
      <c r="P4" s="80"/>
      <c r="Q4" s="80"/>
      <c r="R4" s="80"/>
      <c r="S4" s="80"/>
      <c r="T4" s="80"/>
      <c r="U4" s="81"/>
    </row>
    <row r="5" spans="1:21" ht="19.899999999999999" customHeight="1">
      <c r="B5" s="79"/>
      <c r="C5" s="80"/>
      <c r="D5" s="80"/>
      <c r="E5" s="80"/>
      <c r="F5" s="80"/>
      <c r="G5" s="80"/>
      <c r="H5" s="80"/>
      <c r="I5" s="80"/>
      <c r="J5" s="80"/>
      <c r="K5" s="80"/>
      <c r="L5" s="80"/>
      <c r="M5" s="80"/>
      <c r="N5" s="80"/>
      <c r="O5" s="80"/>
      <c r="P5" s="80"/>
      <c r="Q5" s="80"/>
      <c r="R5" s="80"/>
      <c r="S5" s="80"/>
      <c r="T5" s="80"/>
      <c r="U5" s="81"/>
    </row>
    <row r="6" spans="1:21" ht="19.899999999999999" customHeight="1">
      <c r="B6" s="79"/>
      <c r="C6" s="80"/>
      <c r="D6" s="80"/>
      <c r="E6" s="80"/>
      <c r="F6" s="80"/>
      <c r="G6" s="80"/>
      <c r="H6" s="80"/>
      <c r="I6" s="80"/>
      <c r="J6" s="80"/>
      <c r="K6" s="80"/>
      <c r="L6" s="80"/>
      <c r="M6" s="80"/>
      <c r="N6" s="80"/>
      <c r="O6" s="80"/>
      <c r="P6" s="80"/>
      <c r="Q6" s="80"/>
      <c r="R6" s="80"/>
      <c r="S6" s="80"/>
      <c r="T6" s="80"/>
      <c r="U6" s="81"/>
    </row>
    <row r="7" spans="1:21" ht="19.899999999999999" customHeight="1">
      <c r="B7" s="79"/>
      <c r="C7" s="80"/>
      <c r="D7" s="80"/>
      <c r="E7" s="80"/>
      <c r="F7" s="80"/>
      <c r="G7" s="80"/>
      <c r="H7" s="80"/>
      <c r="I7" s="80"/>
      <c r="J7" s="80"/>
      <c r="K7" s="80"/>
      <c r="L7" s="80"/>
      <c r="M7" s="80"/>
      <c r="N7" s="80"/>
      <c r="O7" s="80"/>
      <c r="P7" s="80"/>
      <c r="Q7" s="80"/>
      <c r="R7" s="80"/>
      <c r="S7" s="80"/>
      <c r="T7" s="80"/>
      <c r="U7" s="81"/>
    </row>
    <row r="8" spans="1:21" ht="19.899999999999999" customHeight="1">
      <c r="B8" s="79"/>
      <c r="C8" s="80"/>
      <c r="D8" s="80"/>
      <c r="E8" s="80"/>
      <c r="F8" s="80"/>
      <c r="G8" s="80"/>
      <c r="H8" s="80"/>
      <c r="I8" s="80"/>
      <c r="J8" s="80"/>
      <c r="K8" s="80"/>
      <c r="L8" s="80"/>
      <c r="M8" s="80"/>
      <c r="N8" s="80"/>
      <c r="O8" s="80"/>
      <c r="P8" s="80"/>
      <c r="Q8" s="80"/>
      <c r="R8" s="80"/>
      <c r="S8" s="80"/>
      <c r="T8" s="80"/>
      <c r="U8" s="81"/>
    </row>
    <row r="9" spans="1:21" ht="19.899999999999999" customHeight="1">
      <c r="B9" s="79"/>
      <c r="C9" s="80"/>
      <c r="D9" s="80"/>
      <c r="E9" s="80"/>
      <c r="F9" s="80"/>
      <c r="G9" s="80"/>
      <c r="H9" s="80"/>
      <c r="I9" s="80"/>
      <c r="J9" s="80"/>
      <c r="K9" s="80"/>
      <c r="L9" s="80"/>
      <c r="M9" s="80"/>
      <c r="N9" s="80"/>
      <c r="O9" s="80"/>
      <c r="P9" s="80"/>
      <c r="Q9" s="80"/>
      <c r="R9" s="80"/>
      <c r="S9" s="80"/>
      <c r="T9" s="80"/>
      <c r="U9" s="81"/>
    </row>
    <row r="10" spans="1:21" ht="19.899999999999999" customHeight="1">
      <c r="B10" s="79"/>
      <c r="C10" s="80"/>
      <c r="D10" s="80"/>
      <c r="E10" s="80"/>
      <c r="F10" s="80"/>
      <c r="G10" s="80"/>
      <c r="H10" s="80"/>
      <c r="I10" s="80"/>
      <c r="J10" s="80"/>
      <c r="K10" s="80"/>
      <c r="L10" s="80"/>
      <c r="M10" s="80"/>
      <c r="N10" s="80"/>
      <c r="O10" s="80"/>
      <c r="P10" s="80"/>
      <c r="Q10" s="80"/>
      <c r="R10" s="80"/>
      <c r="S10" s="80"/>
      <c r="T10" s="80"/>
      <c r="U10" s="81"/>
    </row>
    <row r="11" spans="1:21" ht="19.899999999999999" customHeight="1">
      <c r="B11" s="79"/>
      <c r="C11" s="80"/>
      <c r="D11" s="80"/>
      <c r="E11" s="80"/>
      <c r="F11" s="80"/>
      <c r="G11" s="80"/>
      <c r="H11" s="80"/>
      <c r="I11" s="80"/>
      <c r="J11" s="80"/>
      <c r="K11" s="80"/>
      <c r="L11" s="80"/>
      <c r="M11" s="80"/>
      <c r="N11" s="80"/>
      <c r="O11" s="80"/>
      <c r="P11" s="80"/>
      <c r="Q11" s="80"/>
      <c r="R11" s="80"/>
      <c r="S11" s="80"/>
      <c r="T11" s="80"/>
      <c r="U11" s="81"/>
    </row>
    <row r="12" spans="1:21" ht="19.899999999999999" customHeight="1">
      <c r="B12" s="79"/>
      <c r="C12" s="80"/>
      <c r="D12" s="80"/>
      <c r="E12" s="80"/>
      <c r="F12" s="80"/>
      <c r="G12" s="80"/>
      <c r="H12" s="80"/>
      <c r="I12" s="80"/>
      <c r="J12" s="80"/>
      <c r="K12" s="80"/>
      <c r="L12" s="80"/>
      <c r="M12" s="80"/>
      <c r="N12" s="80"/>
      <c r="O12" s="80"/>
      <c r="P12" s="80"/>
      <c r="Q12" s="80"/>
      <c r="R12" s="80"/>
      <c r="S12" s="80"/>
      <c r="T12" s="80"/>
      <c r="U12" s="81"/>
    </row>
    <row r="13" spans="1:21" ht="19.899999999999999" customHeight="1">
      <c r="B13" s="79"/>
      <c r="C13" s="80"/>
      <c r="D13" s="80"/>
      <c r="E13" s="80"/>
      <c r="F13" s="80"/>
      <c r="G13" s="80"/>
      <c r="H13" s="80"/>
      <c r="I13" s="80"/>
      <c r="J13" s="80"/>
      <c r="K13" s="80"/>
      <c r="L13" s="80"/>
      <c r="M13" s="80"/>
      <c r="N13" s="80"/>
      <c r="O13" s="80"/>
      <c r="P13" s="80"/>
      <c r="Q13" s="80"/>
      <c r="R13" s="80"/>
      <c r="S13" s="80"/>
      <c r="T13" s="80"/>
      <c r="U13" s="81"/>
    </row>
    <row r="14" spans="1:21" ht="19.899999999999999" customHeight="1">
      <c r="B14" s="79"/>
      <c r="C14" s="80"/>
      <c r="D14" s="80"/>
      <c r="E14" s="80"/>
      <c r="F14" s="80"/>
      <c r="G14" s="80"/>
      <c r="H14" s="80"/>
      <c r="I14" s="80"/>
      <c r="J14" s="80"/>
      <c r="K14" s="80"/>
      <c r="L14" s="80"/>
      <c r="M14" s="80"/>
      <c r="N14" s="80"/>
      <c r="O14" s="80"/>
      <c r="P14" s="80"/>
      <c r="Q14" s="80"/>
      <c r="R14" s="80"/>
      <c r="S14" s="80"/>
      <c r="T14" s="80"/>
      <c r="U14" s="81"/>
    </row>
    <row r="15" spans="1:21" ht="19.899999999999999" customHeight="1">
      <c r="B15" s="79"/>
      <c r="C15" s="80"/>
      <c r="D15" s="80"/>
      <c r="E15" s="80"/>
      <c r="F15" s="80"/>
      <c r="G15" s="80"/>
      <c r="H15" s="80"/>
      <c r="I15" s="80"/>
      <c r="J15" s="80"/>
      <c r="K15" s="80"/>
      <c r="L15" s="80"/>
      <c r="M15" s="80"/>
      <c r="N15" s="80"/>
      <c r="O15" s="80"/>
      <c r="P15" s="80"/>
      <c r="Q15" s="80"/>
      <c r="R15" s="80"/>
      <c r="S15" s="80"/>
      <c r="T15" s="80"/>
      <c r="U15" s="81"/>
    </row>
    <row r="16" spans="1:21" ht="19.899999999999999" customHeight="1">
      <c r="B16" s="79"/>
      <c r="C16" s="80"/>
      <c r="D16" s="80"/>
      <c r="E16" s="80"/>
      <c r="F16" s="80"/>
      <c r="G16" s="80"/>
      <c r="H16" s="80"/>
      <c r="I16" s="80"/>
      <c r="J16" s="80"/>
      <c r="K16" s="80"/>
      <c r="L16" s="80"/>
      <c r="M16" s="80"/>
      <c r="N16" s="80"/>
      <c r="O16" s="80"/>
      <c r="P16" s="80"/>
      <c r="Q16" s="80"/>
      <c r="R16" s="80"/>
      <c r="S16" s="80"/>
      <c r="T16" s="80"/>
      <c r="U16" s="81"/>
    </row>
    <row r="17" spans="1:21" ht="19.899999999999999" customHeight="1">
      <c r="B17" s="79"/>
      <c r="C17" s="80"/>
      <c r="D17" s="80"/>
      <c r="E17" s="80"/>
      <c r="F17" s="80"/>
      <c r="G17" s="80"/>
      <c r="H17" s="80"/>
      <c r="I17" s="80"/>
      <c r="J17" s="80"/>
      <c r="K17" s="80"/>
      <c r="L17" s="80"/>
      <c r="M17" s="80"/>
      <c r="N17" s="80"/>
      <c r="O17" s="80"/>
      <c r="P17" s="80"/>
      <c r="Q17" s="80"/>
      <c r="R17" s="80"/>
      <c r="S17" s="80"/>
      <c r="T17" s="80"/>
      <c r="U17" s="81"/>
    </row>
    <row r="18" spans="1:21" ht="19.899999999999999" customHeight="1">
      <c r="B18" s="79"/>
      <c r="C18" s="80"/>
      <c r="D18" s="80"/>
      <c r="E18" s="80"/>
      <c r="F18" s="80"/>
      <c r="G18" s="80"/>
      <c r="H18" s="80"/>
      <c r="I18" s="80"/>
      <c r="J18" s="80"/>
      <c r="K18" s="80"/>
      <c r="L18" s="80"/>
      <c r="M18" s="80"/>
      <c r="N18" s="80"/>
      <c r="O18" s="80"/>
      <c r="P18" s="80"/>
      <c r="Q18" s="80"/>
      <c r="R18" s="80"/>
      <c r="S18" s="80"/>
      <c r="T18" s="80"/>
      <c r="U18" s="81"/>
    </row>
    <row r="19" spans="1:21" ht="19.899999999999999" customHeight="1">
      <c r="B19" s="79"/>
      <c r="C19" s="80"/>
      <c r="D19" s="80"/>
      <c r="E19" s="80"/>
      <c r="F19" s="80"/>
      <c r="G19" s="80"/>
      <c r="H19" s="80"/>
      <c r="I19" s="80"/>
      <c r="J19" s="80"/>
      <c r="K19" s="80"/>
      <c r="L19" s="80"/>
      <c r="M19" s="80"/>
      <c r="N19" s="80"/>
      <c r="O19" s="80"/>
      <c r="P19" s="80"/>
      <c r="Q19" s="80"/>
      <c r="R19" s="80"/>
      <c r="S19" s="80"/>
      <c r="T19" s="80"/>
      <c r="U19" s="81"/>
    </row>
    <row r="20" spans="1:21" ht="19.899999999999999" customHeight="1">
      <c r="B20" s="79"/>
      <c r="C20" s="80"/>
      <c r="D20" s="80"/>
      <c r="E20" s="80"/>
      <c r="F20" s="80"/>
      <c r="G20" s="80"/>
      <c r="H20" s="80"/>
      <c r="I20" s="80"/>
      <c r="J20" s="80"/>
      <c r="K20" s="80"/>
      <c r="L20" s="80"/>
      <c r="M20" s="80"/>
      <c r="N20" s="80"/>
      <c r="O20" s="80"/>
      <c r="P20" s="80"/>
      <c r="Q20" s="80"/>
      <c r="R20" s="80"/>
      <c r="S20" s="80"/>
      <c r="T20" s="80"/>
      <c r="U20" s="81"/>
    </row>
    <row r="21" spans="1:21" ht="19.899999999999999" customHeight="1">
      <c r="B21" s="79"/>
      <c r="C21" s="80"/>
      <c r="D21" s="80"/>
      <c r="E21" s="80"/>
      <c r="F21" s="80"/>
      <c r="G21" s="80"/>
      <c r="H21" s="80"/>
      <c r="I21" s="80"/>
      <c r="J21" s="80"/>
      <c r="K21" s="80"/>
      <c r="L21" s="80"/>
      <c r="M21" s="80"/>
      <c r="N21" s="80"/>
      <c r="O21" s="80"/>
      <c r="P21" s="80"/>
      <c r="Q21" s="80"/>
      <c r="R21" s="80"/>
      <c r="S21" s="80"/>
      <c r="T21" s="80"/>
      <c r="U21" s="81"/>
    </row>
    <row r="22" spans="1:21" ht="19.899999999999999" customHeight="1">
      <c r="B22" s="79"/>
      <c r="C22" s="80"/>
      <c r="D22" s="80"/>
      <c r="E22" s="80"/>
      <c r="F22" s="80"/>
      <c r="G22" s="80"/>
      <c r="H22" s="80"/>
      <c r="I22" s="80"/>
      <c r="J22" s="80"/>
      <c r="K22" s="80"/>
      <c r="L22" s="80"/>
      <c r="M22" s="80"/>
      <c r="N22" s="80"/>
      <c r="O22" s="80"/>
      <c r="P22" s="80"/>
      <c r="Q22" s="80"/>
      <c r="R22" s="80"/>
      <c r="S22" s="80"/>
      <c r="T22" s="80"/>
      <c r="U22" s="81"/>
    </row>
    <row r="23" spans="1:21" ht="19.899999999999999" customHeight="1">
      <c r="B23" s="79"/>
      <c r="C23" s="80"/>
      <c r="D23" s="80"/>
      <c r="E23" s="80"/>
      <c r="F23" s="80"/>
      <c r="G23" s="80"/>
      <c r="H23" s="80"/>
      <c r="I23" s="80"/>
      <c r="J23" s="80"/>
      <c r="K23" s="82"/>
      <c r="L23" s="80"/>
      <c r="M23" s="80"/>
      <c r="N23" s="80"/>
      <c r="O23" s="83"/>
      <c r="P23" s="82"/>
      <c r="Q23" s="83"/>
      <c r="R23" s="80"/>
      <c r="S23" s="80"/>
      <c r="T23" s="80"/>
      <c r="U23" s="81"/>
    </row>
    <row r="24" spans="1:21" ht="19.899999999999999" customHeight="1">
      <c r="B24" s="79"/>
      <c r="C24" s="80"/>
      <c r="D24" s="80"/>
      <c r="E24" s="80"/>
      <c r="F24" s="80"/>
      <c r="G24" s="80"/>
      <c r="H24" s="80"/>
      <c r="I24" s="80"/>
      <c r="J24" s="80"/>
      <c r="K24" s="82"/>
      <c r="L24" s="80"/>
      <c r="M24" s="80"/>
      <c r="N24" s="80"/>
      <c r="O24" s="83"/>
      <c r="P24" s="82"/>
      <c r="Q24" s="83"/>
      <c r="R24" s="80"/>
      <c r="S24" s="80"/>
      <c r="T24" s="80"/>
      <c r="U24" s="81"/>
    </row>
    <row r="25" spans="1:21" ht="19.899999999999999" customHeight="1">
      <c r="B25" s="79"/>
      <c r="C25" s="80"/>
      <c r="D25" s="80"/>
      <c r="E25" s="80"/>
      <c r="F25" s="80"/>
      <c r="G25" s="80"/>
      <c r="H25" s="80"/>
      <c r="I25" s="80"/>
      <c r="J25" s="80"/>
      <c r="K25" s="82"/>
      <c r="L25" s="80"/>
      <c r="M25" s="80"/>
      <c r="N25" s="80"/>
      <c r="O25" s="83"/>
      <c r="P25" s="82"/>
      <c r="Q25" s="83"/>
      <c r="R25" s="80"/>
      <c r="S25" s="80"/>
      <c r="T25" s="80"/>
      <c r="U25" s="81"/>
    </row>
    <row r="26" spans="1:21" ht="19.899999999999999" customHeight="1">
      <c r="B26" s="79"/>
      <c r="C26" s="80"/>
      <c r="D26" s="80"/>
      <c r="E26" s="80"/>
      <c r="F26" s="80"/>
      <c r="G26" s="80"/>
      <c r="H26" s="80"/>
      <c r="I26" s="80"/>
      <c r="J26" s="80"/>
      <c r="K26" s="82"/>
      <c r="L26" s="80"/>
      <c r="M26" s="80"/>
      <c r="N26" s="80"/>
      <c r="O26" s="83"/>
      <c r="P26" s="82"/>
      <c r="Q26" s="83"/>
      <c r="R26" s="80"/>
      <c r="S26" s="80"/>
      <c r="T26" s="80"/>
      <c r="U26" s="81"/>
    </row>
    <row r="27" spans="1:21" ht="19.899999999999999" customHeight="1">
      <c r="B27" s="79"/>
      <c r="C27" s="80"/>
      <c r="D27" s="80"/>
      <c r="E27" s="80"/>
      <c r="F27" s="80"/>
      <c r="G27" s="80"/>
      <c r="H27" s="80"/>
      <c r="I27" s="80"/>
      <c r="J27" s="80"/>
      <c r="K27" s="82"/>
      <c r="L27" s="80"/>
      <c r="M27" s="80"/>
      <c r="N27" s="80"/>
      <c r="O27" s="83"/>
      <c r="P27" s="82"/>
      <c r="Q27" s="83"/>
      <c r="R27" s="80"/>
      <c r="S27" s="80"/>
      <c r="T27" s="80"/>
      <c r="U27" s="81"/>
    </row>
    <row r="28" spans="1:21" ht="19.899999999999999" customHeight="1">
      <c r="B28" s="84"/>
      <c r="C28" s="85"/>
      <c r="D28" s="85"/>
      <c r="E28" s="85"/>
      <c r="F28" s="85"/>
      <c r="G28" s="85"/>
      <c r="H28" s="85"/>
      <c r="I28" s="85"/>
      <c r="J28" s="85"/>
      <c r="K28" s="85"/>
      <c r="L28" s="85"/>
      <c r="M28" s="85"/>
      <c r="N28" s="85"/>
      <c r="O28" s="85"/>
      <c r="P28" s="85"/>
      <c r="Q28" s="85"/>
      <c r="R28" s="85"/>
      <c r="S28" s="85"/>
      <c r="T28" s="85"/>
      <c r="U28" s="86"/>
    </row>
    <row r="29" spans="1:21" ht="19.899999999999999" customHeight="1">
      <c r="A29" s="6" t="s">
        <v>85</v>
      </c>
    </row>
    <row r="30" spans="1:21" ht="19.899999999999999" customHeight="1"/>
    <row r="31" spans="1:21" ht="19.899999999999999" customHeight="1"/>
    <row r="32" spans="1:21" ht="19.899999999999999" customHeight="1"/>
    <row r="33" ht="19.899999999999999" customHeight="1"/>
    <row r="34" ht="19.899999999999999" customHeight="1"/>
    <row r="35" ht="19.899999999999999" customHeight="1"/>
    <row r="36" ht="19.899999999999999" customHeight="1"/>
    <row r="37" ht="19.899999999999999" customHeight="1"/>
    <row r="38" ht="19.899999999999999" customHeight="1"/>
    <row r="39" ht="19.899999999999999" customHeight="1"/>
    <row r="40" ht="19.899999999999999" customHeight="1"/>
    <row r="41" ht="19.899999999999999" customHeight="1"/>
    <row r="42" ht="19.899999999999999" customHeight="1"/>
    <row r="43" ht="19.899999999999999" customHeight="1"/>
    <row r="44" ht="19.899999999999999" customHeight="1"/>
    <row r="45" ht="19.899999999999999" customHeight="1"/>
    <row r="46" ht="19.899999999999999" customHeight="1"/>
    <row r="47" ht="19.899999999999999" customHeight="1"/>
    <row r="48" ht="19.899999999999999" customHeight="1"/>
    <row r="49" ht="19.899999999999999" customHeight="1"/>
    <row r="50" ht="19.899999999999999" customHeight="1"/>
    <row r="51" ht="19.899999999999999" customHeight="1"/>
    <row r="52" ht="19.899999999999999" customHeight="1"/>
    <row r="53" ht="19.899999999999999" customHeight="1"/>
    <row r="54" ht="19.899999999999999" customHeight="1"/>
    <row r="55" ht="19.899999999999999" customHeight="1"/>
    <row r="56" ht="19.899999999999999" customHeight="1"/>
    <row r="57" ht="19.899999999999999" customHeight="1"/>
    <row r="58" ht="19.899999999999999" customHeight="1"/>
    <row r="59" ht="19.899999999999999" customHeight="1"/>
    <row r="60" ht="19.899999999999999" customHeight="1"/>
    <row r="61" ht="19.899999999999999" customHeight="1"/>
    <row r="62" ht="19.899999999999999" customHeight="1"/>
    <row r="63" ht="19.899999999999999" customHeight="1"/>
    <row r="64" ht="19.899999999999999" customHeight="1"/>
    <row r="65" ht="19.899999999999999" customHeight="1"/>
    <row r="66" ht="19.899999999999999" customHeight="1"/>
    <row r="67" ht="19.899999999999999" customHeight="1"/>
    <row r="68" ht="19.899999999999999" customHeight="1"/>
    <row r="69" ht="19.899999999999999" customHeight="1"/>
    <row r="70" ht="19.899999999999999" customHeight="1"/>
    <row r="71" ht="19.899999999999999" customHeight="1"/>
    <row r="72" ht="19.899999999999999" customHeight="1"/>
    <row r="73" ht="19.899999999999999" customHeight="1"/>
    <row r="74" ht="19.899999999999999" customHeight="1"/>
    <row r="75" ht="19.899999999999999" customHeight="1"/>
    <row r="76" ht="19.899999999999999" customHeight="1"/>
    <row r="77" ht="19.899999999999999" customHeight="1"/>
    <row r="78" ht="19.899999999999999" customHeight="1"/>
    <row r="79" ht="19.899999999999999" customHeight="1"/>
    <row r="80" ht="19.899999999999999" customHeight="1"/>
    <row r="81" ht="19.899999999999999" customHeight="1"/>
    <row r="82" ht="19.899999999999999" customHeight="1"/>
    <row r="83" ht="19.899999999999999" customHeight="1"/>
    <row r="84" ht="19.899999999999999" customHeight="1"/>
    <row r="85" ht="19.899999999999999" customHeight="1"/>
    <row r="86" ht="19.899999999999999" customHeight="1"/>
    <row r="87" ht="19.899999999999999" customHeight="1"/>
    <row r="88" ht="19.899999999999999" customHeight="1"/>
    <row r="89" ht="19.899999999999999" customHeight="1"/>
    <row r="90" ht="19.899999999999999" customHeight="1"/>
    <row r="91" ht="19.899999999999999" customHeight="1"/>
    <row r="92" ht="19.899999999999999" customHeight="1"/>
    <row r="93" ht="19.899999999999999" customHeight="1"/>
    <row r="94" ht="19.899999999999999" customHeight="1"/>
    <row r="95" ht="19.899999999999999" customHeight="1"/>
    <row r="96" ht="19.899999999999999" customHeight="1"/>
    <row r="97" ht="19.899999999999999" customHeight="1"/>
    <row r="98" ht="19.899999999999999" customHeight="1"/>
    <row r="99" ht="19.899999999999999" customHeight="1"/>
    <row r="100" ht="19.899999999999999" customHeight="1"/>
    <row r="101" ht="19.899999999999999" customHeight="1"/>
    <row r="102" ht="19.899999999999999" customHeight="1"/>
    <row r="103" ht="19.899999999999999" customHeight="1"/>
    <row r="104" ht="19.899999999999999" customHeight="1"/>
    <row r="105" ht="19.899999999999999" customHeight="1"/>
    <row r="106" ht="19.899999999999999" customHeight="1"/>
    <row r="107" ht="19.899999999999999" customHeight="1"/>
    <row r="108" ht="19.899999999999999" customHeight="1"/>
    <row r="109" ht="19.899999999999999" customHeight="1"/>
    <row r="110" ht="19.899999999999999" customHeight="1"/>
    <row r="111" ht="19.899999999999999" customHeight="1"/>
    <row r="112" ht="19.899999999999999" customHeight="1"/>
    <row r="113" ht="19.899999999999999" customHeight="1"/>
    <row r="114" ht="19.899999999999999" customHeight="1"/>
    <row r="115" ht="19.899999999999999" customHeight="1"/>
    <row r="116" ht="19.899999999999999" customHeight="1"/>
    <row r="117" ht="19.899999999999999" customHeight="1"/>
    <row r="118" ht="19.899999999999999" customHeight="1"/>
    <row r="119" ht="19.899999999999999" customHeight="1"/>
    <row r="120" ht="19.899999999999999" customHeight="1"/>
    <row r="121" ht="19.899999999999999" customHeight="1"/>
    <row r="122" ht="19.899999999999999" customHeight="1"/>
    <row r="123" ht="19.899999999999999" customHeight="1"/>
    <row r="124" ht="19.899999999999999" customHeight="1"/>
    <row r="125" ht="19.899999999999999" customHeight="1"/>
    <row r="126" ht="19.899999999999999" customHeight="1"/>
    <row r="127" ht="19.899999999999999" customHeight="1"/>
    <row r="128" ht="19.899999999999999" customHeight="1"/>
    <row r="129" ht="19.899999999999999" customHeight="1"/>
    <row r="130" ht="19.899999999999999" customHeight="1"/>
    <row r="131" ht="19.899999999999999" customHeight="1"/>
    <row r="132" ht="19.899999999999999" customHeight="1"/>
    <row r="133" ht="19.899999999999999" customHeight="1"/>
    <row r="134" ht="19.899999999999999" customHeight="1"/>
    <row r="135" ht="19.899999999999999" customHeight="1"/>
    <row r="136" ht="19.899999999999999" customHeight="1"/>
    <row r="137" ht="19.899999999999999" customHeight="1"/>
    <row r="138" ht="19.899999999999999" customHeight="1"/>
    <row r="139" ht="19.899999999999999" customHeight="1"/>
    <row r="140" ht="19.899999999999999" customHeight="1"/>
    <row r="141" ht="19.899999999999999" customHeight="1"/>
    <row r="142" ht="19.899999999999999" customHeight="1"/>
    <row r="143" ht="19.899999999999999" customHeight="1"/>
    <row r="144" ht="19.899999999999999" customHeight="1"/>
    <row r="145" ht="19.899999999999999" customHeight="1"/>
    <row r="146" ht="19.899999999999999" customHeight="1"/>
    <row r="147" ht="19.899999999999999" customHeight="1"/>
    <row r="148" ht="19.899999999999999" customHeight="1"/>
    <row r="149" ht="19.899999999999999" customHeight="1"/>
    <row r="150" ht="19.899999999999999" customHeight="1"/>
    <row r="151" ht="19.899999999999999" customHeight="1"/>
    <row r="152" ht="19.899999999999999" customHeight="1"/>
    <row r="153" ht="19.899999999999999" customHeight="1"/>
    <row r="154" ht="19.899999999999999" customHeight="1"/>
    <row r="155" ht="19.899999999999999" customHeight="1"/>
    <row r="156" ht="19.899999999999999" customHeight="1"/>
    <row r="157" ht="19.899999999999999" customHeight="1"/>
    <row r="158" ht="19.899999999999999" customHeight="1"/>
    <row r="159" ht="19.899999999999999" customHeight="1"/>
    <row r="160" ht="19.899999999999999" customHeight="1"/>
    <row r="161" ht="19.899999999999999" customHeight="1"/>
    <row r="162" ht="19.899999999999999" customHeight="1"/>
    <row r="163" ht="19.899999999999999" customHeight="1"/>
    <row r="164" ht="19.899999999999999" customHeight="1"/>
    <row r="165" ht="19.899999999999999" customHeight="1"/>
    <row r="166" ht="19.899999999999999" customHeight="1"/>
    <row r="167" ht="19.899999999999999" customHeight="1"/>
    <row r="168" ht="19.899999999999999" customHeight="1"/>
    <row r="169" ht="19.899999999999999" customHeight="1"/>
    <row r="170" ht="19.899999999999999" customHeight="1"/>
    <row r="171" ht="19.899999999999999" customHeight="1"/>
    <row r="172" ht="19.899999999999999" customHeight="1"/>
    <row r="173" ht="19.899999999999999" customHeight="1"/>
    <row r="174" ht="19.899999999999999" customHeight="1"/>
    <row r="175" ht="19.899999999999999" customHeight="1"/>
    <row r="176" ht="19.899999999999999" customHeight="1"/>
    <row r="177" ht="19.899999999999999" customHeight="1"/>
    <row r="178" ht="19.899999999999999" customHeight="1"/>
    <row r="179" ht="19.899999999999999" customHeight="1"/>
    <row r="180" ht="19.899999999999999" customHeight="1"/>
    <row r="181" ht="19.899999999999999" customHeight="1"/>
    <row r="182" ht="19.899999999999999" customHeight="1"/>
    <row r="183" ht="19.899999999999999" customHeight="1"/>
    <row r="184" ht="19.899999999999999" customHeight="1"/>
    <row r="185" ht="19.899999999999999" customHeight="1"/>
    <row r="186" ht="19.899999999999999" customHeight="1"/>
    <row r="187" ht="19.899999999999999" customHeight="1"/>
    <row r="188" ht="19.899999999999999" customHeight="1"/>
    <row r="189" ht="19.899999999999999" customHeight="1"/>
    <row r="190" ht="19.899999999999999" customHeight="1"/>
    <row r="191" ht="19.899999999999999" customHeight="1"/>
    <row r="192" ht="19.899999999999999" customHeight="1"/>
    <row r="193" ht="19.899999999999999" customHeight="1"/>
    <row r="194" ht="19.899999999999999" customHeight="1"/>
    <row r="195" ht="19.899999999999999" customHeight="1"/>
    <row r="196" ht="19.899999999999999" customHeight="1"/>
    <row r="197" ht="19.899999999999999" customHeight="1"/>
    <row r="198" ht="19.899999999999999" customHeight="1"/>
    <row r="199" ht="19.899999999999999" customHeight="1"/>
    <row r="200" ht="19.899999999999999" customHeight="1"/>
    <row r="201" ht="19.899999999999999" customHeight="1"/>
    <row r="202" ht="19.899999999999999" customHeight="1"/>
    <row r="203" ht="19.899999999999999" customHeight="1"/>
    <row r="204" ht="19.899999999999999" customHeight="1"/>
    <row r="205" ht="19.899999999999999" customHeight="1"/>
    <row r="206" ht="19.899999999999999" customHeight="1"/>
    <row r="207" ht="19.899999999999999" customHeight="1"/>
    <row r="208" ht="19.899999999999999" customHeight="1"/>
    <row r="209" ht="19.899999999999999" customHeight="1"/>
    <row r="210" ht="19.899999999999999" customHeight="1"/>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69"/>
  <sheetViews>
    <sheetView topLeftCell="A52" workbookViewId="0">
      <selection activeCell="A71" sqref="A71:V169"/>
    </sheetView>
  </sheetViews>
  <sheetFormatPr defaultColWidth="11.7109375" defaultRowHeight="19.899999999999999" customHeight="1"/>
  <cols>
    <col min="1" max="1" width="13.140625" style="1" customWidth="1"/>
    <col min="2" max="2" width="21.7109375" style="2" customWidth="1"/>
    <col min="3" max="3" width="20.140625" style="2" bestFit="1" customWidth="1"/>
    <col min="4" max="16384" width="11.7109375" style="2"/>
  </cols>
  <sheetData>
    <row r="1" spans="1:2" ht="19.899999999999999" customHeight="1">
      <c r="A1" s="3" t="s">
        <v>110</v>
      </c>
    </row>
    <row r="2" spans="1:2" ht="19.899999999999999" customHeight="1">
      <c r="A2" s="3" t="s">
        <v>111</v>
      </c>
    </row>
    <row r="5" spans="1:2" ht="19.899999999999999" customHeight="1">
      <c r="A5"/>
      <c r="B5"/>
    </row>
    <row r="6" spans="1:2" ht="19.899999999999999" customHeight="1">
      <c r="A6" s="71" t="s">
        <v>267</v>
      </c>
      <c r="B6" t="s">
        <v>269</v>
      </c>
    </row>
    <row r="7" spans="1:2" ht="19.899999999999999" customHeight="1">
      <c r="A7" s="72" t="s">
        <v>53</v>
      </c>
      <c r="B7" s="73">
        <v>7</v>
      </c>
    </row>
    <row r="8" spans="1:2" ht="19.899999999999999" customHeight="1">
      <c r="A8" s="72" t="s">
        <v>50</v>
      </c>
      <c r="B8" s="73">
        <v>3</v>
      </c>
    </row>
    <row r="9" spans="1:2" ht="19.899999999999999" customHeight="1">
      <c r="A9" s="72" t="s">
        <v>56</v>
      </c>
      <c r="B9" s="73">
        <v>3</v>
      </c>
    </row>
    <row r="10" spans="1:2" ht="19.899999999999999" customHeight="1">
      <c r="A10" s="72" t="s">
        <v>268</v>
      </c>
      <c r="B10" s="73">
        <v>13</v>
      </c>
    </row>
    <row r="16" spans="1:2" ht="19.899999999999999" customHeight="1">
      <c r="A16"/>
      <c r="B16"/>
    </row>
    <row r="17" spans="1:2" ht="19.899999999999999" customHeight="1">
      <c r="A17" s="71" t="s">
        <v>267</v>
      </c>
      <c r="B17" t="s">
        <v>270</v>
      </c>
    </row>
    <row r="18" spans="1:2" ht="19.899999999999999" customHeight="1">
      <c r="A18" s="72" t="s">
        <v>51</v>
      </c>
      <c r="B18" s="74">
        <v>90.25</v>
      </c>
    </row>
    <row r="19" spans="1:2" ht="19.899999999999999" customHeight="1">
      <c r="A19" s="72" t="s">
        <v>57</v>
      </c>
      <c r="B19" s="74">
        <v>85.5</v>
      </c>
    </row>
    <row r="20" spans="1:2" ht="19.899999999999999" customHeight="1">
      <c r="A20" s="72" t="s">
        <v>59</v>
      </c>
      <c r="B20" s="74">
        <v>89.4</v>
      </c>
    </row>
    <row r="21" spans="1:2" ht="19.899999999999999" customHeight="1">
      <c r="A21" s="72" t="s">
        <v>54</v>
      </c>
      <c r="B21" s="74">
        <v>84.5</v>
      </c>
    </row>
    <row r="22" spans="1:2" ht="19.899999999999999" customHeight="1">
      <c r="A22" s="72" t="s">
        <v>268</v>
      </c>
      <c r="B22" s="74">
        <v>88.307692307692307</v>
      </c>
    </row>
    <row r="23" spans="1:2" ht="19.899999999999999" customHeight="1">
      <c r="A23"/>
      <c r="B23"/>
    </row>
    <row r="26" spans="1:2" ht="19.899999999999999" customHeight="1">
      <c r="A26"/>
      <c r="B26"/>
    </row>
    <row r="27" spans="1:2" ht="19.899999999999999" customHeight="1">
      <c r="A27" s="71" t="s">
        <v>267</v>
      </c>
      <c r="B27" t="s">
        <v>271</v>
      </c>
    </row>
    <row r="28" spans="1:2" ht="19.899999999999999" customHeight="1">
      <c r="A28" s="72" t="s">
        <v>51</v>
      </c>
      <c r="B28" s="73">
        <v>1271.875</v>
      </c>
    </row>
    <row r="29" spans="1:2" ht="19.899999999999999" customHeight="1">
      <c r="A29" s="72" t="s">
        <v>57</v>
      </c>
      <c r="B29" s="73">
        <v>1863.0434782608695</v>
      </c>
    </row>
    <row r="30" spans="1:2" ht="19.899999999999999" customHeight="1">
      <c r="A30" s="72" t="s">
        <v>59</v>
      </c>
      <c r="B30" s="73">
        <v>1011.5384615384615</v>
      </c>
    </row>
    <row r="31" spans="1:2" ht="19.899999999999999" customHeight="1">
      <c r="A31" s="72" t="s">
        <v>54</v>
      </c>
      <c r="B31" s="73">
        <v>1242.8571428571429</v>
      </c>
    </row>
    <row r="32" spans="1:2" ht="19.899999999999999" customHeight="1">
      <c r="A32" s="72" t="s">
        <v>268</v>
      </c>
      <c r="B32" s="73">
        <v>1441.5254237288136</v>
      </c>
    </row>
    <row r="36" spans="1:3" ht="19.899999999999999" customHeight="1">
      <c r="A36"/>
      <c r="B36"/>
    </row>
    <row r="37" spans="1:3" ht="19.899999999999999" customHeight="1">
      <c r="A37" s="71" t="s">
        <v>267</v>
      </c>
      <c r="B37" t="s">
        <v>272</v>
      </c>
    </row>
    <row r="38" spans="1:3" ht="19.899999999999999" customHeight="1">
      <c r="A38" s="72" t="s">
        <v>114</v>
      </c>
      <c r="B38" s="73">
        <v>65307</v>
      </c>
    </row>
    <row r="39" spans="1:3" ht="19.899999999999999" customHeight="1">
      <c r="A39" s="72" t="s">
        <v>116</v>
      </c>
      <c r="B39" s="73">
        <v>31287</v>
      </c>
    </row>
    <row r="40" spans="1:3" ht="19.899999999999999" customHeight="1">
      <c r="A40" s="72" t="s">
        <v>115</v>
      </c>
      <c r="B40" s="73">
        <v>30793</v>
      </c>
    </row>
    <row r="41" spans="1:3" ht="19.899999999999999" customHeight="1">
      <c r="A41" s="72" t="s">
        <v>117</v>
      </c>
      <c r="B41" s="73">
        <v>20399</v>
      </c>
    </row>
    <row r="42" spans="1:3" ht="19.899999999999999" customHeight="1">
      <c r="A42" s="72" t="s">
        <v>113</v>
      </c>
      <c r="B42" s="73">
        <v>32442</v>
      </c>
    </row>
    <row r="43" spans="1:3" ht="19.899999999999999" customHeight="1">
      <c r="A43" s="72" t="s">
        <v>268</v>
      </c>
      <c r="B43" s="73">
        <v>180228</v>
      </c>
    </row>
    <row r="44" spans="1:3" ht="19.899999999999999" customHeight="1">
      <c r="A44"/>
      <c r="B44"/>
    </row>
    <row r="47" spans="1:3" ht="19.899999999999999" customHeight="1">
      <c r="A47"/>
      <c r="B47"/>
      <c r="C47"/>
    </row>
    <row r="48" spans="1:3" ht="19.899999999999999" customHeight="1">
      <c r="A48"/>
      <c r="B48"/>
      <c r="C48"/>
    </row>
    <row r="49" spans="1:3" ht="19.899999999999999" customHeight="1">
      <c r="A49" s="71" t="s">
        <v>267</v>
      </c>
      <c r="B49" t="s">
        <v>273</v>
      </c>
      <c r="C49"/>
    </row>
    <row r="50" spans="1:3" ht="19.899999999999999" customHeight="1">
      <c r="A50" s="75">
        <v>1</v>
      </c>
      <c r="B50" s="73">
        <v>1977.4</v>
      </c>
      <c r="C50"/>
    </row>
    <row r="51" spans="1:3" ht="19.899999999999999" customHeight="1">
      <c r="A51" s="75">
        <v>2</v>
      </c>
      <c r="B51" s="73">
        <v>2026.1666666666667</v>
      </c>
      <c r="C51"/>
    </row>
    <row r="52" spans="1:3" ht="19.899999999999999" customHeight="1">
      <c r="A52" s="75">
        <v>3</v>
      </c>
      <c r="B52" s="73">
        <v>1757.5</v>
      </c>
      <c r="C52"/>
    </row>
    <row r="53" spans="1:3" ht="19.899999999999999" customHeight="1">
      <c r="A53" s="75">
        <v>4</v>
      </c>
      <c r="B53" s="73">
        <v>3677.6666666666665</v>
      </c>
      <c r="C53"/>
    </row>
    <row r="54" spans="1:3" ht="19.899999999999999" customHeight="1">
      <c r="A54" s="75">
        <v>5</v>
      </c>
      <c r="B54" s="73">
        <v>2745</v>
      </c>
      <c r="C54"/>
    </row>
    <row r="55" spans="1:3" ht="19.899999999999999" customHeight="1">
      <c r="A55" s="75">
        <v>6</v>
      </c>
      <c r="B55" s="73">
        <v>1755</v>
      </c>
      <c r="C55"/>
    </row>
    <row r="56" spans="1:3" ht="19.899999999999999" customHeight="1">
      <c r="A56" s="75">
        <v>7</v>
      </c>
      <c r="B56" s="73">
        <v>4237</v>
      </c>
      <c r="C56"/>
    </row>
    <row r="57" spans="1:3" ht="19.899999999999999" customHeight="1">
      <c r="A57" s="75">
        <v>8</v>
      </c>
      <c r="B57" s="73">
        <v>2355.5</v>
      </c>
      <c r="C57"/>
    </row>
    <row r="58" spans="1:3" ht="19.899999999999999" customHeight="1">
      <c r="A58" s="75" t="s">
        <v>268</v>
      </c>
      <c r="B58" s="73">
        <v>2382.8571428571427</v>
      </c>
      <c r="C58"/>
    </row>
    <row r="59" spans="1:3" ht="19.899999999999999" customHeight="1">
      <c r="A59"/>
      <c r="B59"/>
      <c r="C59"/>
    </row>
    <row r="60" spans="1:3" ht="19.899999999999999" customHeight="1">
      <c r="A60"/>
      <c r="B60"/>
      <c r="C60"/>
    </row>
    <row r="61" spans="1:3" ht="19.899999999999999" customHeight="1">
      <c r="A61"/>
      <c r="B61"/>
      <c r="C61"/>
    </row>
    <row r="62" spans="1:3" ht="19.899999999999999" customHeight="1">
      <c r="A62"/>
      <c r="B62"/>
      <c r="C62"/>
    </row>
    <row r="63" spans="1:3" ht="19.899999999999999" customHeight="1">
      <c r="A63"/>
      <c r="B63"/>
      <c r="C63"/>
    </row>
    <row r="64" spans="1:3" ht="19.899999999999999" customHeight="1">
      <c r="A64"/>
      <c r="B64"/>
      <c r="C64"/>
    </row>
    <row r="65" spans="1:22" ht="19.899999999999999" customHeight="1">
      <c r="A65"/>
      <c r="B65"/>
      <c r="C65"/>
    </row>
    <row r="66" spans="1:22" ht="19.899999999999999" customHeight="1">
      <c r="A66"/>
      <c r="B66"/>
      <c r="C66"/>
    </row>
    <row r="71" spans="1:22" ht="19.899999999999999" customHeight="1" thickBot="1">
      <c r="A71" s="14" t="s">
        <v>37</v>
      </c>
      <c r="B71" s="88" t="s">
        <v>113</v>
      </c>
      <c r="C71" s="112" t="s">
        <v>114</v>
      </c>
      <c r="D71" s="112" t="s">
        <v>115</v>
      </c>
      <c r="E71" s="112" t="s">
        <v>116</v>
      </c>
      <c r="F71" s="112" t="s">
        <v>286</v>
      </c>
      <c r="G71"/>
      <c r="H71"/>
      <c r="I71"/>
      <c r="J71"/>
      <c r="K71"/>
      <c r="L71"/>
      <c r="M71"/>
      <c r="N71"/>
      <c r="O71"/>
      <c r="P71"/>
      <c r="Q71"/>
      <c r="R71"/>
      <c r="S71"/>
      <c r="T71"/>
      <c r="U71"/>
      <c r="V71"/>
    </row>
    <row r="72" spans="1:22" ht="19.899999999999999" customHeight="1">
      <c r="A72" s="16">
        <v>21</v>
      </c>
      <c r="B72" s="16">
        <v>2745</v>
      </c>
      <c r="C72" s="16">
        <v>2195</v>
      </c>
      <c r="D72" s="16">
        <v>2212</v>
      </c>
      <c r="E72" s="16">
        <v>3524</v>
      </c>
      <c r="F72" s="16">
        <v>2697</v>
      </c>
      <c r="G72" s="16"/>
      <c r="H72"/>
      <c r="I72" s="16"/>
      <c r="J72"/>
      <c r="K72" s="115" t="s">
        <v>113</v>
      </c>
      <c r="L72" s="115"/>
      <c r="M72" s="115" t="s">
        <v>114</v>
      </c>
      <c r="N72" s="115"/>
      <c r="O72" s="115" t="s">
        <v>115</v>
      </c>
      <c r="P72" s="115"/>
      <c r="Q72" s="115" t="s">
        <v>116</v>
      </c>
      <c r="R72" s="115"/>
      <c r="S72" s="115" t="s">
        <v>286</v>
      </c>
      <c r="T72" s="115"/>
      <c r="U72"/>
      <c r="V72"/>
    </row>
    <row r="73" spans="1:22" ht="19.899999999999999" customHeight="1">
      <c r="A73" s="16">
        <v>21</v>
      </c>
      <c r="B73" s="16">
        <v>2397</v>
      </c>
      <c r="C73" s="16">
        <v>2282</v>
      </c>
      <c r="D73" s="16">
        <v>2390</v>
      </c>
      <c r="E73" s="16">
        <v>3809</v>
      </c>
      <c r="F73" s="16">
        <v>3811</v>
      </c>
      <c r="G73" s="16"/>
      <c r="H73"/>
      <c r="I73" s="16"/>
      <c r="J73"/>
      <c r="K73" s="113"/>
      <c r="L73" s="113"/>
      <c r="M73" s="113"/>
      <c r="N73" s="113"/>
      <c r="O73" s="113"/>
      <c r="P73" s="113"/>
      <c r="Q73" s="113"/>
      <c r="R73" s="113"/>
      <c r="S73" s="113"/>
      <c r="T73" s="113"/>
      <c r="U73"/>
      <c r="V73"/>
    </row>
    <row r="74" spans="1:22" ht="19.899999999999999" customHeight="1">
      <c r="A74" s="16">
        <v>21</v>
      </c>
      <c r="B74" s="16">
        <v>3671</v>
      </c>
      <c r="C74" s="16">
        <v>3971</v>
      </c>
      <c r="D74" s="16">
        <v>3495</v>
      </c>
      <c r="E74" s="16">
        <v>1826</v>
      </c>
      <c r="F74" s="16">
        <v>4076</v>
      </c>
      <c r="G74" s="16"/>
      <c r="H74"/>
      <c r="I74" s="16"/>
      <c r="J74"/>
      <c r="K74" s="113" t="s">
        <v>237</v>
      </c>
      <c r="L74" s="113">
        <v>2382.8571428571427</v>
      </c>
      <c r="M74" s="113" t="s">
        <v>237</v>
      </c>
      <c r="N74" s="113">
        <v>2953.4918032786886</v>
      </c>
      <c r="O74" s="113" t="s">
        <v>237</v>
      </c>
      <c r="P74" s="113">
        <v>3010.5</v>
      </c>
      <c r="Q74" s="113" t="s">
        <v>237</v>
      </c>
      <c r="R74" s="113">
        <v>3355.9555555555557</v>
      </c>
      <c r="S74" s="113" t="s">
        <v>237</v>
      </c>
      <c r="T74" s="113">
        <v>3396.8421052631579</v>
      </c>
      <c r="U74"/>
      <c r="V74"/>
    </row>
    <row r="75" spans="1:22" ht="19.899999999999999" customHeight="1">
      <c r="A75" s="16">
        <v>24</v>
      </c>
      <c r="B75" s="16">
        <v>1823</v>
      </c>
      <c r="C75" s="16">
        <v>2433</v>
      </c>
      <c r="D75" s="16">
        <v>2628</v>
      </c>
      <c r="E75" s="16">
        <v>2053</v>
      </c>
      <c r="F75" s="16">
        <v>2041</v>
      </c>
      <c r="G75" s="16"/>
      <c r="H75"/>
      <c r="I75" s="16"/>
      <c r="J75"/>
      <c r="K75" s="113" t="s">
        <v>238</v>
      </c>
      <c r="L75" s="113">
        <v>214.57604141893475</v>
      </c>
      <c r="M75" s="113" t="s">
        <v>238</v>
      </c>
      <c r="N75" s="113">
        <v>136.53360366801363</v>
      </c>
      <c r="O75" s="113" t="s">
        <v>238</v>
      </c>
      <c r="P75" s="113">
        <v>140.99688690676976</v>
      </c>
      <c r="Q75" s="113" t="s">
        <v>238</v>
      </c>
      <c r="R75" s="113">
        <v>183.39780121490051</v>
      </c>
      <c r="S75" s="113" t="s">
        <v>238</v>
      </c>
      <c r="T75" s="113">
        <v>229.77776274562623</v>
      </c>
      <c r="U75"/>
      <c r="V75"/>
    </row>
    <row r="76" spans="1:22" ht="19.899999999999999" customHeight="1">
      <c r="A76" s="16">
        <v>24</v>
      </c>
      <c r="B76" s="16">
        <v>1755</v>
      </c>
      <c r="C76" s="16">
        <v>5410</v>
      </c>
      <c r="D76" s="16">
        <v>1673</v>
      </c>
      <c r="E76" s="16">
        <v>4410</v>
      </c>
      <c r="F76" s="16">
        <v>3254</v>
      </c>
      <c r="G76" s="16"/>
      <c r="H76"/>
      <c r="I76" s="16"/>
      <c r="J76"/>
      <c r="K76" s="113" t="s">
        <v>239</v>
      </c>
      <c r="L76" s="113">
        <v>2384</v>
      </c>
      <c r="M76" s="113" t="s">
        <v>239</v>
      </c>
      <c r="N76" s="113">
        <v>2705</v>
      </c>
      <c r="O76" s="113" t="s">
        <v>239</v>
      </c>
      <c r="P76" s="113">
        <v>2688.5</v>
      </c>
      <c r="Q76" s="113" t="s">
        <v>239</v>
      </c>
      <c r="R76" s="113">
        <v>3371</v>
      </c>
      <c r="S76" s="113" t="s">
        <v>239</v>
      </c>
      <c r="T76" s="113">
        <v>3229</v>
      </c>
      <c r="U76"/>
      <c r="V76"/>
    </row>
    <row r="77" spans="1:22" ht="19.899999999999999" customHeight="1">
      <c r="A77" s="16">
        <v>24</v>
      </c>
      <c r="B77" s="16">
        <v>1677</v>
      </c>
      <c r="C77" s="16">
        <v>3537</v>
      </c>
      <c r="D77" s="16">
        <v>1831</v>
      </c>
      <c r="E77" s="16">
        <v>4157</v>
      </c>
      <c r="F77" s="16">
        <v>4039</v>
      </c>
      <c r="G77" s="16"/>
      <c r="H77"/>
      <c r="I77" s="16"/>
      <c r="J77"/>
      <c r="K77" s="113" t="s">
        <v>64</v>
      </c>
      <c r="L77" s="113" t="e">
        <v>#N/A</v>
      </c>
      <c r="M77" s="113" t="s">
        <v>64</v>
      </c>
      <c r="N77" s="113" t="e">
        <v>#N/A</v>
      </c>
      <c r="O77" s="113" t="s">
        <v>64</v>
      </c>
      <c r="P77" s="113" t="e">
        <v>#N/A</v>
      </c>
      <c r="Q77" s="124" t="s">
        <v>64</v>
      </c>
      <c r="R77" s="113" t="e">
        <v>#N/A</v>
      </c>
      <c r="S77" s="113" t="s">
        <v>64</v>
      </c>
      <c r="T77" s="113" t="e">
        <v>#N/A</v>
      </c>
      <c r="U77"/>
      <c r="V77"/>
    </row>
    <row r="78" spans="1:22" ht="19.899999999999999" customHeight="1">
      <c r="A78" s="16">
        <v>25</v>
      </c>
      <c r="B78" s="16">
        <v>1414</v>
      </c>
      <c r="C78" s="16">
        <v>1873</v>
      </c>
      <c r="D78" s="16">
        <v>4383</v>
      </c>
      <c r="E78" s="16">
        <v>2290</v>
      </c>
      <c r="F78" s="16">
        <v>4205</v>
      </c>
      <c r="G78" s="16"/>
      <c r="H78"/>
      <c r="I78" s="16"/>
      <c r="J78"/>
      <c r="K78" s="113" t="s">
        <v>240</v>
      </c>
      <c r="L78" s="113">
        <v>983.31095212624803</v>
      </c>
      <c r="M78" s="113" t="s">
        <v>240</v>
      </c>
      <c r="N78" s="113">
        <v>1066.3615337984709</v>
      </c>
      <c r="O78" s="113" t="s">
        <v>240</v>
      </c>
      <c r="P78" s="113">
        <v>1036.1112847274769</v>
      </c>
      <c r="Q78" s="113" t="s">
        <v>240</v>
      </c>
      <c r="R78" s="113">
        <v>1230.2698513215332</v>
      </c>
      <c r="S78" s="113" t="s">
        <v>240</v>
      </c>
      <c r="T78" s="113">
        <v>1001.5780472810499</v>
      </c>
      <c r="U78"/>
      <c r="V78"/>
    </row>
    <row r="79" spans="1:22" ht="19.899999999999999" customHeight="1">
      <c r="A79" s="16">
        <v>25</v>
      </c>
      <c r="B79" s="16">
        <v>1172</v>
      </c>
      <c r="C79" s="16">
        <v>2558</v>
      </c>
      <c r="D79" s="16">
        <v>5047</v>
      </c>
      <c r="E79" s="16">
        <v>4259</v>
      </c>
      <c r="F79" s="16">
        <v>2120</v>
      </c>
      <c r="G79" s="16"/>
      <c r="H79"/>
      <c r="I79" s="16"/>
      <c r="J79"/>
      <c r="K79" s="113" t="s">
        <v>241</v>
      </c>
      <c r="L79" s="113">
        <v>966900.42857142841</v>
      </c>
      <c r="M79" s="113" t="s">
        <v>241</v>
      </c>
      <c r="N79" s="113">
        <v>1137126.9207650274</v>
      </c>
      <c r="O79" s="113" t="s">
        <v>241</v>
      </c>
      <c r="P79" s="113">
        <v>1073526.5943396227</v>
      </c>
      <c r="Q79" s="113" t="s">
        <v>241</v>
      </c>
      <c r="R79" s="113">
        <v>1513563.9070707073</v>
      </c>
      <c r="S79" s="113" t="s">
        <v>241</v>
      </c>
      <c r="T79" s="113">
        <v>1003158.584795321</v>
      </c>
      <c r="U79"/>
      <c r="V79"/>
    </row>
    <row r="80" spans="1:22" ht="19.899999999999999" customHeight="1">
      <c r="A80" s="16">
        <v>25</v>
      </c>
      <c r="B80" s="16">
        <v>2469</v>
      </c>
      <c r="C80" s="16">
        <v>2591</v>
      </c>
      <c r="D80" s="16">
        <v>5597</v>
      </c>
      <c r="E80" s="16">
        <v>2775</v>
      </c>
      <c r="F80" s="16">
        <v>4316</v>
      </c>
      <c r="G80" s="16"/>
      <c r="H80"/>
      <c r="I80" s="16"/>
      <c r="J80"/>
      <c r="K80" s="113" t="s">
        <v>242</v>
      </c>
      <c r="L80" s="113">
        <v>1.0228787052506543</v>
      </c>
      <c r="M80" s="113" t="s">
        <v>242</v>
      </c>
      <c r="N80" s="113">
        <v>1.5547659882013924</v>
      </c>
      <c r="O80" s="113" t="s">
        <v>242</v>
      </c>
      <c r="P80" s="113">
        <v>-0.40556239576619557</v>
      </c>
      <c r="Q80" s="113" t="s">
        <v>242</v>
      </c>
      <c r="R80" s="113">
        <v>-0.74499702743799512</v>
      </c>
      <c r="S80" s="113" t="s">
        <v>242</v>
      </c>
      <c r="T80" s="113">
        <v>-0.55009105002717229</v>
      </c>
      <c r="U80"/>
      <c r="V80"/>
    </row>
    <row r="81" spans="1:22" ht="19.899999999999999" customHeight="1">
      <c r="A81" s="16">
        <v>26</v>
      </c>
      <c r="B81" s="16">
        <v>2839</v>
      </c>
      <c r="C81" s="16">
        <v>1774</v>
      </c>
      <c r="D81" s="16">
        <v>1784</v>
      </c>
      <c r="E81" s="16">
        <v>2532</v>
      </c>
      <c r="F81" s="16">
        <v>4503</v>
      </c>
      <c r="G81" s="16"/>
      <c r="H81"/>
      <c r="I81" s="16"/>
      <c r="J81"/>
      <c r="K81" s="113" t="s">
        <v>243</v>
      </c>
      <c r="L81" s="113">
        <v>0.83702863647013281</v>
      </c>
      <c r="M81" s="113" t="s">
        <v>243</v>
      </c>
      <c r="N81" s="113">
        <v>1.3019527031850862</v>
      </c>
      <c r="O81" s="113" t="s">
        <v>243</v>
      </c>
      <c r="P81" s="113">
        <v>0.68553551616479325</v>
      </c>
      <c r="Q81" s="113" t="s">
        <v>243</v>
      </c>
      <c r="R81" s="113">
        <v>0.19179894086717564</v>
      </c>
      <c r="S81" s="113" t="s">
        <v>243</v>
      </c>
      <c r="T81" s="113">
        <v>0.46181052065799272</v>
      </c>
      <c r="U81"/>
      <c r="V81"/>
    </row>
    <row r="82" spans="1:22" ht="19.899999999999999" customHeight="1">
      <c r="A82" s="16">
        <v>26</v>
      </c>
      <c r="B82" s="16">
        <v>2262</v>
      </c>
      <c r="C82" s="16">
        <v>2158</v>
      </c>
      <c r="D82" s="16">
        <v>2528</v>
      </c>
      <c r="E82" s="16">
        <v>4633</v>
      </c>
      <c r="F82" s="16">
        <v>4671</v>
      </c>
      <c r="G82" s="16"/>
      <c r="H82"/>
      <c r="I82" s="16"/>
      <c r="J82"/>
      <c r="K82" s="113" t="s">
        <v>70</v>
      </c>
      <c r="L82" s="113">
        <v>3937</v>
      </c>
      <c r="M82" s="113" t="s">
        <v>70</v>
      </c>
      <c r="N82" s="113">
        <v>4596</v>
      </c>
      <c r="O82" s="113" t="s">
        <v>70</v>
      </c>
      <c r="P82" s="113">
        <v>4314</v>
      </c>
      <c r="Q82" s="113" t="s">
        <v>70</v>
      </c>
      <c r="R82" s="113">
        <v>5167</v>
      </c>
      <c r="S82" s="113" t="s">
        <v>70</v>
      </c>
      <c r="T82" s="113">
        <v>3558</v>
      </c>
      <c r="U82"/>
      <c r="V82"/>
    </row>
    <row r="83" spans="1:22" ht="19.899999999999999" customHeight="1">
      <c r="A83" s="16">
        <v>26</v>
      </c>
      <c r="B83" s="16">
        <v>1036</v>
      </c>
      <c r="C83" s="16">
        <v>2771</v>
      </c>
      <c r="D83" s="16">
        <v>3641</v>
      </c>
      <c r="E83" s="16">
        <v>3710</v>
      </c>
      <c r="F83" s="16">
        <v>5599</v>
      </c>
      <c r="G83" s="16"/>
      <c r="H83"/>
      <c r="I83" s="16"/>
      <c r="J83"/>
      <c r="K83" s="113" t="s">
        <v>244</v>
      </c>
      <c r="L83" s="113">
        <v>903</v>
      </c>
      <c r="M83" s="124" t="s">
        <v>244</v>
      </c>
      <c r="N83" s="113">
        <v>1489</v>
      </c>
      <c r="O83" s="113" t="s">
        <v>244</v>
      </c>
      <c r="P83" s="113">
        <v>1283</v>
      </c>
      <c r="Q83" s="113" t="s">
        <v>244</v>
      </c>
      <c r="R83" s="113">
        <v>938</v>
      </c>
      <c r="S83" s="113" t="s">
        <v>244</v>
      </c>
      <c r="T83" s="113">
        <v>2041</v>
      </c>
      <c r="U83"/>
      <c r="V83"/>
    </row>
    <row r="84" spans="1:22" ht="19.899999999999999" customHeight="1">
      <c r="A84" s="16">
        <v>27</v>
      </c>
      <c r="B84" s="16">
        <v>4840</v>
      </c>
      <c r="C84" s="16">
        <v>4066</v>
      </c>
      <c r="D84" s="16">
        <v>2341</v>
      </c>
      <c r="E84" s="16">
        <v>4752</v>
      </c>
      <c r="F84" s="16">
        <v>2230</v>
      </c>
      <c r="G84" s="16"/>
      <c r="H84"/>
      <c r="I84" s="16"/>
      <c r="J84"/>
      <c r="K84" s="113" t="s">
        <v>245</v>
      </c>
      <c r="L84" s="113">
        <v>4840</v>
      </c>
      <c r="M84" s="113" t="s">
        <v>245</v>
      </c>
      <c r="N84" s="113">
        <v>6085</v>
      </c>
      <c r="O84" s="113" t="s">
        <v>245</v>
      </c>
      <c r="P84" s="113">
        <v>5597</v>
      </c>
      <c r="Q84" s="113" t="s">
        <v>245</v>
      </c>
      <c r="R84" s="113">
        <v>6105</v>
      </c>
      <c r="S84" s="113" t="s">
        <v>245</v>
      </c>
      <c r="T84" s="113">
        <v>5599</v>
      </c>
      <c r="U84"/>
      <c r="V84"/>
    </row>
    <row r="85" spans="1:22" ht="19.899999999999999" customHeight="1">
      <c r="A85" s="16">
        <v>27</v>
      </c>
      <c r="B85" s="16">
        <v>2384</v>
      </c>
      <c r="C85" s="16">
        <v>3269</v>
      </c>
      <c r="D85" s="16">
        <v>3589</v>
      </c>
      <c r="E85" s="16">
        <v>4944</v>
      </c>
      <c r="F85" s="16">
        <v>2399</v>
      </c>
      <c r="G85" s="16"/>
      <c r="H85"/>
      <c r="I85" s="16"/>
      <c r="J85"/>
      <c r="K85" s="113" t="s">
        <v>246</v>
      </c>
      <c r="L85" s="113">
        <v>50040</v>
      </c>
      <c r="M85" s="113" t="s">
        <v>246</v>
      </c>
      <c r="N85" s="113">
        <v>180163</v>
      </c>
      <c r="O85" s="113" t="s">
        <v>246</v>
      </c>
      <c r="P85" s="113">
        <v>162567</v>
      </c>
      <c r="Q85" s="113" t="s">
        <v>246</v>
      </c>
      <c r="R85" s="113">
        <v>151018</v>
      </c>
      <c r="S85" s="113" t="s">
        <v>246</v>
      </c>
      <c r="T85" s="113">
        <v>64540</v>
      </c>
      <c r="U85"/>
      <c r="V85"/>
    </row>
    <row r="86" spans="1:22" ht="19.899999999999999" customHeight="1" thickBot="1">
      <c r="A86" s="16">
        <v>27</v>
      </c>
      <c r="B86" s="16">
        <v>2612</v>
      </c>
      <c r="C86" s="16">
        <v>2356</v>
      </c>
      <c r="D86" s="16">
        <v>4633</v>
      </c>
      <c r="E86" s="16">
        <v>3793</v>
      </c>
      <c r="F86" s="16">
        <v>2943</v>
      </c>
      <c r="G86" s="16"/>
      <c r="H86"/>
      <c r="I86" s="16"/>
      <c r="J86"/>
      <c r="K86" s="114" t="s">
        <v>247</v>
      </c>
      <c r="L86" s="114">
        <v>21</v>
      </c>
      <c r="M86" s="114" t="s">
        <v>247</v>
      </c>
      <c r="N86" s="114">
        <v>61</v>
      </c>
      <c r="O86" s="114" t="s">
        <v>247</v>
      </c>
      <c r="P86" s="114">
        <v>54</v>
      </c>
      <c r="Q86" s="114" t="s">
        <v>247</v>
      </c>
      <c r="R86" s="114">
        <v>45</v>
      </c>
      <c r="S86" s="114" t="s">
        <v>247</v>
      </c>
      <c r="T86" s="114">
        <v>19</v>
      </c>
      <c r="U86"/>
      <c r="V86"/>
    </row>
    <row r="87" spans="1:22" ht="19.899999999999999" customHeight="1">
      <c r="A87" s="16">
        <v>27</v>
      </c>
      <c r="B87" s="16">
        <v>903</v>
      </c>
      <c r="C87" s="16">
        <v>2678</v>
      </c>
      <c r="D87" s="16">
        <v>2721</v>
      </c>
      <c r="E87" s="16">
        <v>4110</v>
      </c>
      <c r="F87" s="16">
        <v>3229</v>
      </c>
      <c r="G87" s="16"/>
      <c r="H87"/>
      <c r="I87" s="16"/>
      <c r="J87"/>
      <c r="K87"/>
      <c r="L87"/>
      <c r="M87"/>
      <c r="N87"/>
      <c r="O87"/>
      <c r="P87"/>
      <c r="Q87"/>
      <c r="R87"/>
      <c r="S87"/>
      <c r="T87"/>
      <c r="U87"/>
      <c r="V87"/>
    </row>
    <row r="88" spans="1:22" ht="19.899999999999999" customHeight="1" thickBot="1">
      <c r="A88" s="16">
        <v>28</v>
      </c>
      <c r="B88" s="16">
        <v>2739</v>
      </c>
      <c r="C88" s="16">
        <v>1885</v>
      </c>
      <c r="D88" s="16">
        <v>2557</v>
      </c>
      <c r="E88" s="16">
        <v>5284</v>
      </c>
      <c r="F88" s="16">
        <v>2872</v>
      </c>
      <c r="G88" s="16"/>
      <c r="H88"/>
      <c r="I88" s="16"/>
      <c r="J88"/>
      <c r="K88"/>
      <c r="L88"/>
      <c r="M88"/>
      <c r="N88"/>
      <c r="O88"/>
      <c r="P88"/>
      <c r="Q88"/>
      <c r="R88"/>
      <c r="S88"/>
      <c r="T88"/>
      <c r="U88"/>
      <c r="V88"/>
    </row>
    <row r="89" spans="1:22" ht="19.899999999999999" customHeight="1">
      <c r="A89" s="16">
        <v>28</v>
      </c>
      <c r="B89" s="16">
        <v>4237</v>
      </c>
      <c r="C89" s="16">
        <v>4311</v>
      </c>
      <c r="D89" s="16">
        <v>2943</v>
      </c>
      <c r="E89" s="16">
        <v>2208</v>
      </c>
      <c r="F89" s="16">
        <v>3067</v>
      </c>
      <c r="G89" s="16"/>
      <c r="H89"/>
      <c r="I89" s="16"/>
      <c r="J89"/>
      <c r="K89" s="115"/>
      <c r="L89" s="115" t="s">
        <v>113</v>
      </c>
      <c r="M89" s="115" t="s">
        <v>114</v>
      </c>
      <c r="N89" s="115" t="s">
        <v>115</v>
      </c>
      <c r="O89" s="115" t="s">
        <v>287</v>
      </c>
      <c r="P89" s="115" t="s">
        <v>117</v>
      </c>
      <c r="Q89" s="115"/>
      <c r="R89" s="115"/>
      <c r="S89" s="115"/>
      <c r="T89" s="115"/>
      <c r="U89"/>
      <c r="V89"/>
    </row>
    <row r="90" spans="1:22" ht="19.899999999999999" customHeight="1">
      <c r="A90" s="16">
        <v>28</v>
      </c>
      <c r="B90" s="16">
        <v>2229</v>
      </c>
      <c r="C90" s="16">
        <v>3836</v>
      </c>
      <c r="D90" s="16">
        <v>2732</v>
      </c>
      <c r="E90" s="16">
        <v>1376</v>
      </c>
      <c r="F90" s="16">
        <v>2468</v>
      </c>
      <c r="G90" s="16"/>
      <c r="H90"/>
      <c r="I90" s="16"/>
      <c r="J90"/>
      <c r="K90" s="113"/>
      <c r="L90" s="113"/>
      <c r="M90" s="113"/>
      <c r="N90" s="113"/>
      <c r="O90" s="113"/>
      <c r="P90" s="113"/>
      <c r="Q90" s="113"/>
      <c r="R90" s="113"/>
      <c r="S90" s="113"/>
      <c r="T90" s="113"/>
      <c r="U90"/>
      <c r="V90"/>
    </row>
    <row r="91" spans="1:22" ht="19.899999999999999" customHeight="1">
      <c r="A91" s="16">
        <v>29</v>
      </c>
      <c r="B91" s="16">
        <v>2522</v>
      </c>
      <c r="C91" s="16">
        <v>2273</v>
      </c>
      <c r="D91" s="16">
        <v>4311</v>
      </c>
      <c r="E91" s="16">
        <v>2327</v>
      </c>
      <c r="F91"/>
      <c r="G91" s="16"/>
      <c r="H91"/>
      <c r="I91"/>
      <c r="J91"/>
      <c r="K91" s="113" t="s">
        <v>237</v>
      </c>
      <c r="L91" s="113">
        <v>2382.8571428571427</v>
      </c>
      <c r="M91" s="113">
        <v>2953.4918032786886</v>
      </c>
      <c r="N91" s="113">
        <v>3010.5</v>
      </c>
      <c r="O91" s="113">
        <v>3355.9555555555557</v>
      </c>
      <c r="P91" s="113">
        <v>3396.8421052631579</v>
      </c>
      <c r="Q91" s="113"/>
      <c r="R91"/>
      <c r="S91" s="113"/>
      <c r="T91"/>
      <c r="U91"/>
      <c r="V91"/>
    </row>
    <row r="92" spans="1:22" ht="19.899999999999999" customHeight="1">
      <c r="A92" s="16">
        <v>29</v>
      </c>
      <c r="B92" s="16">
        <v>2314</v>
      </c>
      <c r="C92" s="16">
        <v>2744</v>
      </c>
      <c r="D92" s="16">
        <v>2774</v>
      </c>
      <c r="E92" s="16">
        <v>1407</v>
      </c>
      <c r="F92"/>
      <c r="G92" s="16"/>
      <c r="H92"/>
      <c r="I92"/>
      <c r="J92"/>
      <c r="K92" s="113" t="s">
        <v>238</v>
      </c>
      <c r="L92" s="113">
        <v>214.57604141893475</v>
      </c>
      <c r="M92" s="113">
        <v>136.53360366801363</v>
      </c>
      <c r="N92" s="113">
        <v>140.99688690676976</v>
      </c>
      <c r="O92" s="113">
        <v>183.39780121490051</v>
      </c>
      <c r="P92" s="113">
        <v>229.77776274562623</v>
      </c>
      <c r="Q92" s="113"/>
      <c r="R92"/>
      <c r="S92" s="113"/>
      <c r="T92"/>
      <c r="U92"/>
      <c r="V92"/>
    </row>
    <row r="93" spans="1:22" ht="19.899999999999999" customHeight="1">
      <c r="A93"/>
      <c r="B93"/>
      <c r="C93" s="16">
        <v>5319</v>
      </c>
      <c r="D93" s="16">
        <v>2961</v>
      </c>
      <c r="E93" s="16">
        <v>2512</v>
      </c>
      <c r="F93"/>
      <c r="G93" s="16"/>
      <c r="H93"/>
      <c r="I93"/>
      <c r="J93"/>
      <c r="K93" s="113" t="s">
        <v>239</v>
      </c>
      <c r="L93" s="113">
        <v>2384</v>
      </c>
      <c r="M93" s="113">
        <v>2705</v>
      </c>
      <c r="N93" s="113">
        <v>2688.5</v>
      </c>
      <c r="O93" s="113">
        <v>3371</v>
      </c>
      <c r="P93" s="113">
        <v>3229</v>
      </c>
      <c r="Q93" s="113"/>
      <c r="R93"/>
      <c r="S93" s="113"/>
      <c r="T93"/>
      <c r="U93"/>
      <c r="V93"/>
    </row>
    <row r="94" spans="1:22" ht="19.899999999999999" customHeight="1">
      <c r="A94"/>
      <c r="B94"/>
      <c r="C94" s="16">
        <v>2279</v>
      </c>
      <c r="D94" s="16">
        <v>1599</v>
      </c>
      <c r="E94" s="16">
        <v>3602</v>
      </c>
      <c r="F94"/>
      <c r="G94" s="16"/>
      <c r="H94"/>
      <c r="I94"/>
      <c r="J94"/>
      <c r="K94" s="113" t="s">
        <v>64</v>
      </c>
      <c r="L94" s="113" t="e">
        <v>#N/A</v>
      </c>
      <c r="M94" s="113" t="e">
        <v>#N/A</v>
      </c>
      <c r="N94" s="113" t="e">
        <v>#N/A</v>
      </c>
      <c r="O94" s="113" t="e">
        <v>#N/A</v>
      </c>
      <c r="P94" s="113" t="e">
        <v>#N/A</v>
      </c>
      <c r="Q94" s="124"/>
      <c r="R94"/>
      <c r="S94" s="113"/>
      <c r="T94"/>
      <c r="U94"/>
      <c r="V94"/>
    </row>
    <row r="95" spans="1:22" ht="19.899999999999999" customHeight="1">
      <c r="A95"/>
      <c r="B95"/>
      <c r="C95" s="16">
        <v>2776</v>
      </c>
      <c r="D95" s="16">
        <v>2524</v>
      </c>
      <c r="E95" s="16">
        <v>4719</v>
      </c>
      <c r="F95"/>
      <c r="G95" s="16"/>
      <c r="H95"/>
      <c r="I95"/>
      <c r="J95"/>
      <c r="K95" s="113" t="s">
        <v>240</v>
      </c>
      <c r="L95" s="113">
        <v>983.31095212624803</v>
      </c>
      <c r="M95" s="113">
        <v>1066.3615337984709</v>
      </c>
      <c r="N95" s="113">
        <v>1036.1112847274769</v>
      </c>
      <c r="O95" s="113">
        <v>1230.2698513215332</v>
      </c>
      <c r="P95" s="113">
        <v>1001.5780472810499</v>
      </c>
      <c r="Q95" s="113"/>
      <c r="R95"/>
      <c r="S95" s="113"/>
      <c r="T95"/>
      <c r="U95"/>
      <c r="V95"/>
    </row>
    <row r="96" spans="1:22" ht="19.899999999999999" customHeight="1">
      <c r="A96"/>
      <c r="B96"/>
      <c r="C96" s="16">
        <v>5779</v>
      </c>
      <c r="D96" s="16">
        <v>2189</v>
      </c>
      <c r="E96" s="16">
        <v>3572</v>
      </c>
      <c r="F96"/>
      <c r="G96" s="16"/>
      <c r="H96"/>
      <c r="I96"/>
      <c r="J96"/>
      <c r="K96" s="113" t="s">
        <v>241</v>
      </c>
      <c r="L96" s="113">
        <v>966900.42857142841</v>
      </c>
      <c r="M96" s="113">
        <v>1137126.9207650274</v>
      </c>
      <c r="N96" s="113">
        <v>1073526.5943396227</v>
      </c>
      <c r="O96" s="113">
        <v>1513563.9070707073</v>
      </c>
      <c r="P96" s="113">
        <v>1003158.584795321</v>
      </c>
      <c r="Q96" s="113"/>
      <c r="R96"/>
      <c r="S96" s="113"/>
      <c r="T96"/>
      <c r="U96"/>
      <c r="V96"/>
    </row>
    <row r="97" spans="1:22" ht="19.899999999999999" customHeight="1">
      <c r="A97"/>
      <c r="B97"/>
      <c r="C97" s="16">
        <v>3044</v>
      </c>
      <c r="D97" s="16">
        <v>3213</v>
      </c>
      <c r="E97" s="16">
        <v>938</v>
      </c>
      <c r="F97"/>
      <c r="G97" s="16"/>
      <c r="H97"/>
      <c r="I97"/>
      <c r="J97"/>
      <c r="K97" s="113" t="s">
        <v>242</v>
      </c>
      <c r="L97" s="113">
        <v>1.0228787052506543</v>
      </c>
      <c r="M97" s="113">
        <v>1.5547659882013924</v>
      </c>
      <c r="N97" s="113">
        <v>-0.40556239576619557</v>
      </c>
      <c r="O97" s="113">
        <v>-0.74499702743799512</v>
      </c>
      <c r="P97" s="113">
        <v>-0.55009105002717229</v>
      </c>
      <c r="Q97" s="113"/>
      <c r="R97"/>
      <c r="S97" s="113"/>
      <c r="T97"/>
      <c r="U97"/>
      <c r="V97"/>
    </row>
    <row r="98" spans="1:22" ht="15.75">
      <c r="A98"/>
      <c r="B98"/>
      <c r="C98" s="16">
        <v>3025</v>
      </c>
      <c r="D98" s="16">
        <v>2574</v>
      </c>
      <c r="E98" s="16">
        <v>2283</v>
      </c>
      <c r="F98"/>
      <c r="G98" s="16"/>
      <c r="H98"/>
      <c r="I98"/>
      <c r="J98"/>
      <c r="K98" s="113" t="s">
        <v>243</v>
      </c>
      <c r="L98" s="113">
        <v>0.83702863647013281</v>
      </c>
      <c r="M98" s="113">
        <v>1.3019527031850862</v>
      </c>
      <c r="N98" s="113">
        <v>0.68553551616479325</v>
      </c>
      <c r="O98" s="113">
        <v>0.19179894086717564</v>
      </c>
      <c r="P98" s="113">
        <v>0.46181052065799272</v>
      </c>
      <c r="Q98" s="113"/>
      <c r="R98"/>
      <c r="S98" s="113"/>
      <c r="T98"/>
      <c r="U98"/>
      <c r="V98"/>
    </row>
    <row r="99" spans="1:22" ht="15.75">
      <c r="A99"/>
      <c r="B99"/>
      <c r="C99" s="16">
        <v>2309</v>
      </c>
      <c r="D99" s="16">
        <v>4166</v>
      </c>
      <c r="E99" s="16">
        <v>2490</v>
      </c>
      <c r="F99"/>
      <c r="G99" s="16"/>
      <c r="H99"/>
      <c r="I99"/>
      <c r="J99"/>
      <c r="K99" s="113" t="s">
        <v>70</v>
      </c>
      <c r="L99" s="113">
        <v>3937</v>
      </c>
      <c r="M99" s="113">
        <v>4596</v>
      </c>
      <c r="N99" s="113">
        <v>4314</v>
      </c>
      <c r="O99" s="113">
        <v>5167</v>
      </c>
      <c r="P99" s="113">
        <v>3558</v>
      </c>
      <c r="Q99" s="113"/>
      <c r="R99"/>
      <c r="S99" s="113"/>
      <c r="T99"/>
      <c r="U99"/>
      <c r="V99"/>
    </row>
    <row r="100" spans="1:22" ht="15.75">
      <c r="A100"/>
      <c r="B100"/>
      <c r="C100" s="16">
        <v>2599</v>
      </c>
      <c r="D100" s="16">
        <v>4006</v>
      </c>
      <c r="E100" s="16">
        <v>3371</v>
      </c>
      <c r="F100"/>
      <c r="G100" s="16"/>
      <c r="H100"/>
      <c r="I100"/>
      <c r="J100"/>
      <c r="K100" s="113" t="s">
        <v>244</v>
      </c>
      <c r="L100" s="113">
        <v>903</v>
      </c>
      <c r="M100" s="113">
        <v>1489</v>
      </c>
      <c r="N100" s="113">
        <v>1283</v>
      </c>
      <c r="O100" s="113">
        <v>938</v>
      </c>
      <c r="P100" s="113">
        <v>2041</v>
      </c>
      <c r="Q100" s="113"/>
      <c r="R100"/>
      <c r="S100" s="113"/>
      <c r="T100"/>
      <c r="U100"/>
      <c r="V100"/>
    </row>
    <row r="101" spans="1:22" ht="15.75">
      <c r="A101"/>
      <c r="B101"/>
      <c r="C101" s="16">
        <v>2213</v>
      </c>
      <c r="D101" s="16">
        <v>1823</v>
      </c>
      <c r="E101" s="16">
        <v>2277</v>
      </c>
      <c r="F101"/>
      <c r="G101" s="16"/>
      <c r="H101"/>
      <c r="I101"/>
      <c r="J101"/>
      <c r="K101" s="113" t="s">
        <v>245</v>
      </c>
      <c r="L101" s="113">
        <v>4840</v>
      </c>
      <c r="M101" s="113">
        <v>6085</v>
      </c>
      <c r="N101" s="113">
        <v>5597</v>
      </c>
      <c r="O101" s="113">
        <v>6105</v>
      </c>
      <c r="P101" s="113">
        <v>5599</v>
      </c>
      <c r="Q101" s="113"/>
      <c r="R101"/>
      <c r="S101" s="113"/>
      <c r="T101"/>
      <c r="U101"/>
      <c r="V101"/>
    </row>
    <row r="102" spans="1:22" ht="15.75">
      <c r="A102"/>
      <c r="B102"/>
      <c r="C102" s="16">
        <v>1532</v>
      </c>
      <c r="D102" s="16">
        <v>2549</v>
      </c>
      <c r="E102" s="16">
        <v>2839</v>
      </c>
      <c r="F102"/>
      <c r="G102" s="16"/>
      <c r="H102"/>
      <c r="I102"/>
      <c r="J102"/>
      <c r="K102" s="113" t="s">
        <v>246</v>
      </c>
      <c r="L102" s="113">
        <v>50040</v>
      </c>
      <c r="M102" s="113">
        <v>180163</v>
      </c>
      <c r="N102" s="113">
        <v>162567</v>
      </c>
      <c r="O102" s="113">
        <v>151018</v>
      </c>
      <c r="P102" s="113">
        <v>64540</v>
      </c>
      <c r="Q102" s="113"/>
      <c r="R102"/>
      <c r="S102" s="113"/>
      <c r="T102"/>
      <c r="U102"/>
      <c r="V102"/>
    </row>
    <row r="103" spans="1:22" ht="16.5" thickBot="1">
      <c r="A103"/>
      <c r="B103"/>
      <c r="C103" s="16">
        <v>2058</v>
      </c>
      <c r="D103" s="16">
        <v>4290</v>
      </c>
      <c r="E103" s="16">
        <v>2505</v>
      </c>
      <c r="F103"/>
      <c r="G103" s="16"/>
      <c r="H103"/>
      <c r="I103"/>
      <c r="J103"/>
      <c r="K103" s="114" t="s">
        <v>247</v>
      </c>
      <c r="L103" s="114">
        <v>21</v>
      </c>
      <c r="M103" s="114">
        <v>61</v>
      </c>
      <c r="N103" s="114">
        <v>54</v>
      </c>
      <c r="O103" s="114">
        <v>45</v>
      </c>
      <c r="P103" s="114">
        <v>19</v>
      </c>
      <c r="Q103" s="114"/>
      <c r="R103"/>
      <c r="S103" s="114"/>
      <c r="T103"/>
      <c r="U103"/>
      <c r="V103"/>
    </row>
    <row r="104" spans="1:22" ht="15.75">
      <c r="A104"/>
      <c r="B104"/>
      <c r="C104" s="16">
        <v>3844</v>
      </c>
      <c r="D104" s="16">
        <v>2238</v>
      </c>
      <c r="E104" s="16">
        <v>2094</v>
      </c>
      <c r="F104"/>
      <c r="G104" s="16"/>
      <c r="H104"/>
      <c r="I104"/>
      <c r="J104"/>
      <c r="K104"/>
      <c r="L104"/>
      <c r="M104"/>
      <c r="N104"/>
      <c r="O104"/>
      <c r="P104"/>
      <c r="Q104"/>
      <c r="R104"/>
      <c r="S104"/>
      <c r="T104"/>
      <c r="U104"/>
      <c r="V104"/>
    </row>
    <row r="105" spans="1:22" ht="15.75">
      <c r="A105"/>
      <c r="B105"/>
      <c r="C105" s="16">
        <v>2134</v>
      </c>
      <c r="D105" s="16">
        <v>3999</v>
      </c>
      <c r="E105" s="16">
        <v>4041</v>
      </c>
      <c r="F105"/>
      <c r="G105" s="16"/>
      <c r="H105"/>
      <c r="I105"/>
      <c r="J105"/>
      <c r="K105"/>
      <c r="L105"/>
      <c r="M105"/>
      <c r="N105"/>
      <c r="O105"/>
      <c r="P105"/>
      <c r="Q105"/>
      <c r="R105"/>
      <c r="S105"/>
      <c r="T105"/>
      <c r="U105"/>
      <c r="V105"/>
    </row>
    <row r="106" spans="1:22" ht="15.75">
      <c r="A106"/>
      <c r="B106"/>
      <c r="C106" s="16">
        <v>2720</v>
      </c>
      <c r="D106" s="16">
        <v>4595</v>
      </c>
      <c r="E106" s="16">
        <v>4261</v>
      </c>
      <c r="F106"/>
      <c r="G106" s="16"/>
      <c r="H106"/>
      <c r="I106"/>
      <c r="J106"/>
      <c r="K106"/>
      <c r="L106"/>
      <c r="M106"/>
      <c r="N106"/>
      <c r="O106"/>
      <c r="P106"/>
      <c r="Q106"/>
      <c r="R106"/>
      <c r="S106"/>
      <c r="T106"/>
      <c r="U106"/>
      <c r="V106"/>
    </row>
    <row r="107" spans="1:22" ht="15.75">
      <c r="A107"/>
      <c r="B107"/>
      <c r="C107" s="16">
        <v>1489</v>
      </c>
      <c r="D107" s="16">
        <v>2697</v>
      </c>
      <c r="E107" s="16">
        <v>2168</v>
      </c>
      <c r="F107"/>
      <c r="G107" s="16"/>
      <c r="H107"/>
      <c r="I107"/>
      <c r="J107"/>
      <c r="K107"/>
      <c r="L107"/>
      <c r="M107"/>
      <c r="N107"/>
      <c r="O107"/>
      <c r="P107"/>
      <c r="Q107"/>
      <c r="R107"/>
      <c r="S107"/>
      <c r="T107"/>
      <c r="U107"/>
      <c r="V107"/>
    </row>
    <row r="108" spans="1:22" ht="15.75">
      <c r="A108"/>
      <c r="B108"/>
      <c r="C108" s="16">
        <v>3949</v>
      </c>
      <c r="D108" s="16">
        <v>2759</v>
      </c>
      <c r="E108" s="16">
        <v>3194</v>
      </c>
      <c r="F108"/>
      <c r="G108" s="16"/>
      <c r="H108"/>
      <c r="I108"/>
      <c r="J108"/>
      <c r="K108"/>
      <c r="L108"/>
      <c r="M108"/>
      <c r="N108"/>
      <c r="O108"/>
      <c r="P108"/>
      <c r="Q108"/>
      <c r="R108"/>
      <c r="S108"/>
      <c r="T108"/>
      <c r="U108"/>
      <c r="V108"/>
    </row>
    <row r="109" spans="1:22" ht="15.75">
      <c r="A109"/>
      <c r="B109"/>
      <c r="C109" s="16">
        <v>2230</v>
      </c>
      <c r="D109" s="16">
        <v>2597</v>
      </c>
      <c r="E109" s="16">
        <v>5240</v>
      </c>
      <c r="F109"/>
      <c r="G109" s="16"/>
      <c r="H109"/>
      <c r="I109"/>
      <c r="J109"/>
      <c r="K109"/>
      <c r="L109"/>
      <c r="M109"/>
      <c r="N109"/>
      <c r="O109"/>
      <c r="P109"/>
      <c r="Q109"/>
      <c r="R109"/>
      <c r="S109"/>
      <c r="T109"/>
      <c r="U109"/>
      <c r="V109"/>
    </row>
    <row r="110" spans="1:22" ht="15.75">
      <c r="A110"/>
      <c r="B110"/>
      <c r="C110" s="16">
        <v>1517</v>
      </c>
      <c r="D110" s="16">
        <v>1938</v>
      </c>
      <c r="E110" s="16">
        <v>5562</v>
      </c>
      <c r="F110"/>
      <c r="G110" s="16"/>
      <c r="H110"/>
      <c r="I110"/>
      <c r="J110"/>
      <c r="K110"/>
      <c r="L110"/>
      <c r="M110"/>
      <c r="N110"/>
      <c r="O110"/>
      <c r="P110"/>
      <c r="Q110"/>
      <c r="R110"/>
      <c r="S110"/>
      <c r="T110"/>
      <c r="U110"/>
      <c r="V110"/>
    </row>
    <row r="111" spans="1:22" ht="15.75">
      <c r="A111"/>
      <c r="B111"/>
      <c r="C111" s="16">
        <v>3374</v>
      </c>
      <c r="D111" s="16">
        <v>1283</v>
      </c>
      <c r="E111" s="16">
        <v>4626</v>
      </c>
      <c r="F111"/>
      <c r="G111" s="16"/>
      <c r="H111"/>
      <c r="I111"/>
      <c r="J111"/>
      <c r="K111"/>
      <c r="L111"/>
      <c r="M111"/>
      <c r="N111"/>
      <c r="O111"/>
      <c r="P111"/>
      <c r="Q111"/>
      <c r="R111"/>
      <c r="S111"/>
      <c r="T111"/>
      <c r="U111"/>
      <c r="V111"/>
    </row>
    <row r="112" spans="1:22" ht="15.75">
      <c r="A112"/>
      <c r="B112"/>
      <c r="C112" s="16">
        <v>3236</v>
      </c>
      <c r="D112" s="16">
        <v>4395</v>
      </c>
      <c r="E112" s="16">
        <v>4334</v>
      </c>
      <c r="F112"/>
      <c r="G112" s="16"/>
      <c r="H112"/>
      <c r="I112"/>
      <c r="J112"/>
      <c r="K112"/>
      <c r="L112"/>
      <c r="M112"/>
      <c r="N112"/>
      <c r="O112"/>
      <c r="P112"/>
      <c r="Q112"/>
      <c r="R112"/>
      <c r="S112"/>
      <c r="T112"/>
      <c r="U112"/>
      <c r="V112"/>
    </row>
    <row r="113" spans="1:22" ht="15.75">
      <c r="A113"/>
      <c r="B113"/>
      <c r="C113" s="16">
        <v>2481</v>
      </c>
      <c r="D113" s="16">
        <v>3013</v>
      </c>
      <c r="E113" s="16">
        <v>6105</v>
      </c>
      <c r="F113"/>
      <c r="G113" s="16"/>
      <c r="H113"/>
      <c r="I113"/>
      <c r="J113"/>
      <c r="K113"/>
      <c r="L113"/>
      <c r="M113"/>
      <c r="N113"/>
      <c r="O113"/>
      <c r="P113"/>
      <c r="Q113"/>
      <c r="R113"/>
      <c r="S113"/>
      <c r="T113"/>
      <c r="U113"/>
      <c r="V113"/>
    </row>
    <row r="114" spans="1:22" ht="15.75">
      <c r="A114"/>
      <c r="B114"/>
      <c r="C114" s="16">
        <v>3302</v>
      </c>
      <c r="D114" s="16">
        <v>2680</v>
      </c>
      <c r="E114" s="16">
        <v>2637</v>
      </c>
      <c r="F114"/>
      <c r="G114" s="16"/>
      <c r="H114"/>
      <c r="I114"/>
      <c r="J114"/>
      <c r="K114"/>
      <c r="L114"/>
      <c r="M114"/>
      <c r="N114"/>
      <c r="O114"/>
      <c r="P114"/>
      <c r="Q114"/>
      <c r="R114"/>
      <c r="S114"/>
      <c r="T114"/>
      <c r="U114"/>
      <c r="V114"/>
    </row>
    <row r="115" spans="1:22" ht="15.75">
      <c r="A115"/>
      <c r="B115"/>
      <c r="C115" s="16">
        <v>3100</v>
      </c>
      <c r="D115" s="16">
        <v>2494</v>
      </c>
      <c r="E115" s="16">
        <v>2543</v>
      </c>
      <c r="F115"/>
      <c r="G115" s="16"/>
      <c r="H115"/>
      <c r="I115"/>
      <c r="J115"/>
      <c r="K115"/>
      <c r="L115"/>
      <c r="M115"/>
      <c r="N115"/>
      <c r="O115"/>
      <c r="P115"/>
      <c r="Q115"/>
      <c r="R115"/>
      <c r="S115"/>
      <c r="T115"/>
      <c r="U115"/>
      <c r="V115"/>
    </row>
    <row r="116" spans="1:22" ht="19.899999999999999" customHeight="1">
      <c r="A116"/>
      <c r="B116"/>
      <c r="C116" s="16">
        <v>2925</v>
      </c>
      <c r="D116" s="16">
        <v>2417</v>
      </c>
      <c r="E116" s="16">
        <v>2926</v>
      </c>
      <c r="F116"/>
      <c r="G116" s="16"/>
      <c r="H116"/>
      <c r="I116"/>
      <c r="J116"/>
      <c r="K116"/>
      <c r="L116"/>
      <c r="M116"/>
      <c r="N116"/>
      <c r="O116"/>
      <c r="P116"/>
      <c r="Q116"/>
      <c r="R116"/>
      <c r="S116"/>
      <c r="T116"/>
      <c r="U116"/>
      <c r="V116"/>
    </row>
    <row r="117" spans="1:22" ht="19.899999999999999" customHeight="1">
      <c r="A117"/>
      <c r="B117"/>
      <c r="C117" s="16">
        <v>6085</v>
      </c>
      <c r="D117" s="16">
        <v>2318</v>
      </c>
      <c r="E117" s="16"/>
      <c r="F117"/>
      <c r="G117"/>
      <c r="H117"/>
      <c r="I117"/>
      <c r="J117"/>
      <c r="K117"/>
      <c r="L117"/>
      <c r="M117"/>
      <c r="N117"/>
      <c r="O117"/>
      <c r="P117"/>
      <c r="Q117"/>
      <c r="R117"/>
      <c r="S117"/>
      <c r="T117"/>
      <c r="U117"/>
      <c r="V117"/>
    </row>
    <row r="118" spans="1:22" ht="19.899999999999999" customHeight="1">
      <c r="A118"/>
      <c r="B118"/>
      <c r="C118" s="16">
        <v>2222</v>
      </c>
      <c r="D118" s="16">
        <v>1905</v>
      </c>
      <c r="E118" s="16"/>
      <c r="F118"/>
      <c r="G118"/>
      <c r="H118"/>
      <c r="I118"/>
      <c r="J118"/>
      <c r="K118"/>
      <c r="L118"/>
      <c r="M118"/>
      <c r="N118"/>
      <c r="O118"/>
      <c r="P118"/>
      <c r="Q118"/>
      <c r="R118"/>
      <c r="S118"/>
      <c r="T118"/>
      <c r="U118"/>
      <c r="V118"/>
    </row>
    <row r="119" spans="1:22" ht="19.899999999999999" customHeight="1">
      <c r="A119"/>
      <c r="B119"/>
      <c r="C119" s="16">
        <v>2076</v>
      </c>
      <c r="D119" s="16">
        <v>3464</v>
      </c>
      <c r="E119" s="16"/>
      <c r="F119"/>
      <c r="G119"/>
      <c r="H119"/>
      <c r="I119"/>
      <c r="J119"/>
      <c r="K119"/>
      <c r="L119"/>
      <c r="M119"/>
      <c r="N119"/>
      <c r="O119"/>
      <c r="P119"/>
      <c r="Q119"/>
      <c r="R119"/>
      <c r="S119"/>
      <c r="T119"/>
      <c r="U119"/>
      <c r="V119"/>
    </row>
    <row r="120" spans="1:22" ht="19.899999999999999" customHeight="1">
      <c r="A120"/>
      <c r="B120"/>
      <c r="C120" s="16">
        <v>3751</v>
      </c>
      <c r="D120" s="16">
        <v>2155</v>
      </c>
      <c r="E120" s="16"/>
      <c r="F120"/>
      <c r="G120"/>
      <c r="H120"/>
      <c r="I120"/>
      <c r="J120"/>
      <c r="K120"/>
      <c r="L120"/>
      <c r="M120"/>
      <c r="N120"/>
      <c r="O120"/>
      <c r="P120"/>
      <c r="Q120"/>
      <c r="R120"/>
      <c r="S120"/>
      <c r="T120"/>
      <c r="U120"/>
      <c r="V120"/>
    </row>
    <row r="121" spans="1:22" ht="19.899999999999999" customHeight="1">
      <c r="A121"/>
      <c r="B121"/>
      <c r="C121" s="16">
        <v>2705</v>
      </c>
      <c r="D121" s="16">
        <v>4085</v>
      </c>
      <c r="E121" s="16"/>
      <c r="F121"/>
      <c r="G121"/>
      <c r="H121"/>
      <c r="I121"/>
      <c r="J121"/>
      <c r="K121"/>
      <c r="L121"/>
      <c r="M121"/>
      <c r="N121"/>
      <c r="O121"/>
      <c r="P121"/>
      <c r="Q121"/>
      <c r="R121"/>
      <c r="S121"/>
      <c r="T121"/>
      <c r="U121"/>
      <c r="V121"/>
    </row>
    <row r="122" spans="1:22" ht="19.899999999999999" customHeight="1">
      <c r="A122"/>
      <c r="B122"/>
      <c r="C122" s="16">
        <v>3672</v>
      </c>
      <c r="D122" s="16">
        <v>5273</v>
      </c>
      <c r="E122" s="16"/>
      <c r="F122"/>
      <c r="G122"/>
      <c r="H122"/>
      <c r="I122"/>
      <c r="J122"/>
      <c r="K122"/>
      <c r="L122"/>
      <c r="M122"/>
      <c r="N122"/>
      <c r="O122"/>
      <c r="P122"/>
      <c r="Q122"/>
      <c r="R122"/>
      <c r="S122"/>
      <c r="T122"/>
      <c r="U122"/>
      <c r="V122"/>
    </row>
    <row r="123" spans="1:22" ht="19.899999999999999" customHeight="1">
      <c r="A123"/>
      <c r="B123"/>
      <c r="C123" s="16">
        <v>2549</v>
      </c>
      <c r="D123" s="16">
        <v>2061</v>
      </c>
      <c r="E123" s="16"/>
      <c r="F123"/>
      <c r="G123"/>
      <c r="H123"/>
      <c r="I123"/>
      <c r="J123"/>
      <c r="K123"/>
      <c r="L123"/>
      <c r="M123"/>
      <c r="N123"/>
      <c r="O123"/>
      <c r="P123"/>
      <c r="Q123"/>
      <c r="R123"/>
      <c r="S123"/>
      <c r="T123"/>
      <c r="U123"/>
      <c r="V123"/>
    </row>
    <row r="124" spans="1:22" ht="19.899999999999999" customHeight="1">
      <c r="A124"/>
      <c r="B124"/>
      <c r="C124" s="16">
        <v>3002</v>
      </c>
      <c r="D124" s="16">
        <v>2230</v>
      </c>
      <c r="E124" s="16"/>
      <c r="F124"/>
      <c r="G124"/>
      <c r="H124"/>
      <c r="I124"/>
      <c r="J124"/>
      <c r="K124"/>
      <c r="L124"/>
      <c r="M124"/>
      <c r="N124"/>
      <c r="O124"/>
      <c r="P124"/>
      <c r="Q124"/>
      <c r="R124"/>
      <c r="S124"/>
      <c r="T124"/>
      <c r="U124"/>
      <c r="V124"/>
    </row>
    <row r="125" spans="1:22" ht="19.899999999999999" customHeight="1">
      <c r="A125"/>
      <c r="B125"/>
      <c r="C125" s="16">
        <v>5832</v>
      </c>
      <c r="D125" s="16">
        <v>4267</v>
      </c>
      <c r="E125" s="16"/>
      <c r="F125"/>
      <c r="G125"/>
      <c r="H125"/>
      <c r="I125"/>
      <c r="J125"/>
      <c r="K125"/>
      <c r="L125"/>
      <c r="M125"/>
      <c r="N125"/>
      <c r="O125"/>
      <c r="P125"/>
      <c r="Q125"/>
      <c r="R125"/>
      <c r="S125"/>
      <c r="T125"/>
      <c r="U125"/>
      <c r="V125"/>
    </row>
    <row r="126" spans="1:22" ht="19.899999999999999" customHeight="1">
      <c r="A126"/>
      <c r="B126"/>
      <c r="C126" s="16">
        <v>3254</v>
      </c>
      <c r="D126"/>
      <c r="E126"/>
      <c r="F126"/>
      <c r="G126"/>
      <c r="H126"/>
      <c r="I126"/>
      <c r="J126"/>
      <c r="K126"/>
      <c r="L126"/>
      <c r="M126"/>
      <c r="N126"/>
      <c r="O126"/>
      <c r="P126"/>
      <c r="Q126"/>
      <c r="R126"/>
      <c r="S126"/>
      <c r="T126"/>
      <c r="U126"/>
      <c r="V126"/>
    </row>
    <row r="127" spans="1:22" ht="19.899999999999999" customHeight="1">
      <c r="A127"/>
      <c r="B127"/>
      <c r="C127" s="16">
        <v>1849</v>
      </c>
      <c r="D127"/>
      <c r="E127"/>
      <c r="F127"/>
      <c r="G127"/>
      <c r="H127"/>
      <c r="I127"/>
      <c r="J127"/>
      <c r="K127"/>
      <c r="L127"/>
      <c r="M127"/>
      <c r="N127"/>
      <c r="O127"/>
      <c r="P127"/>
      <c r="Q127"/>
      <c r="R127"/>
      <c r="S127"/>
      <c r="T127"/>
      <c r="U127"/>
      <c r="V127"/>
    </row>
    <row r="128" spans="1:22" ht="19.899999999999999" customHeight="1">
      <c r="A128"/>
      <c r="B128"/>
      <c r="C128" s="16">
        <v>2330</v>
      </c>
      <c r="D128"/>
      <c r="E128"/>
      <c r="F128"/>
      <c r="G128"/>
      <c r="H128"/>
      <c r="I128"/>
      <c r="J128"/>
      <c r="K128"/>
      <c r="L128"/>
      <c r="M128"/>
      <c r="N128"/>
      <c r="O128"/>
      <c r="P128"/>
      <c r="Q128"/>
      <c r="R128"/>
      <c r="S128"/>
      <c r="T128"/>
      <c r="U128"/>
      <c r="V128"/>
    </row>
    <row r="129" spans="1:22" ht="19.899999999999999" customHeight="1">
      <c r="A129"/>
      <c r="B129"/>
      <c r="C129" s="16">
        <v>2552</v>
      </c>
      <c r="D129"/>
      <c r="E129"/>
      <c r="F129"/>
      <c r="G129"/>
      <c r="H129"/>
      <c r="I129"/>
      <c r="J129"/>
      <c r="K129"/>
      <c r="L129"/>
      <c r="M129"/>
      <c r="N129"/>
      <c r="O129"/>
      <c r="P129"/>
      <c r="Q129"/>
      <c r="R129"/>
      <c r="S129"/>
      <c r="T129"/>
      <c r="U129"/>
      <c r="V129"/>
    </row>
    <row r="130" spans="1:22" ht="19.899999999999999" customHeight="1">
      <c r="A130"/>
      <c r="B130"/>
      <c r="C130" s="16">
        <v>3375</v>
      </c>
      <c r="D130"/>
      <c r="E130"/>
      <c r="F130"/>
      <c r="G130"/>
      <c r="H130"/>
      <c r="I130"/>
      <c r="J130"/>
      <c r="K130"/>
      <c r="L130"/>
      <c r="M130"/>
      <c r="N130"/>
      <c r="O130"/>
      <c r="P130"/>
      <c r="Q130"/>
      <c r="R130"/>
      <c r="S130"/>
      <c r="T130"/>
      <c r="U130"/>
      <c r="V130"/>
    </row>
    <row r="131" spans="1:22" ht="19.899999999999999" customHeight="1">
      <c r="A131"/>
      <c r="B131"/>
      <c r="C131" s="16">
        <v>2887</v>
      </c>
      <c r="D131"/>
      <c r="E131"/>
      <c r="F131"/>
      <c r="G131"/>
      <c r="H131"/>
      <c r="I131"/>
      <c r="J131"/>
      <c r="K131"/>
      <c r="L131"/>
      <c r="M131"/>
      <c r="N131"/>
      <c r="O131"/>
      <c r="P131"/>
      <c r="Q131"/>
      <c r="R131"/>
      <c r="S131"/>
      <c r="T131"/>
      <c r="U131"/>
      <c r="V131"/>
    </row>
    <row r="132" spans="1:22" ht="19.899999999999999" customHeight="1">
      <c r="A132"/>
      <c r="B132"/>
      <c r="C132" s="16">
        <v>1817</v>
      </c>
      <c r="D132"/>
      <c r="E132"/>
      <c r="F132"/>
      <c r="G132"/>
      <c r="H132"/>
      <c r="I132"/>
      <c r="J132"/>
      <c r="K132"/>
      <c r="L132"/>
      <c r="M132"/>
      <c r="N132"/>
      <c r="O132"/>
      <c r="P132"/>
      <c r="Q132"/>
      <c r="R132"/>
      <c r="S132"/>
      <c r="T132"/>
      <c r="U132"/>
      <c r="V132"/>
    </row>
    <row r="133" spans="1:22" ht="19.899999999999999" customHeight="1">
      <c r="A133"/>
      <c r="B133"/>
      <c r="C133"/>
      <c r="D133"/>
      <c r="E133"/>
      <c r="F133"/>
      <c r="G133"/>
      <c r="H133"/>
      <c r="I133"/>
      <c r="J133"/>
      <c r="K133"/>
      <c r="L133"/>
      <c r="M133"/>
      <c r="N133"/>
      <c r="O133"/>
      <c r="P133"/>
      <c r="Q133"/>
      <c r="R133"/>
      <c r="S133"/>
      <c r="T133"/>
      <c r="U133"/>
      <c r="V133"/>
    </row>
    <row r="134" spans="1:22" ht="19.899999999999999" customHeight="1">
      <c r="A134"/>
      <c r="B134"/>
      <c r="C134"/>
      <c r="D134"/>
      <c r="E134"/>
      <c r="F134"/>
      <c r="G134"/>
      <c r="H134"/>
      <c r="I134"/>
      <c r="J134"/>
      <c r="K134"/>
      <c r="L134"/>
      <c r="M134"/>
      <c r="N134"/>
      <c r="O134"/>
      <c r="P134"/>
      <c r="Q134"/>
      <c r="R134"/>
      <c r="S134"/>
      <c r="T134"/>
      <c r="U134"/>
      <c r="V134"/>
    </row>
    <row r="135" spans="1:22" ht="19.899999999999999" customHeight="1">
      <c r="A135"/>
      <c r="B135"/>
      <c r="C135"/>
      <c r="D135"/>
      <c r="E135"/>
      <c r="F135"/>
      <c r="G135"/>
      <c r="H135"/>
      <c r="I135"/>
      <c r="J135"/>
      <c r="K135"/>
      <c r="L135"/>
      <c r="M135"/>
      <c r="N135"/>
      <c r="O135"/>
      <c r="P135"/>
      <c r="Q135"/>
      <c r="R135"/>
      <c r="S135"/>
      <c r="T135"/>
      <c r="U135"/>
      <c r="V135"/>
    </row>
    <row r="136" spans="1:22" ht="19.899999999999999" customHeight="1">
      <c r="A136"/>
      <c r="B136"/>
      <c r="C136"/>
      <c r="D136"/>
      <c r="E136"/>
      <c r="F136"/>
      <c r="G136"/>
      <c r="H136"/>
      <c r="I136"/>
      <c r="J136"/>
      <c r="K136"/>
      <c r="L136"/>
      <c r="M136"/>
      <c r="N136"/>
      <c r="O136"/>
      <c r="P136"/>
      <c r="Q136"/>
      <c r="R136"/>
      <c r="S136"/>
      <c r="T136"/>
      <c r="U136"/>
      <c r="V136"/>
    </row>
    <row r="137" spans="1:22" ht="19.899999999999999" customHeight="1">
      <c r="A137"/>
      <c r="B137"/>
      <c r="C137"/>
      <c r="D137"/>
      <c r="E137"/>
      <c r="F137"/>
      <c r="G137"/>
      <c r="H137"/>
      <c r="I137"/>
      <c r="J137"/>
      <c r="K137"/>
      <c r="L137"/>
      <c r="M137"/>
      <c r="N137"/>
      <c r="O137"/>
      <c r="P137"/>
      <c r="Q137"/>
      <c r="R137"/>
      <c r="S137"/>
      <c r="T137"/>
      <c r="U137"/>
      <c r="V137"/>
    </row>
    <row r="138" spans="1:22" ht="19.899999999999999" customHeight="1">
      <c r="A138"/>
      <c r="B138"/>
      <c r="C138"/>
      <c r="D138"/>
      <c r="E138"/>
      <c r="F138"/>
      <c r="G138"/>
      <c r="H138"/>
      <c r="I138"/>
      <c r="J138"/>
      <c r="K138"/>
      <c r="L138"/>
      <c r="M138"/>
      <c r="N138"/>
      <c r="O138"/>
      <c r="P138"/>
      <c r="Q138"/>
      <c r="R138"/>
      <c r="S138"/>
      <c r="T138"/>
      <c r="U138"/>
      <c r="V138"/>
    </row>
    <row r="139" spans="1:22" ht="19.899999999999999" customHeight="1">
      <c r="A139"/>
      <c r="B139"/>
      <c r="C139"/>
      <c r="D139"/>
      <c r="E139"/>
      <c r="F139"/>
      <c r="G139"/>
      <c r="H139"/>
      <c r="I139"/>
      <c r="J139"/>
      <c r="K139"/>
      <c r="L139"/>
      <c r="M139"/>
      <c r="N139"/>
      <c r="O139"/>
      <c r="P139"/>
      <c r="Q139"/>
      <c r="R139"/>
      <c r="S139"/>
      <c r="T139"/>
      <c r="U139"/>
      <c r="V139"/>
    </row>
    <row r="140" spans="1:22" ht="19.899999999999999" customHeight="1">
      <c r="A140"/>
      <c r="B140"/>
      <c r="C140"/>
      <c r="D140"/>
      <c r="E140"/>
      <c r="F140"/>
      <c r="G140"/>
      <c r="H140"/>
      <c r="I140"/>
      <c r="J140"/>
      <c r="K140"/>
      <c r="L140"/>
      <c r="M140"/>
      <c r="N140"/>
      <c r="O140"/>
      <c r="P140"/>
      <c r="Q140"/>
      <c r="R140"/>
      <c r="S140"/>
      <c r="T140"/>
      <c r="U140"/>
      <c r="V140"/>
    </row>
    <row r="141" spans="1:22" ht="19.899999999999999" customHeight="1">
      <c r="A141"/>
      <c r="B141"/>
      <c r="C141"/>
      <c r="D141"/>
      <c r="E141"/>
      <c r="F141"/>
      <c r="G141"/>
      <c r="H141"/>
      <c r="I141"/>
      <c r="J141"/>
      <c r="K141"/>
      <c r="L141"/>
      <c r="M141"/>
      <c r="N141"/>
      <c r="O141"/>
      <c r="P141"/>
      <c r="Q141"/>
      <c r="R141"/>
      <c r="S141"/>
      <c r="T141"/>
      <c r="U141"/>
      <c r="V141"/>
    </row>
    <row r="142" spans="1:22" ht="19.899999999999999" customHeight="1">
      <c r="A142"/>
      <c r="B142"/>
      <c r="C142"/>
      <c r="D142"/>
      <c r="E142"/>
      <c r="F142"/>
      <c r="G142"/>
      <c r="H142"/>
      <c r="I142"/>
      <c r="J142"/>
      <c r="K142"/>
      <c r="L142"/>
      <c r="M142"/>
      <c r="N142"/>
      <c r="O142"/>
      <c r="P142"/>
      <c r="Q142"/>
      <c r="R142"/>
      <c r="S142"/>
      <c r="T142"/>
      <c r="U142"/>
      <c r="V142"/>
    </row>
    <row r="143" spans="1:22" ht="19.899999999999999" customHeight="1">
      <c r="A143"/>
      <c r="B143"/>
      <c r="C143"/>
      <c r="D143"/>
      <c r="E143"/>
      <c r="F143"/>
      <c r="G143"/>
      <c r="H143"/>
      <c r="I143"/>
      <c r="J143"/>
      <c r="K143"/>
      <c r="L143"/>
      <c r="M143"/>
      <c r="N143"/>
      <c r="O143"/>
      <c r="P143"/>
      <c r="Q143"/>
      <c r="R143"/>
      <c r="S143"/>
      <c r="T143"/>
      <c r="U143"/>
      <c r="V143"/>
    </row>
    <row r="144" spans="1:22" ht="19.899999999999999" customHeight="1">
      <c r="A144"/>
      <c r="B144"/>
      <c r="C144"/>
      <c r="D144"/>
      <c r="E144"/>
      <c r="F144"/>
      <c r="G144"/>
      <c r="H144"/>
      <c r="I144"/>
      <c r="J144"/>
      <c r="K144"/>
      <c r="L144"/>
      <c r="M144"/>
      <c r="N144"/>
      <c r="O144"/>
      <c r="P144"/>
      <c r="Q144"/>
      <c r="R144"/>
      <c r="S144"/>
      <c r="T144"/>
      <c r="U144"/>
      <c r="V144"/>
    </row>
    <row r="145" spans="1:22" ht="19.899999999999999" customHeight="1">
      <c r="A145"/>
      <c r="B145"/>
      <c r="C145"/>
      <c r="D145"/>
      <c r="E145"/>
      <c r="F145"/>
      <c r="G145"/>
      <c r="H145"/>
      <c r="I145"/>
      <c r="J145"/>
      <c r="K145"/>
      <c r="L145"/>
      <c r="M145"/>
      <c r="N145"/>
      <c r="O145"/>
      <c r="P145"/>
      <c r="Q145"/>
      <c r="R145"/>
      <c r="S145"/>
      <c r="T145"/>
      <c r="U145"/>
      <c r="V145"/>
    </row>
    <row r="146" spans="1:22" ht="19.899999999999999" customHeight="1">
      <c r="A146"/>
      <c r="B146"/>
      <c r="C146"/>
      <c r="D146"/>
      <c r="E146"/>
      <c r="F146"/>
      <c r="G146"/>
      <c r="H146"/>
      <c r="I146"/>
      <c r="J146"/>
      <c r="K146"/>
      <c r="L146"/>
      <c r="M146"/>
      <c r="N146"/>
      <c r="O146"/>
      <c r="P146"/>
      <c r="Q146"/>
      <c r="R146"/>
      <c r="S146"/>
      <c r="T146"/>
      <c r="U146"/>
      <c r="V146"/>
    </row>
    <row r="147" spans="1:22" ht="19.899999999999999" customHeight="1">
      <c r="A147"/>
      <c r="B147"/>
      <c r="C147"/>
      <c r="D147"/>
      <c r="E147"/>
      <c r="F147"/>
      <c r="G147"/>
      <c r="H147"/>
      <c r="I147"/>
      <c r="J147"/>
      <c r="K147"/>
      <c r="L147"/>
      <c r="M147"/>
      <c r="N147"/>
      <c r="O147"/>
      <c r="P147"/>
      <c r="Q147"/>
      <c r="R147"/>
      <c r="S147"/>
      <c r="T147"/>
      <c r="U147"/>
      <c r="V147"/>
    </row>
    <row r="148" spans="1:22" ht="19.899999999999999" customHeight="1">
      <c r="A148"/>
      <c r="B148"/>
      <c r="C148"/>
      <c r="D148"/>
      <c r="E148"/>
      <c r="F148"/>
      <c r="G148"/>
      <c r="H148"/>
      <c r="I148"/>
      <c r="J148"/>
      <c r="K148"/>
      <c r="L148"/>
      <c r="M148"/>
      <c r="N148"/>
      <c r="O148"/>
      <c r="P148"/>
      <c r="Q148"/>
      <c r="R148"/>
      <c r="S148"/>
      <c r="T148"/>
      <c r="U148"/>
      <c r="V148"/>
    </row>
    <row r="149" spans="1:22" ht="19.899999999999999" customHeight="1">
      <c r="A149"/>
      <c r="B149"/>
      <c r="C149"/>
      <c r="D149"/>
      <c r="E149"/>
      <c r="F149"/>
      <c r="G149"/>
      <c r="H149"/>
      <c r="I149"/>
      <c r="J149"/>
      <c r="K149"/>
      <c r="L149"/>
      <c r="M149"/>
      <c r="N149"/>
      <c r="O149"/>
      <c r="P149"/>
      <c r="Q149"/>
      <c r="R149"/>
      <c r="S149"/>
      <c r="T149"/>
      <c r="U149"/>
      <c r="V149"/>
    </row>
    <row r="150" spans="1:22" ht="19.899999999999999" customHeight="1">
      <c r="A150"/>
      <c r="B150"/>
      <c r="C150"/>
      <c r="D150"/>
      <c r="E150"/>
      <c r="F150"/>
      <c r="G150"/>
      <c r="H150"/>
      <c r="I150"/>
      <c r="J150"/>
      <c r="K150"/>
      <c r="L150"/>
      <c r="M150"/>
      <c r="N150"/>
      <c r="O150"/>
      <c r="P150"/>
      <c r="Q150"/>
      <c r="R150"/>
      <c r="S150"/>
      <c r="T150"/>
      <c r="U150"/>
      <c r="V150"/>
    </row>
    <row r="151" spans="1:22" ht="19.899999999999999" customHeight="1">
      <c r="A151"/>
      <c r="B151"/>
      <c r="C151"/>
      <c r="D151"/>
      <c r="E151"/>
      <c r="F151"/>
      <c r="G151"/>
      <c r="H151"/>
      <c r="I151"/>
      <c r="J151"/>
      <c r="K151"/>
      <c r="L151"/>
      <c r="M151"/>
      <c r="N151"/>
      <c r="O151"/>
      <c r="P151"/>
      <c r="Q151"/>
      <c r="R151"/>
      <c r="S151"/>
      <c r="T151"/>
      <c r="U151"/>
      <c r="V151"/>
    </row>
    <row r="152" spans="1:22" ht="19.899999999999999" customHeight="1">
      <c r="A152"/>
      <c r="B152"/>
      <c r="C152"/>
      <c r="D152"/>
      <c r="E152"/>
      <c r="F152"/>
      <c r="G152"/>
      <c r="H152"/>
      <c r="I152"/>
      <c r="J152"/>
      <c r="K152"/>
      <c r="L152"/>
      <c r="M152"/>
      <c r="N152"/>
      <c r="O152"/>
      <c r="P152"/>
      <c r="Q152"/>
      <c r="R152"/>
      <c r="S152"/>
      <c r="T152"/>
      <c r="U152"/>
      <c r="V152"/>
    </row>
    <row r="153" spans="1:22" ht="19.899999999999999" customHeight="1">
      <c r="A153"/>
      <c r="B153"/>
      <c r="C153"/>
      <c r="D153"/>
      <c r="E153"/>
      <c r="F153"/>
      <c r="G153"/>
      <c r="H153"/>
      <c r="I153"/>
      <c r="J153"/>
      <c r="K153"/>
      <c r="L153"/>
      <c r="M153"/>
      <c r="N153"/>
      <c r="O153"/>
      <c r="P153"/>
      <c r="Q153"/>
      <c r="R153"/>
      <c r="S153"/>
      <c r="T153"/>
      <c r="U153"/>
      <c r="V153"/>
    </row>
    <row r="154" spans="1:22" ht="19.899999999999999" customHeight="1">
      <c r="A154"/>
      <c r="B154"/>
      <c r="C154"/>
      <c r="D154"/>
      <c r="E154"/>
      <c r="F154"/>
      <c r="G154"/>
      <c r="H154"/>
      <c r="I154"/>
      <c r="J154"/>
      <c r="K154"/>
      <c r="L154"/>
      <c r="M154"/>
      <c r="N154"/>
      <c r="O154"/>
      <c r="P154"/>
      <c r="Q154"/>
      <c r="R154"/>
      <c r="S154"/>
      <c r="T154"/>
      <c r="U154"/>
      <c r="V154"/>
    </row>
    <row r="155" spans="1:22" ht="19.899999999999999" customHeight="1">
      <c r="A155"/>
      <c r="B155"/>
      <c r="C155"/>
      <c r="D155"/>
      <c r="E155"/>
      <c r="F155"/>
      <c r="G155"/>
      <c r="H155"/>
      <c r="I155"/>
      <c r="J155"/>
      <c r="K155"/>
      <c r="L155"/>
      <c r="M155"/>
      <c r="N155"/>
      <c r="O155"/>
      <c r="P155"/>
      <c r="Q155"/>
      <c r="R155"/>
      <c r="S155"/>
      <c r="T155"/>
      <c r="U155"/>
      <c r="V155"/>
    </row>
    <row r="156" spans="1:22" ht="19.899999999999999" customHeight="1">
      <c r="A156"/>
      <c r="B156"/>
      <c r="C156"/>
      <c r="D156"/>
      <c r="E156"/>
      <c r="F156"/>
      <c r="G156"/>
      <c r="H156"/>
      <c r="I156"/>
      <c r="J156"/>
      <c r="K156"/>
      <c r="L156"/>
      <c r="M156"/>
      <c r="N156"/>
      <c r="O156"/>
      <c r="P156"/>
      <c r="Q156"/>
      <c r="R156"/>
      <c r="S156"/>
      <c r="T156"/>
      <c r="U156"/>
      <c r="V156"/>
    </row>
    <row r="157" spans="1:22" ht="19.899999999999999" customHeight="1">
      <c r="A157"/>
      <c r="B157"/>
      <c r="C157"/>
      <c r="D157"/>
      <c r="E157"/>
      <c r="F157"/>
      <c r="G157"/>
      <c r="H157"/>
      <c r="I157"/>
      <c r="J157"/>
      <c r="K157"/>
      <c r="L157"/>
      <c r="M157"/>
      <c r="N157"/>
      <c r="O157"/>
      <c r="P157"/>
      <c r="Q157"/>
      <c r="R157"/>
      <c r="S157"/>
      <c r="T157"/>
      <c r="U157"/>
      <c r="V157"/>
    </row>
    <row r="158" spans="1:22" ht="19.899999999999999" customHeight="1">
      <c r="A158"/>
      <c r="B158"/>
      <c r="C158"/>
      <c r="D158"/>
      <c r="E158"/>
      <c r="F158"/>
      <c r="G158"/>
      <c r="H158"/>
      <c r="I158"/>
      <c r="J158"/>
      <c r="K158"/>
      <c r="L158"/>
      <c r="M158"/>
      <c r="N158"/>
      <c r="O158"/>
      <c r="P158"/>
      <c r="Q158"/>
      <c r="R158"/>
      <c r="S158"/>
      <c r="T158"/>
      <c r="U158"/>
      <c r="V158"/>
    </row>
    <row r="159" spans="1:22" ht="19.899999999999999" customHeight="1">
      <c r="A159"/>
      <c r="B159"/>
      <c r="C159"/>
      <c r="D159"/>
      <c r="E159"/>
      <c r="F159"/>
      <c r="G159"/>
      <c r="H159"/>
      <c r="I159"/>
      <c r="J159"/>
      <c r="K159"/>
      <c r="L159"/>
      <c r="M159"/>
      <c r="N159"/>
      <c r="O159"/>
      <c r="P159"/>
      <c r="Q159"/>
      <c r="R159"/>
      <c r="S159"/>
      <c r="T159"/>
      <c r="U159"/>
      <c r="V159"/>
    </row>
    <row r="160" spans="1:22" ht="19.899999999999999" customHeight="1">
      <c r="A160"/>
      <c r="B160"/>
      <c r="C160"/>
      <c r="D160"/>
      <c r="E160"/>
      <c r="F160"/>
      <c r="G160"/>
      <c r="H160"/>
      <c r="I160"/>
      <c r="J160"/>
      <c r="K160"/>
      <c r="L160"/>
      <c r="M160"/>
      <c r="N160"/>
      <c r="O160"/>
      <c r="P160"/>
      <c r="Q160"/>
      <c r="R160"/>
      <c r="S160"/>
      <c r="T160"/>
      <c r="U160"/>
      <c r="V160"/>
    </row>
    <row r="161" spans="1:22" ht="19.899999999999999" customHeight="1">
      <c r="A161"/>
      <c r="B161"/>
      <c r="C161"/>
      <c r="D161"/>
      <c r="E161"/>
      <c r="F161"/>
      <c r="G161"/>
      <c r="H161"/>
      <c r="I161"/>
      <c r="J161"/>
      <c r="K161"/>
      <c r="L161"/>
      <c r="M161"/>
      <c r="N161"/>
      <c r="O161"/>
      <c r="P161"/>
      <c r="Q161"/>
      <c r="R161"/>
      <c r="S161"/>
      <c r="T161"/>
      <c r="U161"/>
      <c r="V161"/>
    </row>
    <row r="162" spans="1:22" ht="19.899999999999999" customHeight="1">
      <c r="A162"/>
      <c r="B162"/>
      <c r="C162"/>
      <c r="D162"/>
      <c r="E162"/>
      <c r="F162"/>
      <c r="G162"/>
      <c r="H162"/>
      <c r="I162"/>
      <c r="J162"/>
      <c r="K162"/>
      <c r="L162"/>
      <c r="M162"/>
      <c r="N162"/>
      <c r="O162"/>
      <c r="P162"/>
      <c r="Q162"/>
      <c r="R162"/>
      <c r="S162"/>
      <c r="T162"/>
      <c r="U162"/>
      <c r="V162"/>
    </row>
    <row r="163" spans="1:22" ht="19.899999999999999" customHeight="1">
      <c r="A163"/>
      <c r="B163"/>
      <c r="C163"/>
      <c r="D163"/>
      <c r="E163"/>
      <c r="F163"/>
      <c r="G163"/>
      <c r="H163"/>
      <c r="I163"/>
      <c r="J163"/>
      <c r="K163"/>
      <c r="L163"/>
      <c r="M163"/>
      <c r="N163"/>
      <c r="O163"/>
      <c r="P163"/>
      <c r="Q163"/>
      <c r="R163"/>
      <c r="S163"/>
      <c r="T163"/>
      <c r="U163"/>
      <c r="V163"/>
    </row>
    <row r="164" spans="1:22" ht="19.899999999999999" customHeight="1">
      <c r="A164"/>
      <c r="B164"/>
      <c r="C164"/>
      <c r="D164"/>
      <c r="E164"/>
      <c r="F164"/>
      <c r="G164"/>
      <c r="H164"/>
      <c r="I164"/>
      <c r="J164"/>
      <c r="K164"/>
      <c r="L164"/>
      <c r="M164"/>
      <c r="N164"/>
      <c r="O164"/>
      <c r="P164"/>
      <c r="Q164"/>
      <c r="R164"/>
      <c r="S164"/>
      <c r="T164"/>
      <c r="U164"/>
      <c r="V164"/>
    </row>
    <row r="165" spans="1:22" ht="19.899999999999999" customHeight="1">
      <c r="A165"/>
      <c r="B165"/>
      <c r="C165"/>
      <c r="D165"/>
      <c r="E165"/>
      <c r="F165"/>
      <c r="G165"/>
      <c r="H165"/>
      <c r="I165"/>
      <c r="J165"/>
      <c r="K165"/>
      <c r="L165"/>
      <c r="M165"/>
      <c r="N165"/>
      <c r="O165"/>
      <c r="P165"/>
      <c r="Q165"/>
      <c r="R165"/>
      <c r="S165"/>
      <c r="T165"/>
      <c r="U165"/>
      <c r="V165"/>
    </row>
    <row r="166" spans="1:22" ht="19.899999999999999" customHeight="1">
      <c r="A166"/>
      <c r="B166"/>
      <c r="C166"/>
      <c r="D166"/>
      <c r="E166"/>
      <c r="F166"/>
      <c r="G166"/>
      <c r="H166"/>
      <c r="I166"/>
      <c r="J166"/>
      <c r="K166"/>
      <c r="L166"/>
      <c r="M166"/>
      <c r="N166"/>
      <c r="O166"/>
      <c r="P166"/>
      <c r="Q166"/>
      <c r="R166"/>
      <c r="S166"/>
      <c r="T166"/>
      <c r="U166"/>
      <c r="V166"/>
    </row>
    <row r="167" spans="1:22" ht="19.899999999999999" customHeight="1">
      <c r="A167"/>
      <c r="B167"/>
      <c r="C167"/>
      <c r="D167"/>
      <c r="E167"/>
      <c r="F167"/>
      <c r="G167"/>
      <c r="H167"/>
      <c r="I167"/>
      <c r="J167"/>
      <c r="K167"/>
      <c r="L167"/>
      <c r="M167"/>
      <c r="N167"/>
      <c r="O167"/>
      <c r="P167"/>
      <c r="Q167"/>
      <c r="R167"/>
      <c r="S167"/>
      <c r="T167"/>
      <c r="U167"/>
      <c r="V167"/>
    </row>
    <row r="168" spans="1:22" ht="19.899999999999999" customHeight="1">
      <c r="A168"/>
      <c r="B168"/>
      <c r="C168"/>
      <c r="D168"/>
      <c r="E168"/>
      <c r="F168"/>
      <c r="G168"/>
      <c r="H168"/>
      <c r="I168"/>
      <c r="J168"/>
      <c r="K168"/>
      <c r="L168"/>
      <c r="M168"/>
      <c r="N168"/>
      <c r="O168"/>
      <c r="P168"/>
      <c r="Q168"/>
      <c r="R168"/>
      <c r="S168"/>
      <c r="T168"/>
      <c r="U168"/>
      <c r="V168"/>
    </row>
    <row r="169" spans="1:22" ht="19.899999999999999" customHeight="1">
      <c r="A169"/>
      <c r="B169"/>
      <c r="C169"/>
      <c r="D169"/>
      <c r="E169"/>
      <c r="F169"/>
      <c r="G169"/>
      <c r="H169"/>
      <c r="I169"/>
      <c r="J169"/>
      <c r="K169"/>
      <c r="L169"/>
      <c r="M169"/>
      <c r="N169"/>
      <c r="O169"/>
      <c r="P169"/>
      <c r="Q169"/>
      <c r="R169"/>
      <c r="S169"/>
      <c r="T169"/>
      <c r="U169"/>
      <c r="V169"/>
    </row>
  </sheetData>
  <pageMargins left="0.7" right="0.7" top="0.75" bottom="0.75" header="0.3" footer="0.3"/>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Data</vt:lpstr>
      <vt:lpstr>Data Description</vt:lpstr>
      <vt:lpstr>1</vt:lpstr>
      <vt:lpstr>2</vt:lpstr>
      <vt:lpstr>3</vt:lpstr>
      <vt:lpstr>4</vt:lpstr>
      <vt:lpstr>Pivot</vt:lpstr>
      <vt:lpstr>Dashboard</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Williams</dc:creator>
  <cp:lastModifiedBy>admin</cp:lastModifiedBy>
  <dcterms:created xsi:type="dcterms:W3CDTF">2020-08-15T21:41:00Z</dcterms:created>
  <dcterms:modified xsi:type="dcterms:W3CDTF">2022-03-06T08:15:36Z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2052-11.1.0.9912</vt:lpwstr>
  </property>
</Properties>
</file>