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ill\Desktop\FRC\FRC Sheets\"/>
    </mc:Choice>
  </mc:AlternateContent>
  <xr:revisionPtr revIDLastSave="0" documentId="13_ncr:1_{94EF324D-705F-48A5-A5D5-7317E3F3EEC0}" xr6:coauthVersionLast="45" xr6:coauthVersionMax="45" xr10:uidLastSave="{00000000-0000-0000-0000-000000000000}"/>
  <bookViews>
    <workbookView xWindow="384" yWindow="384" windowWidth="17280" windowHeight="8964" tabRatio="874" firstSheet="2" activeTab="4" xr2:uid="{00000000-000D-0000-FFFF-FFFF00000000}"/>
  </bookViews>
  <sheets>
    <sheet name="READ-ME" sheetId="13" r:id="rId1"/>
    <sheet name="Custom 1-Speed Drive" sheetId="6" r:id="rId2"/>
    <sheet name="Rotary Mechanism" sheetId="8" r:id="rId3"/>
    <sheet name="Linear Mechanism" sheetId="9" r:id="rId4"/>
    <sheet name="Intake Mechanism" sheetId="10" r:id="rId5"/>
    <sheet name="DATA" sheetId="4" r:id="rId6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9" l="1"/>
  <c r="F17" i="10"/>
  <c r="D5" i="10"/>
  <c r="E5" i="10"/>
  <c r="G17" i="10"/>
  <c r="F13" i="10"/>
  <c r="F12" i="10"/>
  <c r="G17" i="9"/>
  <c r="F13" i="9"/>
  <c r="F17" i="8"/>
  <c r="F5" i="9"/>
  <c r="G5" i="9"/>
  <c r="E5" i="9"/>
  <c r="F5" i="10"/>
  <c r="G5" i="10"/>
  <c r="O18" i="4"/>
  <c r="O17" i="4"/>
  <c r="O9" i="4"/>
  <c r="O7" i="4"/>
  <c r="O6" i="4"/>
  <c r="D5" i="9"/>
  <c r="G5" i="8"/>
  <c r="F5" i="8"/>
  <c r="E5" i="8"/>
  <c r="D5" i="8"/>
  <c r="G5" i="6"/>
  <c r="F5" i="6"/>
  <c r="E5" i="6"/>
  <c r="D5" i="6"/>
  <c r="G14" i="4"/>
  <c r="G15" i="4"/>
  <c r="G16" i="4"/>
  <c r="G17" i="4"/>
  <c r="G18" i="4"/>
  <c r="G19" i="4"/>
  <c r="G20" i="4"/>
  <c r="G13" i="4"/>
  <c r="G12" i="4"/>
  <c r="G11" i="4"/>
  <c r="O5" i="4"/>
  <c r="O8" i="4"/>
  <c r="O10" i="4"/>
  <c r="O11" i="4"/>
  <c r="O12" i="4"/>
  <c r="O13" i="4"/>
  <c r="O16" i="4"/>
  <c r="O19" i="4"/>
  <c r="O20" i="4"/>
  <c r="G10" i="4"/>
  <c r="G12" i="10"/>
  <c r="F12" i="9"/>
  <c r="G12" i="9"/>
  <c r="G17" i="8"/>
  <c r="F12" i="8"/>
  <c r="G12" i="6"/>
  <c r="F12" i="6"/>
  <c r="G6" i="4"/>
  <c r="G7" i="4"/>
  <c r="C16" i="10"/>
  <c r="C16" i="9"/>
  <c r="C16" i="8"/>
  <c r="F13" i="6"/>
  <c r="G5" i="4"/>
  <c r="G9" i="4"/>
  <c r="G8" i="4"/>
  <c r="G13" i="10"/>
  <c r="G13" i="9"/>
  <c r="I12" i="6"/>
  <c r="F13" i="8"/>
  <c r="G13" i="8"/>
  <c r="G12" i="8"/>
</calcChain>
</file>

<file path=xl/sharedStrings.xml><?xml version="1.0" encoding="utf-8"?>
<sst xmlns="http://schemas.openxmlformats.org/spreadsheetml/2006/main" count="196" uniqueCount="140">
  <si>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</si>
  <si>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</si>
  <si>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</si>
  <si>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</si>
  <si>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</si>
  <si>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</si>
  <si>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</si>
  <si>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</si>
  <si>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</si>
  <si>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</si>
  <si>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</si>
  <si>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</si>
  <si>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</si>
  <si>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Power (W)</t>
  </si>
  <si>
    <t># Gearboxes in Drivetrain</t>
  </si>
  <si>
    <t># Motors per Gearbox</t>
  </si>
  <si>
    <t>&lt;-- Overall Gear Ratio</t>
  </si>
  <si>
    <t>Drivetrain Free-Speed</t>
  </si>
  <si>
    <t>Drivetrain Adjusted 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</si>
  <si>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</si>
  <si>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</si>
  <si>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</si>
  <si>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</si>
  <si>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</si>
  <si>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</si>
  <si>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</si>
  <si>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</si>
  <si>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</si>
  <si>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</si>
  <si>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</si>
  <si>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</si>
  <si>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</si>
  <si>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</si>
  <si>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</si>
  <si>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</si>
  <si>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</si>
  <si>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</si>
  <si>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</si>
  <si>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</si>
  <si>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</si>
  <si>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</si>
  <si>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</si>
  <si>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</si>
  <si>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</si>
  <si>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</si>
  <si>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</si>
  <si>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Stall Torque (N-m)</t>
  </si>
  <si>
    <t>Motor Specifications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</si>
  <si>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</si>
  <si>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</si>
  <si>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</si>
  <si>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</si>
  <si>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</si>
  <si>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</si>
  <si>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2 CIM</t>
  </si>
  <si>
    <t>Standard 12-tooth Pinion [50:12]</t>
  </si>
  <si>
    <t>Low Gear Option 1 (2.16x Shifter Spread) [50:34]</t>
  </si>
  <si>
    <t>3rd Stage Option 1 [64:20]</t>
  </si>
  <si>
    <t>Standard 12-tooth Pinion [40:12]</t>
  </si>
  <si>
    <t>Standard 2nd Stage [40:14]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</si>
  <si>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</si>
  <si>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</si>
  <si>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</si>
  <si>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</si>
  <si>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</si>
  <si>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</si>
  <si>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</si>
  <si>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</si>
  <si>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</si>
  <si>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</si>
  <si>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</si>
  <si>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</si>
  <si>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</si>
  <si>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</si>
  <si>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</si>
  <si>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</si>
  <si>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</si>
  <si>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</si>
  <si>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</si>
  <si>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</si>
  <si>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</si>
  <si>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</si>
  <si>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</si>
  <si>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</si>
  <si>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</si>
  <si>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</si>
  <si>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</si>
  <si>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</si>
  <si>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JVN DesignCalc - Gearing &amp; Motor Calculator</t>
  </si>
  <si>
    <t>Specs used for VEXpro &amp; WCP Gearbox Calculators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</si>
  <si>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</si>
  <si>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</si>
  <si>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</si>
  <si>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</si>
  <si>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</si>
  <si>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</si>
  <si>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</si>
  <si>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</si>
  <si>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</si>
  <si>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</si>
  <si>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</si>
  <si>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</si>
  <si>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</si>
  <si>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</si>
  <si>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</si>
  <si>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</si>
  <si>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</si>
  <si>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</si>
  <si>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</si>
  <si>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</si>
  <si>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</si>
  <si>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I can NOT guarantee the performance of every specific configuration designed by a team.</t>
  </si>
  <si>
    <t>"Pushing" Current Draw per Motor</t>
  </si>
  <si>
    <t>Mini CIM</t>
  </si>
  <si>
    <t>1 CIM + 1 Mini CIM (Copioli)</t>
  </si>
  <si>
    <t>1 CIM + 2 Mini CIM (Copioli)</t>
  </si>
  <si>
    <t>2 CIM + 1 Mini CIM (Copioli)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</si>
  <si>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</si>
  <si>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</si>
  <si>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</si>
  <si>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</si>
  <si>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</si>
  <si>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</si>
  <si>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</si>
  <si>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</si>
  <si>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</si>
  <si>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</si>
  <si>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</si>
  <si>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</si>
  <si>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</si>
  <si>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</si>
  <si>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</si>
  <si>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</si>
  <si>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</si>
  <si>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</si>
  <si>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Fixed an error in the Intake mechanism sheet which applied the load based on the pulley diameter instead of radius</t>
  </si>
  <si>
    <t>(Yes, that means I forgot to divide by 2 at some point)</t>
  </si>
  <si>
    <t>Release 2/14/2016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</si>
  <si>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john.vneun@gmail.com</t>
    </r>
    <r>
      <rPr>
        <sz val="12"/>
        <color theme="1"/>
        <rFont val="Calibri"/>
        <family val="2"/>
        <scheme val="minor"/>
      </rPr>
      <t xml:space="preserve"> for assistance.</t>
    </r>
  </si>
  <si>
    <t>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</si>
</sst>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 &quot;: 1&quot;"/>
    <numFmt numFmtId="165" formatCode="0.00\ &quot;ft/s&quot;"/>
    <numFmt numFmtId="166" formatCode="0.00\ &quot;Amps&quot;"/>
    <numFmt numFmtId="167" formatCode="0.00\ &quot;amps&quot;"/>
    <numFmt numFmtId="168" formatCode="0.0\ &quot;deg/s&quot;"/>
    <numFmt numFmtId="169" formatCode="0.00\ &quot;sec&quot;"/>
    <numFmt numFmtId="170" formatCode="0.00\ &quot;lbs&quot;"/>
    <numFmt numFmtId="171" formatCode="0.0\ &quot;in/s&quot;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7" fontId="6" fillId="0" borderId="5" xfId="0" applyNumberFormat="1" applyFont="1" applyBorder="1" applyAlignment="1">
      <alignment horizontal="center" vertical="center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0" fillId="0" borderId="5" xfId="0" applyNumberFormat="1" applyFont="1" applyBorder="1" applyAlignment="1">
      <alignment horizontal="center" vertical="center"/>
    </xf>
    <xf numFmtId="171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69" fontId="6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3" fillId="0" borderId="0" xfId="0" applyFont="1"/>
    <xf numFmtId="2" fontId="13" fillId="0" borderId="5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20" fontId="13" fillId="0" borderId="0" xfId="0" quotePrefix="1" applyNumberFormat="1" applyFont="1" applyAlignment="1">
      <alignment horizontal="right"/>
    </xf>
    <xf numFmtId="0" fontId="13" fillId="0" borderId="0" xfId="0" quotePrefix="1" applyFont="1" applyAlignment="1">
      <alignment horizontal="right"/>
    </xf>
    <xf numFmtId="0" fontId="14" fillId="0" borderId="0" xfId="0" applyFont="1" applyBorder="1" applyAlignment="1">
      <alignment vertical="center"/>
    </xf>
    <xf numFmtId="0" fontId="0" fillId="0" borderId="0" xfId="0" applyFont="1" applyBorder="1"/>
    <xf numFmtId="0" fontId="0" fillId="3" borderId="10" xfId="0" applyFont="1" applyFill="1" applyBorder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15" fillId="0" borderId="0" xfId="0" applyFont="1"/>
    <xf numFmtId="0" fontId="8" fillId="0" borderId="0" xfId="0" quotePrefix="1" applyFont="1" applyAlignment="1">
      <alignment horizontal="right"/>
    </xf>
    <xf numFmtId="0" fontId="13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4" fillId="0" borderId="0" xfId="251"/>
    <xf numFmtId="14" fontId="0" fillId="0" borderId="0" xfId="0" applyNumberFormat="1" applyFont="1"/>
    <xf numFmtId="0" fontId="0" fillId="0" borderId="0" xfId="0" applyFont="1" applyAlignme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hiefdelphi.com/media/papers/3188?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6"/>
  <sheetViews>
    <sheetView workbookViewId="0"/>
  </sheetViews>
  <sheetFormatPr defaultColWidth="9" defaultRowHeight="15.6" x14ac:dyDescent="0.3"/>
  <cols>
    <col min="1" max="1" width="5.19921875" style="33" customWidth="1"/>
    <col min="2" max="2" width="10.296875" style="33" bestFit="1" customWidth="1"/>
    <col min="3" max="16384" width="9" style="33"/>
  </cols>
  <sheetData>
    <row r="1" spans="2:5" x14ac:dyDescent="0.3">
      <c r="E1" s="77"/>
    </row>
    <row r="2" spans="2:5" ht="21" x14ac:dyDescent="0.4">
      <c r="B2" s="79" t="s">
        <v>88</v>
      </c>
    </row>
    <row r="3" spans="2:5" x14ac:dyDescent="0.3">
      <c r="B3" s="33" t="s">
        <v>137</v>
      </c>
    </row>
    <row r="5" spans="2:5" x14ac:dyDescent="0.3">
      <c r="B5" s="80" t="s">
        <v>50</v>
      </c>
    </row>
    <row r="6" spans="2:5" x14ac:dyDescent="0.3">
      <c r="B6" s="33" t="s">
        <v>111</v>
      </c>
    </row>
    <row r="7" spans="2:5" x14ac:dyDescent="0.3">
      <c r="B7" s="33" t="s">
        <v>138</v>
      </c>
    </row>
    <row r="9" spans="2:5" ht="16.2" thickBot="1" x14ac:dyDescent="0.35">
      <c r="B9" s="81" t="s">
        <v>51</v>
      </c>
    </row>
    <row r="10" spans="2:5" ht="16.2" thickBot="1" x14ac:dyDescent="0.35">
      <c r="B10" s="78"/>
      <c r="C10" s="33" t="s">
        <v>52</v>
      </c>
    </row>
    <row r="11" spans="2:5" ht="16.2" thickBot="1" x14ac:dyDescent="0.35">
      <c r="B11" s="84"/>
      <c r="C11" s="33" t="s">
        <v>53</v>
      </c>
    </row>
    <row r="39" spans="2:4" x14ac:dyDescent="0.3">
      <c r="B39" s="81" t="s">
        <v>121</v>
      </c>
      <c r="D39" s="87" t="s">
        <v>129</v>
      </c>
    </row>
    <row r="40" spans="2:4" x14ac:dyDescent="0.3">
      <c r="B40" s="88">
        <v>42365</v>
      </c>
      <c r="C40" s="33" t="s">
        <v>122</v>
      </c>
    </row>
    <row r="41" spans="2:4" x14ac:dyDescent="0.3">
      <c r="C41" s="89" t="s">
        <v>123</v>
      </c>
    </row>
    <row r="42" spans="2:4" x14ac:dyDescent="0.3">
      <c r="C42" s="89" t="s">
        <v>124</v>
      </c>
    </row>
    <row r="43" spans="2:4" x14ac:dyDescent="0.3">
      <c r="C43" s="89" t="s">
        <v>125</v>
      </c>
    </row>
    <row r="44" spans="2:4" x14ac:dyDescent="0.3">
      <c r="C44" s="89" t="s">
        <v>126</v>
      </c>
    </row>
    <row r="45" spans="2:4" x14ac:dyDescent="0.3">
      <c r="C45" s="89" t="s">
        <v>127</v>
      </c>
    </row>
    <row r="46" spans="2:4" x14ac:dyDescent="0.3">
      <c r="C46" s="89" t="s">
        <v>128</v>
      </c>
    </row>
    <row r="47" spans="2:4" x14ac:dyDescent="0.3">
      <c r="C47" s="89"/>
    </row>
    <row r="48" spans="2:4" x14ac:dyDescent="0.3">
      <c r="B48" s="88">
        <v>42395</v>
      </c>
      <c r="C48" s="89" t="s">
        <v>130</v>
      </c>
    </row>
    <row r="49" spans="2:3" x14ac:dyDescent="0.3">
      <c r="C49" s="89" t="s">
        <v>131</v>
      </c>
    </row>
    <row r="50" spans="2:3" x14ac:dyDescent="0.3">
      <c r="C50" s="89" t="s">
        <v>132</v>
      </c>
    </row>
    <row r="51" spans="2:3" x14ac:dyDescent="0.3">
      <c r="C51" s="89" t="s">
        <v>133</v>
      </c>
    </row>
    <row r="52" spans="2:3" x14ac:dyDescent="0.3">
      <c r="C52" s="89" t="s">
        <v>134</v>
      </c>
    </row>
    <row r="53" spans="2:3" x14ac:dyDescent="0.3">
      <c r="C53" s="89"/>
    </row>
    <row r="54" spans="2:3" x14ac:dyDescent="0.3">
      <c r="B54" s="88">
        <v>42780</v>
      </c>
      <c r="C54" s="89" t="s">
        <v>135</v>
      </c>
    </row>
    <row r="55" spans="2:3" x14ac:dyDescent="0.3">
      <c r="C55" s="89" t="s">
        <v>136</v>
      </c>
    </row>
    <row r="56" spans="2:3" x14ac:dyDescent="0.3">
      <c r="C56" s="89"/>
    </row>
  </sheetData>
  <hyperlinks>
    <hyperlink ref="D39" r:id="rId1" xr:uid="{00000000-0004-0000-0000-000000000000}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L17"/>
  <sheetViews>
    <sheetView workbookViewId="0">
      <selection activeCell="E13" sqref="E13"/>
    </sheetView>
  </sheetViews>
  <sheetFormatPr defaultColWidth="10.796875" defaultRowHeight="15.6" x14ac:dyDescent="0.3"/>
  <cols>
    <col min="1" max="1" width="5.796875" style="33" customWidth="1"/>
    <col min="2" max="2" width="3.5" style="33" customWidth="1"/>
    <col min="3" max="3" width="11.69921875" style="33" customWidth="1"/>
    <col min="4" max="4" width="11.19921875" style="33" customWidth="1"/>
    <col min="5" max="5" width="10.796875" style="33"/>
    <col min="6" max="6" width="10.19921875" style="33" customWidth="1"/>
    <col min="7" max="7" width="10.796875" style="33"/>
    <col min="8" max="8" width="4.19921875" style="33" customWidth="1"/>
    <col min="9" max="9" width="12.69921875" style="33" customWidth="1"/>
    <col min="10" max="10" width="10.796875" style="33"/>
    <col min="11" max="11" width="2.796875" style="33" customWidth="1"/>
    <col min="12" max="16384" width="10.796875" style="33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2" thickBot="1" x14ac:dyDescent="0.35">
      <c r="A2" s="1"/>
      <c r="B2" s="76" t="s">
        <v>45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6.8" x14ac:dyDescent="0.3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3">
      <c r="A5" s="9"/>
      <c r="B5" s="10"/>
      <c r="C5" s="66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 x14ac:dyDescent="0.3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6.8" x14ac:dyDescent="0.3">
      <c r="A7" s="1"/>
      <c r="B7" s="15"/>
      <c r="C7" s="7" t="s">
        <v>14</v>
      </c>
      <c r="D7" s="7" t="s">
        <v>15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 x14ac:dyDescent="0.3">
      <c r="A8" s="1"/>
      <c r="B8" s="15"/>
      <c r="C8" s="19">
        <v>2</v>
      </c>
      <c r="D8" s="19">
        <v>2</v>
      </c>
      <c r="E8" s="1"/>
      <c r="F8" s="19">
        <v>150</v>
      </c>
      <c r="G8" s="13">
        <v>1</v>
      </c>
      <c r="I8" s="19">
        <v>4</v>
      </c>
      <c r="J8" s="19">
        <v>1</v>
      </c>
      <c r="K8" s="18"/>
      <c r="L8" s="1"/>
    </row>
    <row r="9" spans="1:12" ht="16.2" thickBot="1" x14ac:dyDescent="0.35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 x14ac:dyDescent="0.3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6.8" x14ac:dyDescent="0.3">
      <c r="A11" s="5"/>
      <c r="B11" s="6"/>
      <c r="C11" s="36" t="s">
        <v>11</v>
      </c>
      <c r="D11" s="36" t="s">
        <v>12</v>
      </c>
      <c r="E11" s="5"/>
      <c r="F11" s="85" t="s">
        <v>17</v>
      </c>
      <c r="G11" s="85" t="s">
        <v>18</v>
      </c>
      <c r="I11" s="86" t="s">
        <v>112</v>
      </c>
      <c r="K11" s="8"/>
      <c r="L11" s="5"/>
    </row>
    <row r="12" spans="1:12" x14ac:dyDescent="0.3">
      <c r="A12" s="9"/>
      <c r="B12" s="10"/>
      <c r="C12" s="19">
        <v>24</v>
      </c>
      <c r="D12" s="19">
        <v>40</v>
      </c>
      <c r="E12" s="9"/>
      <c r="F12" s="38">
        <f>G12/I$5</f>
        <v>20.930861054541992</v>
      </c>
      <c r="G12" s="38">
        <f>D$5*I$5*((I$8*0.0254/2)*2*PI())/(0.3048*60)*C12/D12*C13/D13*C14/D14*C15/D15</f>
        <v>16.953997454179014</v>
      </c>
      <c r="I12" s="39">
        <f>((F$5-G$5)/E$5*(F$8*G$8*J$8/C$8*4.44822161526*I$8*0.0254/2/J$5/D$8*C12/D12*C13/D13*C14/D14*C15/D15))+G$5</f>
        <v>115.47972171349787</v>
      </c>
      <c r="K12" s="14"/>
      <c r="L12" s="9"/>
    </row>
    <row r="13" spans="1:12" x14ac:dyDescent="0.3">
      <c r="A13" s="1"/>
      <c r="B13" s="15"/>
      <c r="C13" s="19">
        <v>30</v>
      </c>
      <c r="D13" s="19">
        <v>60</v>
      </c>
      <c r="E13" s="1"/>
      <c r="F13" s="37">
        <f>D12*D13*D14*D15/C12/C13/C14/C15</f>
        <v>4.4444444444444446</v>
      </c>
      <c r="G13" s="1" t="s">
        <v>16</v>
      </c>
      <c r="H13" s="1"/>
      <c r="I13" s="1"/>
      <c r="K13" s="18"/>
      <c r="L13" s="1"/>
    </row>
    <row r="14" spans="1:12" x14ac:dyDescent="0.3">
      <c r="A14" s="1"/>
      <c r="B14" s="15"/>
      <c r="C14" s="19">
        <v>30</v>
      </c>
      <c r="D14" s="19">
        <v>40</v>
      </c>
      <c r="E14" s="1"/>
      <c r="F14" s="1"/>
      <c r="G14" s="1"/>
      <c r="H14" s="1"/>
      <c r="I14" s="29"/>
      <c r="J14" s="1"/>
      <c r="K14" s="18"/>
      <c r="L14" s="1"/>
    </row>
    <row r="15" spans="1:12" x14ac:dyDescent="0.3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2" thickBot="1" x14ac:dyDescent="0.35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 xr:uid="{00000000-0002-0000-05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I19"/>
  <sheetViews>
    <sheetView workbookViewId="0">
      <selection activeCell="C9" sqref="C9"/>
    </sheetView>
  </sheetViews>
  <sheetFormatPr defaultColWidth="10.796875" defaultRowHeight="15.6" x14ac:dyDescent="0.3"/>
  <cols>
    <col min="1" max="1" width="5.796875" style="33" customWidth="1"/>
    <col min="2" max="2" width="2.296875" style="33" customWidth="1"/>
    <col min="3" max="3" width="11.69921875" style="33" customWidth="1"/>
    <col min="4" max="4" width="11.19921875" style="33" customWidth="1"/>
    <col min="5" max="5" width="10.796875" style="33"/>
    <col min="6" max="6" width="14.19921875" style="33" customWidth="1"/>
    <col min="7" max="7" width="11.5" style="33" customWidth="1"/>
    <col min="8" max="8" width="2.796875" style="33" customWidth="1"/>
    <col min="9" max="16384" width="10.796875" style="33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6.2" thickBot="1" x14ac:dyDescent="0.35">
      <c r="A2" s="1"/>
      <c r="B2" s="76" t="s">
        <v>19</v>
      </c>
      <c r="C2" s="1"/>
      <c r="D2" s="1"/>
      <c r="E2" s="1"/>
      <c r="F2" s="1"/>
      <c r="G2" s="1"/>
      <c r="H2" s="1"/>
      <c r="I2" s="1"/>
    </row>
    <row r="3" spans="1:9" x14ac:dyDescent="0.3">
      <c r="A3" s="1"/>
      <c r="B3" s="2"/>
      <c r="C3" s="34"/>
      <c r="D3" s="3"/>
      <c r="E3" s="3"/>
      <c r="F3" s="3"/>
      <c r="G3" s="3"/>
      <c r="H3" s="4"/>
      <c r="I3" s="1"/>
    </row>
    <row r="4" spans="1:9" ht="34.950000000000003" customHeight="1" x14ac:dyDescent="0.3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3">
      <c r="A5" s="9"/>
      <c r="B5" s="10"/>
      <c r="C5" s="66" t="s">
        <v>95</v>
      </c>
      <c r="D5" s="12">
        <f>VLOOKUP(C5,Specs,2,FALSE)</f>
        <v>18730</v>
      </c>
      <c r="E5" s="12">
        <f>VLOOKUP(C5,Specs,3,FALSE)</f>
        <v>0.71</v>
      </c>
      <c r="F5" s="12">
        <f>VLOOKUP(C5,Specs,4,FALSE)</f>
        <v>134</v>
      </c>
      <c r="G5" s="12">
        <f>VLOOKUP(C5,Specs,5,FALSE)</f>
        <v>0.7</v>
      </c>
      <c r="H5" s="14"/>
      <c r="I5" s="9"/>
    </row>
    <row r="6" spans="1:9" x14ac:dyDescent="0.3">
      <c r="A6" s="1"/>
      <c r="B6" s="15"/>
      <c r="C6" s="16"/>
      <c r="D6" s="16"/>
      <c r="E6" s="17"/>
      <c r="F6" s="17"/>
      <c r="G6" s="1"/>
      <c r="H6" s="18"/>
      <c r="I6" s="1"/>
    </row>
    <row r="7" spans="1:9" ht="31.2" x14ac:dyDescent="0.3">
      <c r="A7" s="1"/>
      <c r="B7" s="15"/>
      <c r="C7" s="7" t="s">
        <v>15</v>
      </c>
      <c r="D7" s="7" t="s">
        <v>20</v>
      </c>
      <c r="F7" s="7" t="s">
        <v>21</v>
      </c>
      <c r="G7" s="7" t="s">
        <v>22</v>
      </c>
      <c r="H7" s="18"/>
      <c r="I7" s="1"/>
    </row>
    <row r="8" spans="1:9" x14ac:dyDescent="0.3">
      <c r="A8" s="1"/>
      <c r="B8" s="15"/>
      <c r="C8" s="19">
        <v>2</v>
      </c>
      <c r="D8" s="13">
        <v>0.8</v>
      </c>
      <c r="F8" s="19">
        <v>10</v>
      </c>
      <c r="G8" s="19">
        <v>40</v>
      </c>
      <c r="H8" s="18"/>
      <c r="I8" s="1"/>
    </row>
    <row r="9" spans="1:9" ht="16.2" thickBot="1" x14ac:dyDescent="0.35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3">
      <c r="A10" s="1"/>
      <c r="B10" s="2"/>
      <c r="C10" s="34"/>
      <c r="D10" s="26"/>
      <c r="E10" s="3"/>
      <c r="F10" s="3"/>
      <c r="G10" s="3"/>
      <c r="H10" s="4"/>
      <c r="I10" s="1"/>
    </row>
    <row r="11" spans="1:9" ht="46.8" x14ac:dyDescent="0.3">
      <c r="A11" s="5"/>
      <c r="B11" s="6"/>
      <c r="C11" s="36" t="s">
        <v>11</v>
      </c>
      <c r="D11" s="36" t="s">
        <v>12</v>
      </c>
      <c r="E11" s="5"/>
      <c r="F11" s="85" t="s">
        <v>25</v>
      </c>
      <c r="G11" s="85" t="s">
        <v>26</v>
      </c>
      <c r="H11" s="8"/>
      <c r="I11" s="5"/>
    </row>
    <row r="12" spans="1:9" x14ac:dyDescent="0.3">
      <c r="A12" s="9"/>
      <c r="B12" s="10"/>
      <c r="C12" s="19">
        <v>1</v>
      </c>
      <c r="D12" s="19">
        <v>200</v>
      </c>
      <c r="E12" s="11" t="s">
        <v>23</v>
      </c>
      <c r="F12" s="43">
        <f>D$5*(C12*C13*C14*C15/D12/D13/D14/D15)*(360/60)</f>
        <v>561.90000000000009</v>
      </c>
      <c r="G12" s="44">
        <f>90/F12</f>
        <v>0.16017084890549918</v>
      </c>
      <c r="H12" s="14"/>
      <c r="I12" s="9"/>
    </row>
    <row r="13" spans="1:9" x14ac:dyDescent="0.3">
      <c r="A13" s="1"/>
      <c r="B13" s="15"/>
      <c r="C13" s="19">
        <v>1</v>
      </c>
      <c r="D13" s="19">
        <v>1</v>
      </c>
      <c r="E13" s="11" t="s">
        <v>24</v>
      </c>
      <c r="F13" s="43">
        <f>((-1)*(F12/(G17))*(F$8))+(F12)</f>
        <v>450.12389428649351</v>
      </c>
      <c r="G13" s="44">
        <f>90/F13</f>
        <v>0.19994495102878734</v>
      </c>
      <c r="H13" s="18"/>
      <c r="I13" s="1"/>
    </row>
    <row r="14" spans="1:9" x14ac:dyDescent="0.3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 x14ac:dyDescent="0.3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 x14ac:dyDescent="0.3">
      <c r="A16" s="1"/>
      <c r="B16" s="15"/>
      <c r="C16" s="40">
        <f>D12*D13*D14*D15/C12/C13/C14/C15</f>
        <v>200</v>
      </c>
      <c r="D16" s="41" t="s">
        <v>28</v>
      </c>
      <c r="E16" s="1"/>
      <c r="F16" s="85" t="s">
        <v>29</v>
      </c>
      <c r="G16" s="85" t="s">
        <v>27</v>
      </c>
      <c r="H16" s="18"/>
      <c r="I16" s="1"/>
    </row>
    <row r="17" spans="1:9" x14ac:dyDescent="0.3">
      <c r="A17" s="1"/>
      <c r="B17" s="15"/>
      <c r="C17" s="37"/>
      <c r="D17" s="1"/>
      <c r="E17" s="1"/>
      <c r="F17" s="42">
        <f>((((F$5*C$8)-(G$5*C$8))/(E$5*C$8))*(F$8*G$8*(C12*C13*C14*C15/D12/D13/D14/D15)/(0.2248*39.37))+(G$5*C$8))/C$8</f>
        <v>21.913390128649841</v>
      </c>
      <c r="G17" s="45">
        <f>E5*C8*(1/(C12*C13*C14*C15/D12/D13/D14/D15))*39.37*0.2248*D8/G8</f>
        <v>50.270135680000003</v>
      </c>
      <c r="H17" s="18"/>
      <c r="I17" s="1"/>
    </row>
    <row r="18" spans="1:9" ht="16.2" thickBot="1" x14ac:dyDescent="0.35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00000000-0002-0000-09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I19"/>
  <sheetViews>
    <sheetView topLeftCell="A4" workbookViewId="0">
      <selection activeCell="G12" sqref="G12"/>
    </sheetView>
  </sheetViews>
  <sheetFormatPr defaultColWidth="10.796875" defaultRowHeight="15.6" x14ac:dyDescent="0.3"/>
  <cols>
    <col min="1" max="1" width="5.796875" style="33" customWidth="1"/>
    <col min="2" max="2" width="2.296875" style="33" customWidth="1"/>
    <col min="3" max="3" width="11.69921875" style="33" customWidth="1"/>
    <col min="4" max="4" width="11.19921875" style="33" customWidth="1"/>
    <col min="5" max="5" width="11.5" style="33" customWidth="1"/>
    <col min="6" max="6" width="15.19921875" style="33" customWidth="1"/>
    <col min="7" max="7" width="11.796875" style="33" customWidth="1"/>
    <col min="8" max="8" width="2.796875" style="33" customWidth="1"/>
    <col min="9" max="16384" width="10.796875" style="33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6.2" thickBot="1" x14ac:dyDescent="0.35">
      <c r="A2" s="1"/>
      <c r="B2" s="76" t="s">
        <v>35</v>
      </c>
      <c r="C2" s="1"/>
      <c r="D2" s="1"/>
      <c r="E2" s="1"/>
      <c r="F2" s="1"/>
      <c r="G2" s="1"/>
      <c r="H2" s="1"/>
      <c r="I2" s="1"/>
    </row>
    <row r="3" spans="1:9" x14ac:dyDescent="0.3">
      <c r="A3" s="1"/>
      <c r="B3" s="2"/>
      <c r="C3" s="34"/>
      <c r="D3" s="3"/>
      <c r="E3" s="3"/>
      <c r="F3" s="3"/>
      <c r="G3" s="3"/>
      <c r="H3" s="4"/>
      <c r="I3" s="1"/>
    </row>
    <row r="4" spans="1:9" ht="31.2" x14ac:dyDescent="0.3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3">
      <c r="A5" s="9"/>
      <c r="B5" s="10"/>
      <c r="C5" s="66" t="s">
        <v>95</v>
      </c>
      <c r="D5" s="12">
        <f>VLOOKUP(C5,Specs,2,FALSE)</f>
        <v>18730</v>
      </c>
      <c r="E5" s="12">
        <f>VLOOKUP(C5,Specs,3,FALSE)</f>
        <v>0.71</v>
      </c>
      <c r="F5" s="12">
        <f>VLOOKUP(C5,Specs,4,FALSE)</f>
        <v>134</v>
      </c>
      <c r="G5" s="12">
        <f>VLOOKUP(C5,Specs,5,FALSE)</f>
        <v>0.7</v>
      </c>
      <c r="H5" s="14"/>
      <c r="I5" s="9"/>
    </row>
    <row r="6" spans="1:9" x14ac:dyDescent="0.3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3">
      <c r="A7" s="1"/>
      <c r="B7" s="15"/>
      <c r="C7" s="7" t="s">
        <v>15</v>
      </c>
      <c r="D7" s="7" t="s">
        <v>20</v>
      </c>
      <c r="E7" s="7" t="s">
        <v>34</v>
      </c>
      <c r="F7" s="7" t="s">
        <v>30</v>
      </c>
      <c r="G7" s="7" t="s">
        <v>31</v>
      </c>
      <c r="H7" s="18"/>
      <c r="I7" s="1"/>
    </row>
    <row r="8" spans="1:9" x14ac:dyDescent="0.3">
      <c r="A8" s="1"/>
      <c r="B8" s="15"/>
      <c r="C8" s="19">
        <v>3</v>
      </c>
      <c r="D8" s="13">
        <v>0.8</v>
      </c>
      <c r="E8" s="19">
        <v>48</v>
      </c>
      <c r="F8" s="19">
        <v>125</v>
      </c>
      <c r="G8" s="19">
        <v>2</v>
      </c>
      <c r="H8" s="18"/>
      <c r="I8" s="1"/>
    </row>
    <row r="9" spans="1:9" ht="16.2" thickBot="1" x14ac:dyDescent="0.35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3">
      <c r="A10" s="1"/>
      <c r="B10" s="2"/>
      <c r="C10" s="34"/>
      <c r="D10" s="26"/>
      <c r="E10" s="3"/>
      <c r="F10" s="3"/>
      <c r="G10" s="3"/>
      <c r="H10" s="4"/>
      <c r="I10" s="1"/>
    </row>
    <row r="11" spans="1:9" ht="46.8" x14ac:dyDescent="0.3">
      <c r="A11" s="5"/>
      <c r="B11" s="6"/>
      <c r="C11" s="36" t="s">
        <v>11</v>
      </c>
      <c r="D11" s="36" t="s">
        <v>12</v>
      </c>
      <c r="E11" s="5"/>
      <c r="F11" s="85" t="s">
        <v>32</v>
      </c>
      <c r="G11" s="85" t="s">
        <v>33</v>
      </c>
      <c r="H11" s="8"/>
      <c r="I11" s="5"/>
    </row>
    <row r="12" spans="1:9" x14ac:dyDescent="0.3">
      <c r="A12" s="9"/>
      <c r="B12" s="10"/>
      <c r="C12" s="19">
        <v>12</v>
      </c>
      <c r="D12" s="19">
        <v>80</v>
      </c>
      <c r="E12" s="11" t="s">
        <v>23</v>
      </c>
      <c r="F12" s="46">
        <f>(D$5*(C12*C13*C14*C15/D12/D13/D14/D15)*(360/60))*PI()*2*(G$8/2)/360</f>
        <v>40.862521112317239</v>
      </c>
      <c r="G12" s="44">
        <f>1/(F12/E$8)</f>
        <v>1.1746705463440263</v>
      </c>
      <c r="H12" s="14"/>
      <c r="I12" s="9"/>
    </row>
    <row r="13" spans="1:9" x14ac:dyDescent="0.3">
      <c r="A13" s="1"/>
      <c r="B13" s="15"/>
      <c r="C13" s="19">
        <v>20</v>
      </c>
      <c r="D13" s="19">
        <v>48</v>
      </c>
      <c r="E13" s="11" t="s">
        <v>24</v>
      </c>
      <c r="F13" s="46">
        <f>(((-1)*((D5*(C12*C13*C14*C15/D12/D13/D14/D15)*(360/60))/(G17))*(F8))+(D5*(C12*C13*C14*C15/D12/D13/D14/D15)*(360/60)))*(3.14*2*(G8/2)/360)</f>
        <v>33.789316889700466</v>
      </c>
      <c r="G13" s="44">
        <f>1/(F13/E$8)</f>
        <v>1.4205673395732716</v>
      </c>
      <c r="H13" s="18"/>
      <c r="I13" s="1"/>
    </row>
    <row r="14" spans="1:9" x14ac:dyDescent="0.3">
      <c r="A14" s="1"/>
      <c r="B14" s="15"/>
      <c r="C14" s="19">
        <v>20</v>
      </c>
      <c r="D14" s="19">
        <v>60</v>
      </c>
      <c r="E14" s="1"/>
      <c r="G14" s="1"/>
      <c r="H14" s="18"/>
      <c r="I14" s="1"/>
    </row>
    <row r="15" spans="1:9" x14ac:dyDescent="0.3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 x14ac:dyDescent="0.3">
      <c r="A16" s="1"/>
      <c r="B16" s="15"/>
      <c r="C16" s="40">
        <f>D12*D13*D14*D15/C12/C13/C14/C15</f>
        <v>48</v>
      </c>
      <c r="D16" s="41" t="s">
        <v>28</v>
      </c>
      <c r="E16" s="1"/>
      <c r="F16" s="86" t="s">
        <v>44</v>
      </c>
      <c r="G16" s="85" t="s">
        <v>27</v>
      </c>
      <c r="H16" s="18"/>
      <c r="I16" s="1"/>
    </row>
    <row r="17" spans="1:9" x14ac:dyDescent="0.3">
      <c r="A17" s="1"/>
      <c r="B17" s="15"/>
      <c r="C17" s="37"/>
      <c r="D17" s="1"/>
      <c r="E17" s="1"/>
      <c r="F17" s="42">
        <f>((((F$5*C$8)-(G$5*C$8))/(E$5*C$8))*(F$8*G$8/2*(C12*C13*C14*C15/D12/D13/D14/D15)/(0.2248*39.37))+(G$5*C$8))/C$8</f>
        <v>19.114401153341873</v>
      </c>
      <c r="G17" s="45">
        <f>E$5*C$8*(1/(C12*C13*C14*C15/D12/D13/D14/D15))*39.37*0.2248*D$8/(G$8/2)</f>
        <v>723.88995379199991</v>
      </c>
      <c r="H17" s="18"/>
      <c r="I17" s="1"/>
    </row>
    <row r="18" spans="1:9" ht="16.2" thickBot="1" x14ac:dyDescent="0.35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3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00000000-0002-0000-0A00-000000000000}">
      <formula1>Motors</formula1>
    </dataValidation>
  </dataValidations>
  <pageMargins left="0.25" right="0.25" top="0.75" bottom="0.75" header="0.3" footer="0.3"/>
  <pageSetup fitToHeight="0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19"/>
  <sheetViews>
    <sheetView tabSelected="1" topLeftCell="A4" workbookViewId="0">
      <selection activeCell="G12" sqref="G12"/>
    </sheetView>
  </sheetViews>
  <sheetFormatPr defaultColWidth="10.796875" defaultRowHeight="15.6" x14ac:dyDescent="0.3"/>
  <cols>
    <col min="1" max="1" width="5.796875" style="33" customWidth="1"/>
    <col min="2" max="2" width="2.296875" style="33" customWidth="1"/>
    <col min="3" max="3" width="11.69921875" style="33" customWidth="1"/>
    <col min="4" max="4" width="11.19921875" style="33" customWidth="1"/>
    <col min="5" max="5" width="10.796875" style="33"/>
    <col min="6" max="6" width="14.19921875" style="33" customWidth="1"/>
    <col min="7" max="8" width="11.5" style="33" customWidth="1"/>
    <col min="9" max="9" width="2.796875" style="33" customWidth="1"/>
    <col min="10" max="10" width="2.296875" style="33" customWidth="1"/>
    <col min="11" max="16384" width="10.796875" style="33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2" thickBot="1" x14ac:dyDescent="0.35">
      <c r="A2" s="1"/>
      <c r="B2" s="76" t="s">
        <v>36</v>
      </c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4.950000000000003" customHeight="1" x14ac:dyDescent="0.3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3">
      <c r="A5" s="9"/>
      <c r="B5" s="10"/>
      <c r="C5" s="66" t="s">
        <v>95</v>
      </c>
      <c r="D5" s="12">
        <f>VLOOKUP(C5,Specs,2,FALSE)</f>
        <v>18730</v>
      </c>
      <c r="E5" s="12">
        <f>VLOOKUP(C5,Specs,3,FALSE)</f>
        <v>0.71</v>
      </c>
      <c r="F5" s="12">
        <f>VLOOKUP(C5,Specs,4,FALSE)</f>
        <v>134</v>
      </c>
      <c r="G5" s="12">
        <f>VLOOKUP(C5,Specs,5,FALSE)</f>
        <v>0.7</v>
      </c>
      <c r="H5" s="47"/>
      <c r="I5" s="14"/>
      <c r="J5" s="9"/>
    </row>
    <row r="6" spans="1:10" x14ac:dyDescent="0.3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6.8" x14ac:dyDescent="0.3">
      <c r="A7" s="1"/>
      <c r="B7" s="15"/>
      <c r="C7" s="7" t="s">
        <v>15</v>
      </c>
      <c r="D7" s="7" t="s">
        <v>20</v>
      </c>
      <c r="E7" s="7" t="s">
        <v>34</v>
      </c>
      <c r="F7" s="7" t="s">
        <v>38</v>
      </c>
      <c r="G7" s="7" t="s">
        <v>37</v>
      </c>
      <c r="H7" s="7" t="s">
        <v>39</v>
      </c>
      <c r="I7" s="18"/>
      <c r="J7" s="1"/>
    </row>
    <row r="8" spans="1:10" x14ac:dyDescent="0.3">
      <c r="A8" s="1"/>
      <c r="B8" s="15"/>
      <c r="C8" s="19">
        <v>2</v>
      </c>
      <c r="D8" s="13">
        <v>0.8</v>
      </c>
      <c r="E8" s="19">
        <v>5</v>
      </c>
      <c r="F8" s="19">
        <v>2</v>
      </c>
      <c r="G8" s="19">
        <v>2</v>
      </c>
      <c r="H8" s="19">
        <v>5</v>
      </c>
      <c r="I8" s="18"/>
      <c r="J8" s="1"/>
    </row>
    <row r="9" spans="1:10" ht="16.2" thickBot="1" x14ac:dyDescent="0.35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3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2.4" x14ac:dyDescent="0.3">
      <c r="A11" s="5"/>
      <c r="B11" s="6"/>
      <c r="C11" s="36" t="s">
        <v>11</v>
      </c>
      <c r="D11" s="36" t="s">
        <v>12</v>
      </c>
      <c r="E11" s="5"/>
      <c r="F11" s="85" t="s">
        <v>40</v>
      </c>
      <c r="G11" s="85" t="s">
        <v>41</v>
      </c>
      <c r="H11" s="5"/>
      <c r="I11" s="8"/>
      <c r="J11" s="5"/>
    </row>
    <row r="12" spans="1:10" x14ac:dyDescent="0.3">
      <c r="A12" s="9"/>
      <c r="B12" s="10"/>
      <c r="C12" s="19">
        <v>12</v>
      </c>
      <c r="D12" s="19">
        <v>48</v>
      </c>
      <c r="E12" s="11" t="s">
        <v>23</v>
      </c>
      <c r="F12" s="46">
        <f>(D$5*(C12*C13*C14*C15/D12/D13/D14/D15)*(360/60))*PI()*2*(G$8/2)/360*F$8</f>
        <v>245.17512667390343</v>
      </c>
      <c r="G12" s="44">
        <f>1/(F12/E$8)</f>
        <v>2.0393585874028234E-2</v>
      </c>
      <c r="H12" s="48"/>
      <c r="I12" s="14"/>
      <c r="J12" s="9"/>
    </row>
    <row r="13" spans="1:10" x14ac:dyDescent="0.3">
      <c r="A13" s="1"/>
      <c r="B13" s="15"/>
      <c r="C13" s="19">
        <v>12</v>
      </c>
      <c r="D13" s="19">
        <v>48</v>
      </c>
      <c r="E13" s="11" t="s">
        <v>24</v>
      </c>
      <c r="F13" s="46">
        <f>(((-1)*((D$5*(C12*C13*C14*C15/D12/D13/D14/D15)*(360/60))/(G17))*(H$8))+(D$5*(C12*C13*C14*C15/D12/D13/D14/D15)*(360/60)))*(3.14*2*(G$8/2)/360)*F$8</f>
        <v>237.43414557420985</v>
      </c>
      <c r="G13" s="44">
        <f>1/(F13/E$8)</f>
        <v>2.1058470709459327E-2</v>
      </c>
      <c r="H13" s="48"/>
      <c r="I13" s="18"/>
      <c r="J13" s="1"/>
    </row>
    <row r="14" spans="1:10" x14ac:dyDescent="0.3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3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6.8" x14ac:dyDescent="0.3">
      <c r="A16" s="1"/>
      <c r="B16" s="15"/>
      <c r="C16" s="40">
        <f>D12*D13*D14*D15/C12/C13/C14/C15</f>
        <v>16</v>
      </c>
      <c r="D16" s="41" t="s">
        <v>28</v>
      </c>
      <c r="E16" s="1"/>
      <c r="F16" s="85" t="s">
        <v>44</v>
      </c>
      <c r="G16" s="85" t="s">
        <v>43</v>
      </c>
      <c r="H16" s="5"/>
      <c r="I16" s="18"/>
      <c r="J16" s="1"/>
    </row>
    <row r="17" spans="1:10" x14ac:dyDescent="0.3">
      <c r="A17" s="1"/>
      <c r="B17" s="15"/>
      <c r="C17" s="37"/>
      <c r="D17" s="1"/>
      <c r="E17" s="1"/>
      <c r="F17" s="42">
        <f>(((((F$5*C$8)-(G$5*C$8))/(E$5*C$8))*(H$8/2*(C12*C13*C14*C15/D12/D13/D14/D15)*G$8/(0.2248*39.37)))+(G$5*C$8))/C$8</f>
        <v>4.0145922076015381</v>
      </c>
      <c r="G17" s="45">
        <f>E$5*C$8*(1/(C12*C13*C14*C15/D12/D13/D14/D15))*39.37*0.2248*D$8/(G$8/2)</f>
        <v>160.864434176</v>
      </c>
      <c r="H17" s="49"/>
      <c r="I17" s="18"/>
      <c r="J17" s="1"/>
    </row>
    <row r="18" spans="1:10" ht="16.2" thickBot="1" x14ac:dyDescent="0.35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 xr:uid="{00000000-0002-0000-0B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499984740745262"/>
  </sheetPr>
  <dimension ref="A1:O92"/>
  <sheetViews>
    <sheetView topLeftCell="A2" workbookViewId="0">
      <selection activeCell="H18" sqref="H18"/>
    </sheetView>
  </sheetViews>
  <sheetFormatPr defaultColWidth="11" defaultRowHeight="13.2" x14ac:dyDescent="0.25"/>
  <cols>
    <col min="1" max="1" width="3.5" style="54" customWidth="1"/>
    <col min="2" max="2" width="36.69921875" style="60" customWidth="1"/>
    <col min="3" max="9" width="11" style="54"/>
    <col min="10" max="10" width="23.19921875" style="54" customWidth="1"/>
    <col min="11" max="16384" width="11" style="54"/>
  </cols>
  <sheetData>
    <row r="1" spans="1:15" ht="25.95" customHeight="1" x14ac:dyDescent="0.25">
      <c r="A1" s="52"/>
      <c r="B1" s="65" t="s">
        <v>47</v>
      </c>
      <c r="C1" s="52"/>
      <c r="D1" s="52"/>
      <c r="E1" s="52"/>
      <c r="F1" s="52"/>
      <c r="G1" s="52"/>
      <c r="H1" s="53"/>
      <c r="I1" s="53"/>
    </row>
    <row r="2" spans="1:15" x14ac:dyDescent="0.25">
      <c r="A2" s="52"/>
      <c r="B2" s="64" t="s">
        <v>99</v>
      </c>
      <c r="C2" s="52"/>
      <c r="D2" s="52"/>
      <c r="E2" s="52"/>
      <c r="F2" s="52"/>
      <c r="G2" s="52"/>
      <c r="H2" s="53"/>
      <c r="I2" s="53"/>
    </row>
    <row r="3" spans="1:15" ht="15.6" x14ac:dyDescent="0.25">
      <c r="A3" s="52"/>
      <c r="B3" s="64" t="s">
        <v>98</v>
      </c>
      <c r="C3" s="52"/>
      <c r="D3" s="52"/>
      <c r="E3" s="52"/>
      <c r="F3" s="52"/>
      <c r="G3" s="52"/>
      <c r="H3" s="53"/>
      <c r="I3" s="53"/>
      <c r="J3" s="65" t="s">
        <v>89</v>
      </c>
    </row>
    <row r="4" spans="1:15" ht="34.5" customHeight="1" x14ac:dyDescent="0.25">
      <c r="A4" s="55"/>
      <c r="B4" s="56"/>
      <c r="C4" s="55" t="s">
        <v>0</v>
      </c>
      <c r="D4" s="55" t="s">
        <v>46</v>
      </c>
      <c r="E4" s="55" t="s">
        <v>2</v>
      </c>
      <c r="F4" s="55" t="s">
        <v>3</v>
      </c>
      <c r="G4" s="55" t="s">
        <v>13</v>
      </c>
      <c r="H4" s="57"/>
      <c r="I4" s="57"/>
      <c r="J4" s="56"/>
      <c r="K4" s="55" t="s">
        <v>0</v>
      </c>
      <c r="L4" s="55" t="s">
        <v>1</v>
      </c>
      <c r="M4" s="55" t="s">
        <v>2</v>
      </c>
      <c r="N4" s="55" t="s">
        <v>3</v>
      </c>
      <c r="O4" s="55" t="s">
        <v>13</v>
      </c>
    </row>
    <row r="5" spans="1:15" x14ac:dyDescent="0.25">
      <c r="A5" s="52"/>
      <c r="B5" s="50" t="s">
        <v>6</v>
      </c>
      <c r="C5" s="61">
        <v>5330</v>
      </c>
      <c r="D5" s="31">
        <v>2.41</v>
      </c>
      <c r="E5" s="31">
        <v>131</v>
      </c>
      <c r="F5" s="31">
        <v>2.7</v>
      </c>
      <c r="G5" s="58">
        <f>C5/2*(1/60*2*PI())*D5/2</f>
        <v>336.28916760964142</v>
      </c>
      <c r="H5" s="53"/>
      <c r="I5" s="53"/>
      <c r="J5" s="50" t="s">
        <v>118</v>
      </c>
      <c r="K5" s="61">
        <v>5840</v>
      </c>
      <c r="L5" s="31">
        <v>1.41</v>
      </c>
      <c r="M5" s="31">
        <v>89</v>
      </c>
      <c r="N5" s="31">
        <v>3</v>
      </c>
      <c r="O5" s="72">
        <f t="shared" ref="O5:O13" si="0">K5/2*(1/60*2*PI())*L5/2</f>
        <v>215.57608788933157</v>
      </c>
    </row>
    <row r="6" spans="1:15" x14ac:dyDescent="0.25">
      <c r="A6" s="52"/>
      <c r="B6" s="50" t="s">
        <v>113</v>
      </c>
      <c r="C6" s="62">
        <v>5840</v>
      </c>
      <c r="D6" s="59">
        <v>1.41</v>
      </c>
      <c r="E6" s="59">
        <v>89</v>
      </c>
      <c r="F6" s="59">
        <v>3</v>
      </c>
      <c r="G6" s="58">
        <f t="shared" ref="G6" si="1">C6/2*(1/60*2*PI())*D6/2</f>
        <v>215.57608788933157</v>
      </c>
      <c r="H6" s="53"/>
      <c r="I6" s="53"/>
      <c r="J6" s="50" t="s">
        <v>60</v>
      </c>
      <c r="K6" s="61">
        <v>5330</v>
      </c>
      <c r="L6" s="31">
        <v>2.41</v>
      </c>
      <c r="M6" s="31">
        <v>131</v>
      </c>
      <c r="N6" s="31">
        <v>2.7</v>
      </c>
      <c r="O6" s="72">
        <f t="shared" ref="O6:O7" si="2">K6/2*(1/60*2*PI())*L6/2</f>
        <v>336.28916760964142</v>
      </c>
    </row>
    <row r="7" spans="1:15" x14ac:dyDescent="0.25">
      <c r="A7" s="52"/>
      <c r="B7" s="50" t="s">
        <v>42</v>
      </c>
      <c r="C7" s="62">
        <v>13180</v>
      </c>
      <c r="D7" s="59">
        <v>0.43</v>
      </c>
      <c r="E7" s="59">
        <v>53</v>
      </c>
      <c r="F7" s="59">
        <v>1.8</v>
      </c>
      <c r="G7" s="58">
        <f t="shared" ref="G7" si="3">C7/2*(1/60*2*PI())*D7/2</f>
        <v>148.37218504128995</v>
      </c>
      <c r="H7" s="53"/>
      <c r="I7" s="53"/>
      <c r="J7" s="50" t="s">
        <v>117</v>
      </c>
      <c r="K7" s="61">
        <v>5840</v>
      </c>
      <c r="L7" s="31">
        <v>2.82</v>
      </c>
      <c r="M7" s="31">
        <v>178</v>
      </c>
      <c r="N7" s="31">
        <v>6</v>
      </c>
      <c r="O7" s="72">
        <f t="shared" si="2"/>
        <v>431.15217577866315</v>
      </c>
    </row>
    <row r="8" spans="1:15" x14ac:dyDescent="0.25">
      <c r="A8" s="52"/>
      <c r="B8" s="50" t="s">
        <v>95</v>
      </c>
      <c r="C8" s="61">
        <v>18730</v>
      </c>
      <c r="D8" s="31">
        <v>0.71</v>
      </c>
      <c r="E8" s="31">
        <v>134</v>
      </c>
      <c r="F8" s="31">
        <v>0.7</v>
      </c>
      <c r="G8" s="58">
        <f>C8/2*(1/60*2*PI())*D8/2</f>
        <v>348.14867987694288</v>
      </c>
      <c r="H8" s="32"/>
      <c r="I8" s="53"/>
      <c r="J8" s="50" t="s">
        <v>114</v>
      </c>
      <c r="K8" s="63">
        <v>5508</v>
      </c>
      <c r="L8" s="51">
        <v>3.82</v>
      </c>
      <c r="M8" s="51">
        <v>220</v>
      </c>
      <c r="N8" s="51">
        <v>8.16</v>
      </c>
      <c r="O8" s="72">
        <f t="shared" si="0"/>
        <v>550.84057269512709</v>
      </c>
    </row>
    <row r="9" spans="1:15" x14ac:dyDescent="0.25">
      <c r="A9" s="52"/>
      <c r="B9" s="50" t="s">
        <v>96</v>
      </c>
      <c r="C9" s="61">
        <v>5800</v>
      </c>
      <c r="D9" s="31">
        <v>0.28000000000000003</v>
      </c>
      <c r="E9" s="31">
        <v>18</v>
      </c>
      <c r="F9" s="31">
        <v>1.6</v>
      </c>
      <c r="G9" s="58">
        <f>C9/2*(1/60*2*PI())*D9/2</f>
        <v>42.516220578581873</v>
      </c>
      <c r="H9" s="53"/>
      <c r="I9" s="53"/>
      <c r="J9" s="50" t="s">
        <v>119</v>
      </c>
      <c r="K9" s="63">
        <v>5840</v>
      </c>
      <c r="L9" s="51">
        <v>4.2299999999999995</v>
      </c>
      <c r="M9" s="51">
        <v>267</v>
      </c>
      <c r="N9" s="51">
        <v>9</v>
      </c>
      <c r="O9" s="72">
        <f t="shared" ref="O9" si="4">K9/2*(1/60*2*PI())*L9/2</f>
        <v>646.72826366799472</v>
      </c>
    </row>
    <row r="10" spans="1:15" x14ac:dyDescent="0.25">
      <c r="A10" s="52"/>
      <c r="B10" s="50" t="s">
        <v>97</v>
      </c>
      <c r="C10" s="63">
        <v>14270</v>
      </c>
      <c r="D10" s="51">
        <v>0.36</v>
      </c>
      <c r="E10" s="51">
        <v>71</v>
      </c>
      <c r="F10" s="51">
        <v>3.7</v>
      </c>
      <c r="G10" s="58">
        <f t="shared" ref="G10" si="5">C10/2*(1/60*2*PI())*D10/2</f>
        <v>134.49158150017902</v>
      </c>
      <c r="H10" s="53"/>
      <c r="I10" s="53"/>
      <c r="J10" s="50" t="s">
        <v>54</v>
      </c>
      <c r="K10" s="61">
        <v>5330</v>
      </c>
      <c r="L10" s="31">
        <v>4.82</v>
      </c>
      <c r="M10" s="31">
        <v>262</v>
      </c>
      <c r="N10" s="31">
        <v>5.4</v>
      </c>
      <c r="O10" s="72">
        <f t="shared" si="0"/>
        <v>672.57833521928285</v>
      </c>
    </row>
    <row r="11" spans="1:15" x14ac:dyDescent="0.25">
      <c r="A11" s="52"/>
      <c r="B11" s="50" t="s">
        <v>114</v>
      </c>
      <c r="C11" s="63">
        <v>5508</v>
      </c>
      <c r="D11" s="51">
        <v>3.82</v>
      </c>
      <c r="E11" s="51">
        <v>220</v>
      </c>
      <c r="F11" s="51">
        <v>8.16</v>
      </c>
      <c r="G11" s="58">
        <f t="shared" ref="G11:G20" si="6">C11/2*(1/60*2*PI())*D11/2</f>
        <v>550.84057269512709</v>
      </c>
      <c r="H11" s="53"/>
      <c r="I11" s="53"/>
      <c r="J11" s="50" t="s">
        <v>115</v>
      </c>
      <c r="K11" s="63">
        <v>5593</v>
      </c>
      <c r="L11" s="51">
        <v>5.23</v>
      </c>
      <c r="M11" s="51">
        <v>309</v>
      </c>
      <c r="N11" s="51">
        <v>9.6199999999999992</v>
      </c>
      <c r="O11" s="72">
        <f t="shared" si="0"/>
        <v>765.79959942741618</v>
      </c>
    </row>
    <row r="12" spans="1:15" x14ac:dyDescent="0.25">
      <c r="A12" s="52"/>
      <c r="B12" s="50" t="s">
        <v>115</v>
      </c>
      <c r="C12" s="63">
        <v>5593</v>
      </c>
      <c r="D12" s="51">
        <v>5.23</v>
      </c>
      <c r="E12" s="51">
        <v>309</v>
      </c>
      <c r="F12" s="51">
        <v>9.6199999999999992</v>
      </c>
      <c r="G12" s="58">
        <f t="shared" si="6"/>
        <v>765.79959942741618</v>
      </c>
      <c r="H12" s="53"/>
      <c r="I12" s="53"/>
      <c r="J12" s="50" t="s">
        <v>116</v>
      </c>
      <c r="K12" s="63">
        <v>5437</v>
      </c>
      <c r="L12" s="51">
        <v>6.23</v>
      </c>
      <c r="M12" s="51">
        <v>351</v>
      </c>
      <c r="N12" s="51">
        <v>9.15</v>
      </c>
      <c r="O12" s="72">
        <f t="shared" si="0"/>
        <v>886.78023812205663</v>
      </c>
    </row>
    <row r="13" spans="1:15" x14ac:dyDescent="0.25">
      <c r="B13" s="50" t="s">
        <v>116</v>
      </c>
      <c r="C13" s="63">
        <v>5437</v>
      </c>
      <c r="D13" s="51">
        <v>6.23</v>
      </c>
      <c r="E13" s="51">
        <v>351</v>
      </c>
      <c r="F13" s="51">
        <v>9.15</v>
      </c>
      <c r="G13" s="58">
        <f t="shared" si="6"/>
        <v>886.78023812205663</v>
      </c>
      <c r="I13" s="53"/>
      <c r="J13" s="50" t="s">
        <v>61</v>
      </c>
      <c r="K13" s="61">
        <v>5330</v>
      </c>
      <c r="L13" s="31">
        <v>7.23</v>
      </c>
      <c r="M13" s="31">
        <v>393</v>
      </c>
      <c r="N13" s="31">
        <v>8.1000000000000014</v>
      </c>
      <c r="O13" s="72">
        <f t="shared" si="0"/>
        <v>1008.8675028289243</v>
      </c>
    </row>
    <row r="14" spans="1:15" x14ac:dyDescent="0.25">
      <c r="B14" s="50" t="s">
        <v>94</v>
      </c>
      <c r="C14" s="61">
        <v>13050</v>
      </c>
      <c r="D14" s="31">
        <v>0.72</v>
      </c>
      <c r="E14" s="31">
        <v>97</v>
      </c>
      <c r="F14" s="31">
        <v>2.7</v>
      </c>
      <c r="G14" s="58">
        <f t="shared" si="6"/>
        <v>245.98670477608078</v>
      </c>
      <c r="I14" s="53"/>
      <c r="J14" s="73"/>
      <c r="K14" s="71"/>
      <c r="L14" s="71"/>
      <c r="M14" s="71"/>
      <c r="N14" s="71"/>
      <c r="O14" s="71"/>
    </row>
    <row r="15" spans="1:15" x14ac:dyDescent="0.25">
      <c r="B15" s="50" t="s">
        <v>120</v>
      </c>
      <c r="C15" s="61">
        <v>19000</v>
      </c>
      <c r="D15" s="31">
        <v>0.38</v>
      </c>
      <c r="E15" s="31">
        <v>84</v>
      </c>
      <c r="F15" s="31">
        <v>0.4</v>
      </c>
      <c r="G15" s="58">
        <f t="shared" si="6"/>
        <v>189.01915799098589</v>
      </c>
      <c r="J15" s="56"/>
      <c r="K15" s="55"/>
      <c r="L15" s="55"/>
      <c r="M15" s="55"/>
      <c r="N15" s="55"/>
      <c r="O15" s="55"/>
    </row>
    <row r="16" spans="1:15" x14ac:dyDescent="0.25">
      <c r="B16" s="50" t="s">
        <v>139</v>
      </c>
      <c r="C16" s="63">
        <v>5676</v>
      </c>
      <c r="D16" s="51">
        <v>2.6</v>
      </c>
      <c r="E16" s="51">
        <v>105</v>
      </c>
      <c r="F16" s="51">
        <v>1.8</v>
      </c>
      <c r="G16" s="58">
        <f t="shared" si="6"/>
        <v>386.35306453847278</v>
      </c>
      <c r="J16" s="50" t="s">
        <v>118</v>
      </c>
      <c r="K16" s="61">
        <v>5840</v>
      </c>
      <c r="L16" s="31">
        <v>1.41</v>
      </c>
      <c r="M16" s="31">
        <v>89</v>
      </c>
      <c r="N16" s="31">
        <v>3</v>
      </c>
      <c r="O16" s="72">
        <f>K16/2*(1/60*2*PI())*L16/2</f>
        <v>215.57608788933157</v>
      </c>
    </row>
    <row r="17" spans="2:15" x14ac:dyDescent="0.25">
      <c r="C17" s="63"/>
      <c r="D17" s="51"/>
      <c r="E17" s="51"/>
      <c r="F17" s="51"/>
      <c r="G17" s="58">
        <f t="shared" si="6"/>
        <v>0</v>
      </c>
      <c r="J17" s="50" t="s">
        <v>60</v>
      </c>
      <c r="K17" s="61">
        <v>5330</v>
      </c>
      <c r="L17" s="31">
        <v>2.41</v>
      </c>
      <c r="M17" s="31">
        <v>131</v>
      </c>
      <c r="N17" s="31">
        <v>2.7</v>
      </c>
      <c r="O17" s="72">
        <f>K17/2*(1/60*2*PI())*L17/2</f>
        <v>336.28916760964142</v>
      </c>
    </row>
    <row r="18" spans="2:15" x14ac:dyDescent="0.25">
      <c r="C18" s="63"/>
      <c r="D18" s="51"/>
      <c r="E18" s="51"/>
      <c r="F18" s="51"/>
      <c r="G18" s="58">
        <f t="shared" si="6"/>
        <v>0</v>
      </c>
      <c r="J18" s="50" t="s">
        <v>117</v>
      </c>
      <c r="K18" s="61">
        <v>5840</v>
      </c>
      <c r="L18" s="31">
        <v>2.82</v>
      </c>
      <c r="M18" s="31">
        <v>178</v>
      </c>
      <c r="N18" s="31">
        <v>6</v>
      </c>
      <c r="O18" s="72">
        <f>K18/2*(1/60*2*PI())*L18/2</f>
        <v>431.15217577866315</v>
      </c>
    </row>
    <row r="19" spans="2:15" x14ac:dyDescent="0.25">
      <c r="C19" s="63"/>
      <c r="D19" s="51"/>
      <c r="E19" s="51"/>
      <c r="F19" s="51"/>
      <c r="G19" s="58">
        <f t="shared" si="6"/>
        <v>0</v>
      </c>
      <c r="J19" s="50" t="s">
        <v>114</v>
      </c>
      <c r="K19" s="63">
        <v>5508</v>
      </c>
      <c r="L19" s="51">
        <v>3.82</v>
      </c>
      <c r="M19" s="51">
        <v>220</v>
      </c>
      <c r="N19" s="51">
        <v>8.16</v>
      </c>
      <c r="O19" s="72">
        <f>K19/2*(1/60*2*PI())*L19/2</f>
        <v>550.84057269512709</v>
      </c>
    </row>
    <row r="20" spans="2:15" x14ac:dyDescent="0.25">
      <c r="B20" s="50"/>
      <c r="C20" s="63"/>
      <c r="D20" s="51"/>
      <c r="E20" s="51"/>
      <c r="F20" s="51"/>
      <c r="G20" s="58">
        <f t="shared" si="6"/>
        <v>0</v>
      </c>
      <c r="J20" s="50" t="s">
        <v>54</v>
      </c>
      <c r="K20" s="61">
        <v>5330</v>
      </c>
      <c r="L20" s="31">
        <v>4.82</v>
      </c>
      <c r="M20" s="31">
        <v>262</v>
      </c>
      <c r="N20" s="31">
        <v>5.4</v>
      </c>
      <c r="O20" s="72">
        <f>K20/2*(1/60*2*PI())*L20/2</f>
        <v>672.57833521928285</v>
      </c>
    </row>
    <row r="25" spans="2:15" x14ac:dyDescent="0.25">
      <c r="C25" s="67"/>
    </row>
    <row r="26" spans="2:15" ht="15.6" x14ac:dyDescent="0.25">
      <c r="B26" s="65" t="s">
        <v>48</v>
      </c>
    </row>
    <row r="27" spans="2:15" x14ac:dyDescent="0.25">
      <c r="B27" s="69" t="s">
        <v>49</v>
      </c>
    </row>
    <row r="28" spans="2:15" x14ac:dyDescent="0.25">
      <c r="B28" s="75" t="s">
        <v>77</v>
      </c>
      <c r="C28" s="70">
        <v>11</v>
      </c>
      <c r="D28" s="70">
        <v>42</v>
      </c>
    </row>
    <row r="29" spans="2:15" x14ac:dyDescent="0.25">
      <c r="B29" s="75" t="s">
        <v>78</v>
      </c>
      <c r="C29" s="70">
        <v>12</v>
      </c>
      <c r="D29" s="70">
        <v>42</v>
      </c>
    </row>
    <row r="30" spans="2:15" x14ac:dyDescent="0.25">
      <c r="B30" s="74" t="s">
        <v>79</v>
      </c>
      <c r="C30" s="70">
        <v>13</v>
      </c>
      <c r="D30" s="70">
        <v>42</v>
      </c>
    </row>
    <row r="31" spans="2:15" x14ac:dyDescent="0.25">
      <c r="B31" s="74" t="s">
        <v>80</v>
      </c>
      <c r="C31" s="70">
        <v>13</v>
      </c>
      <c r="D31" s="70">
        <v>40</v>
      </c>
    </row>
    <row r="32" spans="2:15" x14ac:dyDescent="0.25">
      <c r="B32" s="74" t="s">
        <v>81</v>
      </c>
      <c r="C32" s="70">
        <v>14</v>
      </c>
      <c r="D32" s="70">
        <v>42</v>
      </c>
    </row>
    <row r="33" spans="2:4" x14ac:dyDescent="0.25">
      <c r="B33" s="74" t="s">
        <v>82</v>
      </c>
      <c r="C33" s="70">
        <v>14</v>
      </c>
      <c r="D33" s="70">
        <v>40</v>
      </c>
    </row>
    <row r="34" spans="2:4" x14ac:dyDescent="0.25">
      <c r="C34" s="70"/>
      <c r="D34" s="70"/>
    </row>
    <row r="35" spans="2:4" x14ac:dyDescent="0.25">
      <c r="B35" s="69" t="s">
        <v>76</v>
      </c>
      <c r="C35" s="70"/>
      <c r="D35" s="70"/>
    </row>
    <row r="36" spans="2:4" x14ac:dyDescent="0.25">
      <c r="B36" s="75" t="s">
        <v>84</v>
      </c>
      <c r="C36" s="70">
        <v>14</v>
      </c>
      <c r="D36" s="70">
        <v>60</v>
      </c>
    </row>
    <row r="37" spans="2:4" x14ac:dyDescent="0.25">
      <c r="B37" s="75" t="s">
        <v>83</v>
      </c>
      <c r="C37" s="70">
        <v>24</v>
      </c>
      <c r="D37" s="70">
        <v>50</v>
      </c>
    </row>
    <row r="38" spans="2:4" x14ac:dyDescent="0.25">
      <c r="C38" s="70"/>
      <c r="D38" s="70"/>
    </row>
    <row r="39" spans="2:4" x14ac:dyDescent="0.25">
      <c r="B39" s="69" t="s">
        <v>85</v>
      </c>
      <c r="C39" s="70"/>
      <c r="D39" s="70"/>
    </row>
    <row r="40" spans="2:4" x14ac:dyDescent="0.25">
      <c r="B40" s="75" t="s">
        <v>83</v>
      </c>
      <c r="C40" s="70">
        <v>24</v>
      </c>
      <c r="D40" s="70">
        <v>50</v>
      </c>
    </row>
    <row r="41" spans="2:4" x14ac:dyDescent="0.25">
      <c r="B41" s="75" t="s">
        <v>86</v>
      </c>
      <c r="C41" s="70">
        <v>30</v>
      </c>
      <c r="D41" s="70">
        <v>44</v>
      </c>
    </row>
    <row r="42" spans="2:4" x14ac:dyDescent="0.25">
      <c r="B42" s="75" t="s">
        <v>87</v>
      </c>
      <c r="C42" s="70">
        <v>34</v>
      </c>
      <c r="D42" s="70">
        <v>40</v>
      </c>
    </row>
    <row r="43" spans="2:4" x14ac:dyDescent="0.25">
      <c r="C43" s="70"/>
      <c r="D43" s="70"/>
    </row>
    <row r="44" spans="2:4" x14ac:dyDescent="0.25">
      <c r="C44" s="70"/>
      <c r="D44" s="70"/>
    </row>
    <row r="45" spans="2:4" x14ac:dyDescent="0.25">
      <c r="C45" s="70"/>
      <c r="D45" s="70"/>
    </row>
    <row r="46" spans="2:4" ht="15.6" x14ac:dyDescent="0.25">
      <c r="B46" s="65" t="s">
        <v>62</v>
      </c>
      <c r="C46" s="83"/>
      <c r="D46" s="83"/>
    </row>
    <row r="47" spans="2:4" x14ac:dyDescent="0.25">
      <c r="B47" s="68" t="s">
        <v>63</v>
      </c>
      <c r="C47" s="83"/>
      <c r="D47" s="83"/>
    </row>
    <row r="48" spans="2:4" x14ac:dyDescent="0.25">
      <c r="B48" s="74" t="s">
        <v>55</v>
      </c>
      <c r="C48" s="83">
        <v>12</v>
      </c>
      <c r="D48" s="83">
        <v>50</v>
      </c>
    </row>
    <row r="49" spans="2:4" x14ac:dyDescent="0.25">
      <c r="B49" s="73" t="s">
        <v>64</v>
      </c>
      <c r="C49" s="83">
        <v>11</v>
      </c>
      <c r="D49" s="83">
        <v>50</v>
      </c>
    </row>
    <row r="50" spans="2:4" x14ac:dyDescent="0.25">
      <c r="B50" s="73"/>
      <c r="C50" s="83"/>
      <c r="D50" s="83"/>
    </row>
    <row r="51" spans="2:4" x14ac:dyDescent="0.25">
      <c r="B51" s="73" t="s">
        <v>65</v>
      </c>
      <c r="C51" s="83">
        <v>50</v>
      </c>
      <c r="D51" s="83">
        <v>34</v>
      </c>
    </row>
    <row r="52" spans="2:4" x14ac:dyDescent="0.25">
      <c r="B52" s="73"/>
      <c r="C52" s="83"/>
      <c r="D52" s="83"/>
    </row>
    <row r="53" spans="2:4" x14ac:dyDescent="0.25">
      <c r="B53" s="73" t="s">
        <v>56</v>
      </c>
      <c r="C53" s="83">
        <v>34</v>
      </c>
      <c r="D53" s="83">
        <v>50</v>
      </c>
    </row>
    <row r="54" spans="2:4" x14ac:dyDescent="0.25">
      <c r="B54" s="73" t="s">
        <v>66</v>
      </c>
      <c r="C54" s="83">
        <v>30</v>
      </c>
      <c r="D54" s="83">
        <v>54</v>
      </c>
    </row>
    <row r="55" spans="2:4" x14ac:dyDescent="0.25">
      <c r="B55" s="73" t="s">
        <v>67</v>
      </c>
      <c r="C55" s="83">
        <v>24</v>
      </c>
      <c r="D55" s="83">
        <v>60</v>
      </c>
    </row>
    <row r="56" spans="2:4" x14ac:dyDescent="0.25">
      <c r="B56" s="73"/>
      <c r="C56" s="83"/>
      <c r="D56" s="83"/>
    </row>
    <row r="57" spans="2:4" x14ac:dyDescent="0.25">
      <c r="B57" s="73" t="s">
        <v>68</v>
      </c>
      <c r="C57" s="83">
        <v>1</v>
      </c>
      <c r="D57" s="83">
        <v>1</v>
      </c>
    </row>
    <row r="58" spans="2:4" x14ac:dyDescent="0.25">
      <c r="B58" s="73" t="s">
        <v>57</v>
      </c>
      <c r="C58" s="83">
        <v>20</v>
      </c>
      <c r="D58" s="83">
        <v>64</v>
      </c>
    </row>
    <row r="59" spans="2:4" x14ac:dyDescent="0.25">
      <c r="B59" s="73" t="s">
        <v>69</v>
      </c>
      <c r="C59" s="83">
        <v>24</v>
      </c>
      <c r="D59" s="83">
        <v>60</v>
      </c>
    </row>
    <row r="60" spans="2:4" x14ac:dyDescent="0.25">
      <c r="B60" s="73" t="s">
        <v>70</v>
      </c>
      <c r="C60" s="83">
        <v>30</v>
      </c>
      <c r="D60" s="83">
        <v>54</v>
      </c>
    </row>
    <row r="61" spans="2:4" x14ac:dyDescent="0.25">
      <c r="B61" s="73" t="s">
        <v>71</v>
      </c>
      <c r="C61" s="83">
        <v>34</v>
      </c>
      <c r="D61" s="83">
        <v>50</v>
      </c>
    </row>
    <row r="62" spans="2:4" x14ac:dyDescent="0.25">
      <c r="B62" s="73"/>
      <c r="C62" s="83"/>
      <c r="D62" s="83"/>
    </row>
    <row r="63" spans="2:4" x14ac:dyDescent="0.25">
      <c r="B63" s="73"/>
      <c r="C63" s="83"/>
      <c r="D63" s="83"/>
    </row>
    <row r="64" spans="2:4" ht="15.6" x14ac:dyDescent="0.25">
      <c r="B64" s="65" t="s">
        <v>72</v>
      </c>
      <c r="C64" s="83"/>
      <c r="D64" s="83"/>
    </row>
    <row r="65" spans="2:4" x14ac:dyDescent="0.25">
      <c r="B65" s="68" t="s">
        <v>63</v>
      </c>
      <c r="C65" s="83"/>
      <c r="D65" s="83"/>
    </row>
    <row r="66" spans="2:4" x14ac:dyDescent="0.25">
      <c r="B66" s="74" t="s">
        <v>58</v>
      </c>
      <c r="C66" s="83">
        <v>12</v>
      </c>
      <c r="D66" s="83">
        <v>40</v>
      </c>
    </row>
    <row r="67" spans="2:4" x14ac:dyDescent="0.25">
      <c r="B67" s="73" t="s">
        <v>73</v>
      </c>
      <c r="C67" s="83">
        <v>11</v>
      </c>
      <c r="D67" s="83">
        <v>40</v>
      </c>
    </row>
    <row r="68" spans="2:4" x14ac:dyDescent="0.25">
      <c r="B68" s="73"/>
      <c r="C68" s="83"/>
      <c r="D68" s="83"/>
    </row>
    <row r="69" spans="2:4" x14ac:dyDescent="0.25">
      <c r="B69" s="73" t="s">
        <v>68</v>
      </c>
      <c r="C69" s="83">
        <v>1</v>
      </c>
      <c r="D69" s="83">
        <v>1</v>
      </c>
    </row>
    <row r="70" spans="2:4" x14ac:dyDescent="0.25">
      <c r="B70" s="73" t="s">
        <v>92</v>
      </c>
      <c r="C70" s="70">
        <v>34</v>
      </c>
      <c r="D70" s="70">
        <v>50</v>
      </c>
    </row>
    <row r="71" spans="2:4" x14ac:dyDescent="0.25">
      <c r="B71" s="73" t="s">
        <v>93</v>
      </c>
      <c r="C71" s="83">
        <v>30</v>
      </c>
      <c r="D71" s="83">
        <v>54</v>
      </c>
    </row>
    <row r="72" spans="2:4" x14ac:dyDescent="0.25">
      <c r="B72" s="73" t="s">
        <v>90</v>
      </c>
      <c r="C72" s="83">
        <v>24</v>
      </c>
      <c r="D72" s="83">
        <v>60</v>
      </c>
    </row>
    <row r="73" spans="2:4" x14ac:dyDescent="0.25">
      <c r="B73" s="73" t="s">
        <v>91</v>
      </c>
      <c r="C73" s="83">
        <v>20</v>
      </c>
      <c r="D73" s="83">
        <v>64</v>
      </c>
    </row>
    <row r="74" spans="2:4" x14ac:dyDescent="0.25">
      <c r="B74" s="73"/>
      <c r="C74" s="83"/>
      <c r="D74" s="83"/>
    </row>
    <row r="75" spans="2:4" x14ac:dyDescent="0.25">
      <c r="B75" s="73" t="s">
        <v>59</v>
      </c>
      <c r="C75" s="83">
        <v>14</v>
      </c>
      <c r="D75" s="83">
        <v>40</v>
      </c>
    </row>
    <row r="76" spans="2:4" x14ac:dyDescent="0.25">
      <c r="B76" s="73" t="s">
        <v>74</v>
      </c>
      <c r="C76" s="83">
        <v>20</v>
      </c>
      <c r="D76" s="83">
        <v>34</v>
      </c>
    </row>
    <row r="77" spans="2:4" x14ac:dyDescent="0.25">
      <c r="B77" s="73" t="s">
        <v>75</v>
      </c>
      <c r="C77" s="83">
        <v>24</v>
      </c>
      <c r="D77" s="83">
        <v>30</v>
      </c>
    </row>
    <row r="78" spans="2:4" x14ac:dyDescent="0.25">
      <c r="C78" s="70"/>
      <c r="D78" s="70"/>
    </row>
    <row r="79" spans="2:4" x14ac:dyDescent="0.25">
      <c r="C79" s="70"/>
      <c r="D79" s="70"/>
    </row>
    <row r="80" spans="2:4" ht="15.6" x14ac:dyDescent="0.25">
      <c r="B80" s="65" t="s">
        <v>100</v>
      </c>
      <c r="C80" s="70"/>
      <c r="D80" s="70"/>
    </row>
    <row r="81" spans="2:4" x14ac:dyDescent="0.25">
      <c r="B81" s="69" t="s">
        <v>49</v>
      </c>
      <c r="C81" s="70"/>
      <c r="D81" s="70"/>
    </row>
    <row r="82" spans="2:4" x14ac:dyDescent="0.25">
      <c r="B82" s="74" t="s">
        <v>101</v>
      </c>
      <c r="C82" s="70">
        <v>11</v>
      </c>
      <c r="D82" s="70">
        <v>50</v>
      </c>
    </row>
    <row r="83" spans="2:4" x14ac:dyDescent="0.25">
      <c r="B83" s="74" t="s">
        <v>102</v>
      </c>
      <c r="C83" s="70">
        <v>12</v>
      </c>
      <c r="D83" s="70">
        <v>50</v>
      </c>
    </row>
    <row r="84" spans="2:4" x14ac:dyDescent="0.25">
      <c r="B84" s="74" t="s">
        <v>103</v>
      </c>
      <c r="C84" s="70">
        <v>13</v>
      </c>
      <c r="D84" s="70">
        <v>50</v>
      </c>
    </row>
    <row r="85" spans="2:4" x14ac:dyDescent="0.25">
      <c r="B85" s="74" t="s">
        <v>104</v>
      </c>
      <c r="C85" s="70">
        <v>14</v>
      </c>
      <c r="D85" s="70">
        <v>50</v>
      </c>
    </row>
    <row r="86" spans="2:4" x14ac:dyDescent="0.25">
      <c r="C86" s="70"/>
      <c r="D86" s="70"/>
    </row>
    <row r="87" spans="2:4" x14ac:dyDescent="0.25">
      <c r="B87" s="69" t="s">
        <v>105</v>
      </c>
      <c r="C87" s="70"/>
      <c r="D87" s="70"/>
    </row>
    <row r="88" spans="2:4" x14ac:dyDescent="0.25">
      <c r="B88" s="75" t="s">
        <v>106</v>
      </c>
      <c r="C88" s="70">
        <v>34</v>
      </c>
      <c r="D88" s="70">
        <v>40</v>
      </c>
    </row>
    <row r="89" spans="2:4" x14ac:dyDescent="0.25">
      <c r="B89" s="75" t="s">
        <v>107</v>
      </c>
      <c r="C89" s="70">
        <v>30</v>
      </c>
      <c r="D89" s="70">
        <v>44</v>
      </c>
    </row>
    <row r="90" spans="2:4" x14ac:dyDescent="0.25">
      <c r="B90" s="82" t="s">
        <v>108</v>
      </c>
      <c r="C90" s="70">
        <v>24</v>
      </c>
      <c r="D90" s="70">
        <v>50</v>
      </c>
    </row>
    <row r="91" spans="2:4" x14ac:dyDescent="0.25">
      <c r="B91" s="82" t="s">
        <v>109</v>
      </c>
      <c r="C91" s="70">
        <v>20</v>
      </c>
      <c r="D91" s="70">
        <v>54</v>
      </c>
    </row>
    <row r="92" spans="2:4" x14ac:dyDescent="0.25">
      <c r="B92" s="82" t="s">
        <v>110</v>
      </c>
      <c r="C92" s="70">
        <v>14</v>
      </c>
      <c r="D92" s="70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READ-ME</vt:lpstr>
      <vt:lpstr>Custom 1-Speed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Brandon Miller</cp:lastModifiedBy>
  <cp:lastPrinted>2019-01-06T04:43:52Z</cp:lastPrinted>
  <dcterms:created xsi:type="dcterms:W3CDTF">2012-08-11T00:19:30Z</dcterms:created>
  <dcterms:modified xsi:type="dcterms:W3CDTF">2019-10-10T05:23:13Z</dcterms:modified>
</cp:coreProperties>
</file>