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BA" sheetId="1" r:id="rId4"/>
    <sheet name="Sheet 1" sheetId="2" r:id="rId5"/>
    <sheet name="Comparing changes in all to hum" sheetId="3" r:id="rId6"/>
    <sheet name="Data- Degrees in age group" sheetId="4" r:id="rId7"/>
    <sheet name="Data- Core Humanities over Time" sheetId="5" r:id="rId8"/>
  </sheets>
</workbook>
</file>

<file path=xl/comments1.xml><?xml version="1.0" encoding="utf-8"?>
<comments xmlns="http://schemas.openxmlformats.org/spreadsheetml/2006/main">
  <authors>
    <author>Benjamin Schmidt</author>
  </authors>
  <commentList>
    <comment ref="B5" authorId="0">
      <text>
        <r>
          <rPr>
            <sz val="11"/>
            <color indexed="8"/>
            <rFont val="Helvetica Neue"/>
          </rPr>
          <t>Benjamin Schmidt:
Data from 1948 to 1960 combine first-professional with bachelor's degrees. For disaggregated estimates, see the sheet 'data'</t>
        </r>
      </text>
    </comment>
    <comment ref="AE12" authorId="0">
      <text>
        <r>
          <rPr>
            <sz val="11"/>
            <color indexed="8"/>
            <rFont val="Helvetica Neue"/>
          </rPr>
          <t>Benjamin Schmidt:
Prior to 1956, all religion degrees were listed together undeer either "religious education and Bible" or "Theology, which are each maybe 7 times bigger than the liberal arts religion numbers</t>
        </r>
      </text>
    </comment>
    <comment ref="AQ12" authorId="0">
      <text>
        <r>
          <rPr>
            <sz val="11"/>
            <color indexed="8"/>
            <rFont val="Helvetica Neue"/>
          </rPr>
          <t>Benjamin Schmidt:
This seems to mean arts as in "Bachelor of Arts," with no other distinction</t>
        </r>
      </text>
    </comment>
    <comment ref="AQ13" authorId="0">
      <text>
        <r>
          <rPr>
            <sz val="11"/>
            <color indexed="8"/>
            <rFont val="Helvetica Neue"/>
          </rPr>
          <t>Benjamin Schmidt:
This number is much lower because a new category was added of "arts and sciences, general" to the old "arts, general" and "Sciences, general"</t>
        </r>
      </text>
    </comment>
    <comment ref="A16" authorId="0">
      <text>
        <r>
          <rPr>
            <sz val="11"/>
            <color indexed="8"/>
            <rFont val="Helvetica Neue"/>
          </rPr>
          <t>Benjamin Schmidt:
Data only available for total Degrees in each discipline, not broken down by sex. For larger fields, sex breakdown is done by percentages, which is where the fractional numbers here come from. For smaller fields, here highlighted in yellow, the total was calculated based on the average sex ratios in the discipline in 1958 and 1960.</t>
        </r>
      </text>
    </comment>
    <comment ref="B19" authorId="0">
      <text>
        <r>
          <rPr>
            <sz val="11"/>
            <color indexed="8"/>
            <rFont val="Helvetica Neue"/>
          </rPr>
          <t>Benjamin Schmidt:
This is the first year in which they switch over to reporting first-professional degrees separately from BA degrees</t>
        </r>
      </text>
    </comment>
    <comment ref="A21" authorId="0">
      <text>
        <r>
          <rPr>
            <sz val="11"/>
            <color indexed="8"/>
            <rFont val="Helvetica Neue"/>
          </rPr>
          <t>Benjamin Schmidt:
Only very broad data available. Does not include history. History data are estimated based on a constant ratio of History degrees to all humanities degrees.</t>
        </r>
      </text>
    </comment>
    <comment ref="M21" authorId="0">
      <text>
        <r>
          <rPr>
            <sz val="11"/>
            <color indexed="8"/>
            <rFont val="Helvetica Neue"/>
          </rPr>
          <t>Benjamin Schmidt:
Originally, English and Journalism were aggregated; new numbers for journalism were extrapolated from the historical ratio of english to journalism and subtracted from the total.</t>
        </r>
      </text>
    </comment>
    <comment ref="A25" authorId="0">
      <text>
        <r>
          <rPr>
            <sz val="11"/>
            <color indexed="8"/>
            <rFont val="Helvetica Neue"/>
          </rPr>
          <t>Benjamin Schmidt:
This is the break between paper and computer data</t>
        </r>
      </text>
    </comment>
    <comment ref="C29" authorId="0">
      <text>
        <r>
          <rPr>
            <sz val="11"/>
            <color indexed="8"/>
            <rFont val="Helvetica Neue"/>
          </rPr>
          <t>Benjamin Schmidt:
This data, and all other decimal counts for numbers of students, are slightly inflated from tables put out by the NCES which adjust the IPEDS data and tend to undercount, by about 1%, the total number of degrees</t>
        </r>
      </text>
    </comment>
  </commentList>
</comments>
</file>

<file path=xl/sharedStrings.xml><?xml version="1.0" encoding="utf-8"?>
<sst xmlns="http://schemas.openxmlformats.org/spreadsheetml/2006/main" uniqueCount="77">
  <si>
    <t>Degrees in the Humanities, by Discipline</t>
  </si>
  <si>
    <t>All Degrees</t>
  </si>
  <si>
    <t>Narrow Humanities</t>
  </si>
  <si>
    <t>All Humanities</t>
  </si>
  <si>
    <t>English</t>
  </si>
  <si>
    <t>Journalism</t>
  </si>
  <si>
    <t>Classics</t>
  </si>
  <si>
    <t>Languages (incl Class)</t>
  </si>
  <si>
    <t>Music</t>
  </si>
  <si>
    <t>Philosophy</t>
  </si>
  <si>
    <t>Religion</t>
  </si>
  <si>
    <t>History</t>
  </si>
  <si>
    <t>American</t>
  </si>
  <si>
    <t>Area</t>
  </si>
  <si>
    <t>Arts, General</t>
  </si>
  <si>
    <t>Comment</t>
  </si>
  <si>
    <t>English, History, Philosophy, and foreign languages account for over 80% of all humanities degrees</t>
  </si>
  <si>
    <t>Including all available counts for humanities (may be inconsistent)</t>
  </si>
  <si>
    <t>Prior to 1956, all religion degrees were listed together undeer either "religious education and Bible" or "Theology, which are each maybe 7 times bigger than the liberal arts religion numbers</t>
  </si>
  <si>
    <t>Total</t>
  </si>
  <si>
    <t>All Degrees, Men</t>
  </si>
  <si>
    <t>All Degrees, Women</t>
  </si>
  <si>
    <t>Humanities as Percent</t>
  </si>
  <si>
    <t>Table 1</t>
  </si>
  <si>
    <t>Men-All</t>
  </si>
  <si>
    <t>Women-All</t>
  </si>
  <si>
    <t>Men-English</t>
  </si>
  <si>
    <t>Women-English</t>
  </si>
  <si>
    <t>Men-Languages</t>
  </si>
  <si>
    <t>Women-Languages</t>
  </si>
  <si>
    <t>Men-History</t>
  </si>
  <si>
    <t>Women-History</t>
  </si>
  <si>
    <t>Men-Philosophy</t>
  </si>
  <si>
    <t>Women-Philosophy</t>
  </si>
  <si>
    <t>Year</t>
  </si>
  <si>
    <t>Bachelor's (est.)</t>
  </si>
  <si>
    <t>Core Humanities Degrees</t>
  </si>
  <si>
    <t>Total Humanities Degrees</t>
  </si>
  <si>
    <t>Core as % of Total</t>
  </si>
  <si>
    <t>Core as Percent of all Hum.</t>
  </si>
  <si>
    <t>Core as Percent in doctoral Degrees</t>
  </si>
  <si>
    <t>Change in Total</t>
  </si>
  <si>
    <t>Change in Hum.</t>
  </si>
  <si>
    <t>Change in Hum. %</t>
  </si>
  <si>
    <t>As percent of all</t>
  </si>
  <si>
    <t>As percent of Humanities 4</t>
  </si>
  <si>
    <t>Non0core Humanities Degrees</t>
  </si>
  <si>
    <t>Year as Year</t>
  </si>
  <si>
    <t>Census 20-24 pop from two years earlier</t>
  </si>
  <si>
    <t>Population of College graduating age*</t>
  </si>
  <si>
    <t>Sum of Core Humanities Disciplines</t>
  </si>
  <si>
    <t>Core Humanities as percent of all degrees</t>
  </si>
  <si>
    <t>Languages</t>
  </si>
  <si>
    <t>Men</t>
  </si>
  <si>
    <t>Women</t>
  </si>
  <si>
    <t>*The number used for the college graduating age population is one-fifth of the 20-24 year old population from 2 years earlier.</t>
  </si>
  <si>
    <t>Under .9% adjustment</t>
  </si>
  <si>
    <t>Assuming Unknowns keep constant percentage of total BA and First prof</t>
  </si>
  <si>
    <t>Assuming Unknowns keep constant Percentage of known First-professional</t>
  </si>
  <si>
    <t>Listed Bachelor's Degrees+1st Prof.</t>
  </si>
  <si>
    <t>Total Difference Between Readjusted and Listed</t>
  </si>
  <si>
    <t>Sum of known adjustments</t>
  </si>
  <si>
    <t>Sum of partially known</t>
  </si>
  <si>
    <t>Known as %</t>
  </si>
  <si>
    <t>partially known as %</t>
  </si>
  <si>
    <t>Sum of Unknown Adjustments</t>
  </si>
  <si>
    <t>Unknown as %</t>
  </si>
  <si>
    <t>Dentistry</t>
  </si>
  <si>
    <t>Medicine</t>
  </si>
  <si>
    <t>Law</t>
  </si>
  <si>
    <t>Library Science</t>
  </si>
  <si>
    <t>LibSci BA</t>
  </si>
  <si>
    <t>Theology</t>
  </si>
  <si>
    <t>Theology BA</t>
  </si>
  <si>
    <t>Social Work Administration</t>
  </si>
  <si>
    <t>Better Adjustment</t>
  </si>
  <si>
    <t>Readjustment Bas</t>
  </si>
</sst>
</file>

<file path=xl/styles.xml><?xml version="1.0" encoding="utf-8"?>
<styleSheet xmlns="http://schemas.openxmlformats.org/spreadsheetml/2006/main">
  <numFmts count="3">
    <numFmt numFmtId="0" formatCode="General"/>
    <numFmt numFmtId="59" formatCode="yyyy"/>
    <numFmt numFmtId="60" formatCode="0.000000000000000%"/>
  </numFmts>
  <fonts count="10">
    <font>
      <sz val="10"/>
      <color indexed="8"/>
      <name val="Arial"/>
    </font>
    <font>
      <sz val="12"/>
      <color indexed="8"/>
      <name val="Helvetica Neue"/>
    </font>
    <font>
      <sz val="13"/>
      <color indexed="8"/>
      <name val="Arial"/>
    </font>
    <font>
      <b val="1"/>
      <sz val="13"/>
      <color indexed="8"/>
      <name val="Galliard"/>
    </font>
    <font>
      <sz val="8"/>
      <color indexed="8"/>
      <name val="Galliard"/>
    </font>
    <font>
      <b val="1"/>
      <u val="single"/>
      <sz val="18"/>
      <color indexed="8"/>
      <name val="Galliard"/>
    </font>
    <font>
      <b val="1"/>
      <u val="single"/>
      <sz val="8"/>
      <color indexed="8"/>
      <name val="Galliard"/>
    </font>
    <font>
      <sz val="11"/>
      <color indexed="8"/>
      <name val="Helvetica Neue"/>
    </font>
    <font>
      <sz val="8"/>
      <color indexed="8"/>
      <name val="News Gothic Condensed"/>
    </font>
    <font>
      <b val="1"/>
      <sz val="10"/>
      <color indexed="8"/>
      <name val="Arial"/>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8"/>
        <bgColor auto="1"/>
      </patternFill>
    </fill>
    <fill>
      <patternFill patternType="solid">
        <fgColor indexed="19"/>
        <bgColor auto="1"/>
      </patternFill>
    </fill>
  </fills>
  <borders count="40">
    <border>
      <left/>
      <right/>
      <top/>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8"/>
      </left>
      <right style="thin">
        <color indexed="8"/>
      </right>
      <top/>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8"/>
      </right>
      <top style="thin">
        <color indexed="10"/>
      </top>
      <bottom style="thin">
        <color indexed="10"/>
      </bottom>
      <diagonal/>
    </border>
    <border>
      <left style="thin">
        <color indexed="8"/>
      </left>
      <right style="thin">
        <color indexed="10"/>
      </right>
      <top style="thin">
        <color indexed="10"/>
      </top>
      <bottom/>
      <diagonal/>
    </border>
    <border>
      <left style="thin">
        <color indexed="8"/>
      </left>
      <right>
        <color indexed="8"/>
      </right>
      <top/>
      <bottom style="thin">
        <color indexed="10"/>
      </bottom>
      <diagonal/>
    </border>
    <border>
      <left>
        <color indexed="8"/>
      </left>
      <right style="thin">
        <color indexed="10"/>
      </right>
      <top/>
      <bottom/>
      <diagonal/>
    </border>
    <border>
      <left style="thin">
        <color indexed="10"/>
      </left>
      <right style="thin">
        <color indexed="10"/>
      </right>
      <top/>
      <bottom style="thin">
        <color indexed="10"/>
      </bottom>
      <diagonal/>
    </border>
    <border>
      <left style="thin">
        <color indexed="10"/>
      </left>
      <right style="thin">
        <color indexed="8"/>
      </right>
      <top/>
      <bottom style="thin">
        <color indexed="10"/>
      </bottom>
      <diagonal/>
    </border>
    <border>
      <left style="thin">
        <color indexed="8"/>
      </left>
      <right style="thin">
        <color indexed="10"/>
      </right>
      <top/>
      <bottom/>
      <diagonal/>
    </border>
    <border>
      <left/>
      <right style="thin">
        <color indexed="10"/>
      </right>
      <top style="thin">
        <color indexed="10"/>
      </top>
      <bottom style="thin">
        <color indexed="10"/>
      </bottom>
      <diagonal/>
    </border>
    <border>
      <left/>
      <right style="thin">
        <color indexed="10"/>
      </right>
      <top style="thin">
        <color indexed="10"/>
      </top>
      <bottom/>
      <diagonal/>
    </border>
    <border>
      <left style="thin">
        <color indexed="10"/>
      </left>
      <right style="thin">
        <color indexed="8"/>
      </right>
      <top style="thin">
        <color indexed="10"/>
      </top>
      <bottom/>
      <diagonal/>
    </border>
    <border>
      <left style="thin">
        <color indexed="8"/>
      </left>
      <right>
        <color indexed="8"/>
      </right>
      <top/>
      <bottom/>
      <diagonal/>
    </border>
    <border>
      <left>
        <color indexed="8"/>
      </left>
      <right style="thin">
        <color indexed="8"/>
      </right>
      <top style="thin">
        <color indexed="10"/>
      </top>
      <bottom style="thin">
        <color indexed="10"/>
      </bottom>
      <diagonal/>
    </border>
    <border>
      <left/>
      <right style="thin">
        <color indexed="10"/>
      </right>
      <top/>
      <bottom style="thin">
        <color indexed="10"/>
      </bottom>
      <diagonal/>
    </border>
    <border>
      <left style="thin">
        <color indexed="10"/>
      </left>
      <right/>
      <top style="thin">
        <color indexed="10"/>
      </top>
      <bottom style="thin">
        <color indexed="10"/>
      </bottom>
      <diagonal/>
    </border>
    <border>
      <left/>
      <right/>
      <top/>
      <bottom style="thin">
        <color indexed="10"/>
      </bottom>
      <diagonal/>
    </border>
    <border>
      <left style="thin">
        <color indexed="8"/>
      </left>
      <right/>
      <top/>
      <bottom style="thin">
        <color indexed="10"/>
      </bottom>
      <diagonal/>
    </border>
    <border>
      <left style="thin">
        <color indexed="16"/>
      </left>
      <right style="thin">
        <color indexed="16"/>
      </right>
      <top style="thin">
        <color indexed="16"/>
      </top>
      <bottom style="thin">
        <color indexed="17"/>
      </bottom>
      <diagonal/>
    </border>
    <border>
      <left style="thin">
        <color indexed="16"/>
      </left>
      <right style="thin">
        <color indexed="17"/>
      </right>
      <top style="thin">
        <color indexed="17"/>
      </top>
      <bottom style="thin">
        <color indexed="16"/>
      </bottom>
      <diagonal/>
    </border>
    <border>
      <left style="thin">
        <color indexed="17"/>
      </left>
      <right style="thin">
        <color indexed="16"/>
      </right>
      <top style="thin">
        <color indexed="17"/>
      </top>
      <bottom style="thin">
        <color indexed="16"/>
      </bottom>
      <diagonal/>
    </border>
    <border>
      <left style="thin">
        <color indexed="16"/>
      </left>
      <right style="thin">
        <color indexed="16"/>
      </right>
      <top style="thin">
        <color indexed="17"/>
      </top>
      <bottom style="thin">
        <color indexed="16"/>
      </bottom>
      <diagonal/>
    </border>
    <border>
      <left style="thin">
        <color indexed="16"/>
      </left>
      <right style="thin">
        <color indexed="17"/>
      </right>
      <top style="thin">
        <color indexed="16"/>
      </top>
      <bottom style="thin">
        <color indexed="16"/>
      </bottom>
      <diagonal/>
    </border>
    <border>
      <left style="thin">
        <color indexed="17"/>
      </left>
      <right style="thin">
        <color indexed="16"/>
      </right>
      <top style="thin">
        <color indexed="16"/>
      </top>
      <bottom style="thin">
        <color indexed="16"/>
      </bottom>
      <diagonal/>
    </border>
    <border>
      <left style="thin">
        <color indexed="16"/>
      </left>
      <right style="thin">
        <color indexed="16"/>
      </right>
      <top style="thin">
        <color indexed="16"/>
      </top>
      <bottom style="thin">
        <color indexed="16"/>
      </bottom>
      <diagonal/>
    </border>
    <border>
      <left style="thin">
        <color indexed="10"/>
      </left>
      <right style="thin">
        <color indexed="10"/>
      </right>
      <top style="thin">
        <color indexed="10"/>
      </top>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3" fontId="4" fillId="2" borderId="3" applyNumberFormat="1" applyFont="1" applyFill="1" applyBorder="1" applyAlignment="1" applyProtection="0">
      <alignment horizontal="left" vertical="bottom"/>
    </xf>
    <xf numFmtId="3" fontId="4" fillId="2" borderId="4" applyNumberFormat="1" applyFont="1" applyFill="1" applyBorder="1" applyAlignment="1" applyProtection="0">
      <alignment horizontal="left" vertical="bottom"/>
    </xf>
    <xf numFmtId="0" fontId="0" fillId="3" borderId="5" applyNumberFormat="0" applyFont="1" applyFill="1" applyBorder="1" applyAlignment="1" applyProtection="0">
      <alignment vertical="bottom"/>
    </xf>
    <xf numFmtId="0" fontId="0" fillId="3" borderId="6" applyNumberFormat="0" applyFont="1" applyFill="1" applyBorder="1" applyAlignment="1" applyProtection="0">
      <alignment vertical="bottom"/>
    </xf>
    <xf numFmtId="0" fontId="0" fillId="3" borderId="7" applyNumberFormat="0" applyFont="1" applyFill="1" applyBorder="1" applyAlignment="1" applyProtection="0">
      <alignment vertical="bottom"/>
    </xf>
    <xf numFmtId="0" fontId="0" fillId="3" borderId="8" applyNumberFormat="0" applyFont="1" applyFill="1" applyBorder="1" applyAlignment="1" applyProtection="0">
      <alignment vertical="bottom"/>
    </xf>
    <xf numFmtId="0" fontId="0" fillId="2" borderId="9" applyNumberFormat="0" applyFont="1" applyFill="1" applyBorder="1" applyAlignment="1" applyProtection="0">
      <alignmen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0" applyNumberFormat="0" applyFont="1" applyFill="1" applyBorder="1" applyAlignment="1" applyProtection="0">
      <alignment vertical="bottom"/>
    </xf>
    <xf numFmtId="49" fontId="5" fillId="2" borderId="11" applyNumberFormat="1" applyFont="1" applyFill="1" applyBorder="1" applyAlignment="1" applyProtection="0">
      <alignment horizontal="center" vertical="bottom"/>
    </xf>
    <xf numFmtId="3" fontId="4" fillId="2" borderId="1" applyNumberFormat="1" applyFont="1" applyFill="1" applyBorder="1" applyAlignment="1" applyProtection="0">
      <alignment horizontal="left" vertical="bottom"/>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49" fontId="5" fillId="3" borderId="14" applyNumberFormat="1" applyFont="1" applyFill="1" applyBorder="1" applyAlignment="1" applyProtection="0">
      <alignment horizontal="center" vertical="bottom"/>
    </xf>
    <xf numFmtId="0" fontId="0" fillId="3" borderId="15" applyNumberFormat="0" applyFont="1" applyFill="1" applyBorder="1" applyAlignment="1" applyProtection="0">
      <alignment vertical="bottom"/>
    </xf>
    <xf numFmtId="0" fontId="0" fillId="2" borderId="16"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0" fillId="2" borderId="17" applyNumberFormat="0" applyFont="1" applyFill="1" applyBorder="1" applyAlignment="1" applyProtection="0">
      <alignment vertical="bottom"/>
    </xf>
    <xf numFmtId="3" fontId="6" fillId="2" borderId="11" applyNumberFormat="1" applyFont="1" applyFill="1" applyBorder="1" applyAlignment="1" applyProtection="0">
      <alignment horizontal="left" vertical="bottom"/>
    </xf>
    <xf numFmtId="49" fontId="0" fillId="2" borderId="18" applyNumberFormat="1" applyFont="1" applyFill="1" applyBorder="1" applyAlignment="1" applyProtection="0">
      <alignment vertical="bottom"/>
    </xf>
    <xf numFmtId="0" fontId="0" fillId="2" borderId="19" applyNumberFormat="0" applyFont="1" applyFill="1" applyBorder="1" applyAlignment="1" applyProtection="0">
      <alignment vertical="bottom"/>
    </xf>
    <xf numFmtId="0" fontId="5" fillId="2" borderId="20" applyNumberFormat="0" applyFont="1" applyFill="1" applyBorder="1" applyAlignment="1" applyProtection="0">
      <alignment horizontal="center" vertical="bottom"/>
    </xf>
    <xf numFmtId="0" fontId="0" fillId="2" borderId="21" applyNumberFormat="0" applyFont="1" applyFill="1" applyBorder="1" applyAlignment="1" applyProtection="0">
      <alignment vertical="bottom"/>
    </xf>
    <xf numFmtId="49" fontId="0" fillId="2" borderId="16" applyNumberFormat="1" applyFont="1" applyFill="1" applyBorder="1" applyAlignment="1" applyProtection="0">
      <alignment vertical="bottom"/>
    </xf>
    <xf numFmtId="0" fontId="5" fillId="2" borderId="11" applyNumberFormat="0" applyFont="1" applyFill="1" applyBorder="1" applyAlignment="1" applyProtection="0">
      <alignment horizontal="center" vertical="bottom"/>
    </xf>
    <xf numFmtId="0" fontId="0" fillId="2" borderId="22" applyNumberFormat="0" applyFont="1" applyFill="1" applyBorder="1" applyAlignment="1" applyProtection="0">
      <alignment vertical="bottom"/>
    </xf>
    <xf numFmtId="49" fontId="0" fillId="2" borderId="17" applyNumberFormat="1" applyFont="1" applyFill="1" applyBorder="1" applyAlignment="1" applyProtection="0">
      <alignment vertical="bottom"/>
    </xf>
    <xf numFmtId="49" fontId="0" fillId="4" borderId="13" applyNumberFormat="1" applyFont="1" applyFill="1" applyBorder="1" applyAlignment="1" applyProtection="0">
      <alignment vertical="bottom" wrapText="1"/>
    </xf>
    <xf numFmtId="49" fontId="4" fillId="2" borderId="23" applyNumberFormat="1" applyFont="1" applyFill="1" applyBorder="1" applyAlignment="1" applyProtection="0">
      <alignment horizontal="left" vertical="bottom"/>
    </xf>
    <xf numFmtId="49" fontId="4" fillId="2" borderId="1" applyNumberFormat="1" applyFont="1" applyFill="1" applyBorder="1" applyAlignment="1" applyProtection="0">
      <alignment horizontal="left" vertical="bottom"/>
    </xf>
    <xf numFmtId="49" fontId="0" fillId="2" borderId="24" applyNumberFormat="1" applyFont="1" applyFill="1" applyBorder="1" applyAlignment="1" applyProtection="0">
      <alignment vertical="bottom"/>
    </xf>
    <xf numFmtId="49" fontId="0" fillId="2" borderId="25"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0" fontId="0" fillId="5" borderId="13" applyNumberFormat="1" applyFont="1" applyFill="1" applyBorder="1" applyAlignment="1" applyProtection="0">
      <alignment vertical="bottom"/>
    </xf>
    <xf numFmtId="3" fontId="4" fillId="2" borderId="23" applyNumberFormat="1" applyFont="1" applyFill="1" applyBorder="1" applyAlignment="1" applyProtection="0">
      <alignment horizontal="left" vertical="bottom"/>
    </xf>
    <xf numFmtId="10" fontId="0" fillId="2" borderId="16" applyNumberFormat="1" applyFont="1" applyFill="1" applyBorder="1" applyAlignment="1" applyProtection="0">
      <alignment vertical="bottom"/>
    </xf>
    <xf numFmtId="0" fontId="0" fillId="4" borderId="12" applyNumberFormat="1" applyFont="1" applyFill="1" applyBorder="1" applyAlignment="1" applyProtection="0">
      <alignment vertical="bottom"/>
    </xf>
    <xf numFmtId="0" fontId="0" fillId="4" borderId="26" applyNumberFormat="1" applyFont="1" applyFill="1" applyBorder="1" applyAlignment="1" applyProtection="0">
      <alignment vertical="bottom"/>
    </xf>
    <xf numFmtId="10" fontId="0" fillId="2" borderId="27" applyNumberFormat="1" applyFont="1" applyFill="1" applyBorder="1" applyAlignment="1" applyProtection="0">
      <alignment vertical="bottom"/>
    </xf>
    <xf numFmtId="0" fontId="0" fillId="4" borderId="13" applyNumberFormat="1" applyFont="1" applyFill="1" applyBorder="1" applyAlignment="1" applyProtection="0">
      <alignment vertical="bottom"/>
    </xf>
    <xf numFmtId="0" fontId="0" fillId="2" borderId="23" applyNumberFormat="1" applyFont="1" applyFill="1" applyBorder="1" applyAlignment="1" applyProtection="0">
      <alignment vertical="bottom"/>
    </xf>
    <xf numFmtId="0" fontId="0" fillId="2" borderId="1" applyNumberFormat="1" applyFont="1" applyFill="1" applyBorder="1" applyAlignment="1" applyProtection="0">
      <alignment vertical="bottom"/>
    </xf>
    <xf numFmtId="0" fontId="0" fillId="4" borderId="13" applyNumberFormat="0" applyFont="1" applyFill="1" applyBorder="1" applyAlignment="1" applyProtection="0">
      <alignment vertical="bottom"/>
    </xf>
    <xf numFmtId="0" fontId="0" fillId="2" borderId="23" applyNumberFormat="0" applyFont="1" applyFill="1" applyBorder="1" applyAlignment="1" applyProtection="0">
      <alignment vertical="bottom"/>
    </xf>
    <xf numFmtId="0" fontId="0" fillId="2" borderId="24" applyNumberFormat="1" applyFont="1" applyFill="1" applyBorder="1" applyAlignment="1" applyProtection="0">
      <alignment vertical="bottom"/>
    </xf>
    <xf numFmtId="0" fontId="0" fillId="2" borderId="25" applyNumberFormat="1" applyFont="1" applyFill="1" applyBorder="1" applyAlignment="1" applyProtection="0">
      <alignment vertical="bottom"/>
    </xf>
    <xf numFmtId="0" fontId="0" fillId="6" borderId="14" applyNumberFormat="1" applyFont="1" applyFill="1" applyBorder="1" applyAlignment="1" applyProtection="0">
      <alignment vertical="bottom"/>
    </xf>
    <xf numFmtId="0" fontId="0" fillId="6" borderId="15" applyNumberFormat="1" applyFont="1" applyFill="1" applyBorder="1" applyAlignment="1" applyProtection="0">
      <alignment vertical="bottom"/>
    </xf>
    <xf numFmtId="0" fontId="0" fillId="2" borderId="28" applyNumberFormat="1" applyFont="1" applyFill="1" applyBorder="1" applyAlignment="1" applyProtection="0">
      <alignment vertical="bottom"/>
    </xf>
    <xf numFmtId="0" fontId="0" fillId="2" borderId="21" applyNumberFormat="1" applyFont="1" applyFill="1" applyBorder="1" applyAlignment="1" applyProtection="0">
      <alignment vertical="bottom"/>
    </xf>
    <xf numFmtId="3" fontId="0" fillId="4" borderId="13" applyNumberFormat="1" applyFont="1" applyFill="1" applyBorder="1" applyAlignment="1" applyProtection="0">
      <alignment vertical="bottom"/>
    </xf>
    <xf numFmtId="10" fontId="4" fillId="2" borderId="16" applyNumberFormat="1" applyFont="1" applyFill="1" applyBorder="1" applyAlignment="1" applyProtection="0">
      <alignment vertical="bottom"/>
    </xf>
    <xf numFmtId="0" fontId="4" fillId="4" borderId="12" applyNumberFormat="1" applyFont="1" applyFill="1" applyBorder="1" applyAlignment="1" applyProtection="0">
      <alignment vertical="bottom"/>
    </xf>
    <xf numFmtId="0" fontId="4" fillId="4" borderId="26" applyNumberFormat="1" applyFont="1" applyFill="1" applyBorder="1" applyAlignment="1" applyProtection="0">
      <alignment vertical="bottom"/>
    </xf>
    <xf numFmtId="10" fontId="4" fillId="2" borderId="27" applyNumberFormat="1" applyFont="1" applyFill="1" applyBorder="1" applyAlignment="1" applyProtection="0">
      <alignment vertical="bottom"/>
    </xf>
    <xf numFmtId="0" fontId="4" fillId="4" borderId="13" applyNumberFormat="1" applyFont="1" applyFill="1" applyBorder="1" applyAlignment="1" applyProtection="0">
      <alignment vertical="bottom"/>
    </xf>
    <xf numFmtId="0" fontId="4" fillId="4" borderId="13" applyNumberFormat="0" applyFont="1" applyFill="1" applyBorder="1" applyAlignment="1" applyProtection="0">
      <alignment vertical="bottom"/>
    </xf>
    <xf numFmtId="0" fontId="0" fillId="2" borderId="29" applyNumberFormat="0" applyFont="1" applyFill="1" applyBorder="1" applyAlignment="1" applyProtection="0">
      <alignment vertical="bottom"/>
    </xf>
    <xf numFmtId="0" fontId="0" fillId="4" borderId="14" applyNumberFormat="0" applyFont="1" applyFill="1" applyBorder="1" applyAlignment="1" applyProtection="0">
      <alignment vertical="bottom"/>
    </xf>
    <xf numFmtId="59" fontId="0" fillId="2" borderId="29" applyNumberFormat="1" applyFont="1" applyFill="1" applyBorder="1" applyAlignment="1" applyProtection="0">
      <alignment vertical="bottom"/>
    </xf>
    <xf numFmtId="0" fontId="0" fillId="4" borderId="30"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0" fontId="0" fillId="2" borderId="28" applyNumberFormat="0" applyFont="1" applyFill="1" applyBorder="1" applyAlignment="1" applyProtection="0">
      <alignment vertical="bottom"/>
    </xf>
    <xf numFmtId="0" fontId="0" applyNumberFormat="1" applyFont="1" applyFill="0" applyBorder="0" applyAlignment="1" applyProtection="0">
      <alignment vertical="bottom"/>
    </xf>
    <xf numFmtId="0" fontId="2" applyNumberFormat="0" applyFont="1" applyFill="0" applyBorder="0" applyAlignment="1" applyProtection="0">
      <alignment horizontal="center" vertical="center"/>
    </xf>
    <xf numFmtId="0" fontId="0" fillId="7" borderId="32" applyNumberFormat="0" applyFont="1" applyFill="1" applyBorder="1" applyAlignment="1" applyProtection="0">
      <alignment vertical="bottom"/>
    </xf>
    <xf numFmtId="49" fontId="0" fillId="7" borderId="32" applyNumberFormat="1" applyFont="1" applyFill="1" applyBorder="1" applyAlignment="1" applyProtection="0">
      <alignment vertical="bottom"/>
    </xf>
    <xf numFmtId="59" fontId="0" fillId="8" borderId="33" applyNumberFormat="1" applyFont="1" applyFill="1" applyBorder="1" applyAlignment="1" applyProtection="0">
      <alignment vertical="bottom"/>
    </xf>
    <xf numFmtId="3" fontId="0" borderId="34" applyNumberFormat="1" applyFont="1" applyFill="0" applyBorder="1" applyAlignment="1" applyProtection="0">
      <alignment vertical="bottom"/>
    </xf>
    <xf numFmtId="3" fontId="0" borderId="35" applyNumberFormat="1" applyFont="1" applyFill="0" applyBorder="1" applyAlignment="1" applyProtection="0">
      <alignment vertical="bottom"/>
    </xf>
    <xf numFmtId="0" fontId="0" borderId="35" applyNumberFormat="1" applyFont="1" applyFill="0" applyBorder="1" applyAlignment="1" applyProtection="0">
      <alignment vertical="bottom"/>
    </xf>
    <xf numFmtId="59" fontId="0" fillId="8" borderId="36" applyNumberFormat="1" applyFont="1" applyFill="1" applyBorder="1" applyAlignment="1" applyProtection="0">
      <alignment vertical="bottom"/>
    </xf>
    <xf numFmtId="3" fontId="0" borderId="37" applyNumberFormat="1" applyFont="1" applyFill="0" applyBorder="1" applyAlignment="1" applyProtection="0">
      <alignment vertical="bottom"/>
    </xf>
    <xf numFmtId="3" fontId="0" borderId="38" applyNumberFormat="1" applyFont="1" applyFill="0" applyBorder="1" applyAlignment="1" applyProtection="0">
      <alignment vertical="bottom"/>
    </xf>
    <xf numFmtId="0" fontId="0" borderId="38"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2" borderId="11"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59" fontId="0" fillId="2" borderId="11"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3" fontId="0" fillId="2" borderId="11" applyNumberFormat="1" applyFont="1" applyFill="1" applyBorder="1" applyAlignment="1" applyProtection="0">
      <alignment vertical="bottom"/>
    </xf>
    <xf numFmtId="0" fontId="0" fillId="2" borderId="11" applyNumberFormat="1" applyFont="1" applyFill="1" applyBorder="1" applyAlignment="1" applyProtection="0">
      <alignment vertical="bottom"/>
    </xf>
    <xf numFmtId="10" fontId="0" fillId="2" borderId="11"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39" applyNumberFormat="1" applyFont="1" applyFill="1" applyBorder="1" applyAlignment="1" applyProtection="0">
      <alignment vertical="bottom"/>
    </xf>
    <xf numFmtId="0" fontId="0" fillId="2" borderId="39" applyNumberFormat="0" applyFont="1" applyFill="1" applyBorder="1" applyAlignment="1" applyProtection="0">
      <alignment vertical="bottom"/>
    </xf>
    <xf numFmtId="3" fontId="0" fillId="2" borderId="29" applyNumberFormat="1" applyFont="1" applyFill="1" applyBorder="1" applyAlignment="1" applyProtection="0">
      <alignment vertical="bottom"/>
    </xf>
    <xf numFmtId="3" fontId="0" fillId="9" borderId="14" applyNumberFormat="1" applyFont="1" applyFill="1" applyBorder="1" applyAlignment="1" applyProtection="0">
      <alignment vertical="bottom"/>
    </xf>
    <xf numFmtId="2" fontId="0" fillId="9" borderId="14" applyNumberFormat="1" applyFont="1" applyFill="1" applyBorder="1" applyAlignment="1" applyProtection="0">
      <alignment vertical="bottom"/>
    </xf>
    <xf numFmtId="3" fontId="0" fillId="9" borderId="15" applyNumberFormat="1" applyFont="1" applyFill="1" applyBorder="1" applyAlignment="1" applyProtection="0">
      <alignment vertical="bottom"/>
    </xf>
    <xf numFmtId="3" fontId="8" fillId="2" borderId="10" applyNumberFormat="1" applyFont="1" applyFill="1" applyBorder="1" applyAlignment="1" applyProtection="0">
      <alignment horizontal="right" vertical="top" wrapText="1"/>
    </xf>
    <xf numFmtId="3" fontId="8" fillId="2" borderId="11" applyNumberFormat="1" applyFont="1" applyFill="1" applyBorder="1" applyAlignment="1" applyProtection="0">
      <alignment horizontal="right" vertical="top" wrapText="1"/>
    </xf>
    <xf numFmtId="3" fontId="0" fillId="2" borderId="20" applyNumberFormat="1" applyFont="1" applyFill="1" applyBorder="1" applyAlignment="1" applyProtection="0">
      <alignment vertical="bottom"/>
    </xf>
    <xf numFmtId="2" fontId="0" fillId="2" borderId="20" applyNumberFormat="1" applyFont="1" applyFill="1" applyBorder="1" applyAlignment="1" applyProtection="0">
      <alignment vertical="bottom"/>
    </xf>
    <xf numFmtId="3" fontId="0" fillId="2" borderId="21" applyNumberFormat="1" applyFont="1" applyFill="1" applyBorder="1" applyAlignment="1" applyProtection="0">
      <alignment vertical="bottom"/>
    </xf>
    <xf numFmtId="2" fontId="0" fillId="2" borderId="1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3" applyNumberFormat="1" applyFont="1" applyFill="1" applyBorder="1" applyAlignment="1" applyProtection="0">
      <alignment vertical="bottom"/>
    </xf>
    <xf numFmtId="3" fontId="9" fillId="2" borderId="11" applyNumberFormat="1" applyFont="1" applyFill="1" applyBorder="1" applyAlignment="1" applyProtection="0">
      <alignment vertical="bottom"/>
    </xf>
    <xf numFmtId="60" fontId="0" fillId="2" borderId="11"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99cc"/>
      <rgbColor rgb="ffc0c0c0"/>
      <rgbColor rgb="ff969696"/>
      <rgbColor rgb="ffffff99"/>
      <rgbColor rgb="ffbdc0bf"/>
      <rgbColor rgb="ffa5a5a5"/>
      <rgbColor rgb="ff3f3f3f"/>
      <rgbColor rgb="ffdbdbdb"/>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xdr="http://schemas.openxmlformats.org/drawingml/2006/spreadsheetDrawing"/>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1</xdr:col>
      <xdr:colOff>489136</xdr:colOff>
      <xdr:row>52</xdr:row>
      <xdr:rowOff>109589</xdr:rowOff>
    </xdr:from>
    <xdr:to>
      <xdr:col>17</xdr:col>
      <xdr:colOff>450837</xdr:colOff>
      <xdr:row>55</xdr:row>
      <xdr:rowOff>134009</xdr:rowOff>
    </xdr:to>
    <xdr:sp>
      <xdr:nvSpPr>
        <xdr:cNvPr id="12" name="Shape 12"/>
        <xdr:cNvSpPr txBox="1"/>
      </xdr:nvSpPr>
      <xdr:spPr>
        <a:xfrm>
          <a:off x="1187636" y="8034389"/>
          <a:ext cx="13169702" cy="48162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0" tIns="0" rIns="0" bIns="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ln>
                <a:noFill/>
              </a:ln>
              <a:solidFill>
                <a:srgbClr val="000000"/>
              </a:solidFill>
              <a:uFillTx/>
              <a:latin typeface="Arial"/>
              <a:ea typeface="Arial"/>
              <a:cs typeface="Arial"/>
              <a:sym typeface="Arial"/>
            </a:defRPr>
          </a:pPr>
          <a:r>
            <a:rPr b="0" baseline="0" cap="none" i="0" spc="0" strike="noStrike" sz="1000" u="none">
              <a:ln>
                <a:noFill/>
              </a:ln>
              <a:solidFill>
                <a:srgbClr val="000000"/>
              </a:solidFill>
              <a:uFillTx/>
              <a:latin typeface="Arial"/>
              <a:ea typeface="Arial"/>
              <a:cs typeface="Arial"/>
              <a:sym typeface="Arial"/>
            </a:rPr>
            <a:t>Method used to impute Bachelor's values before 1962: I took the values for the degrees that were overwhelming first professional and subtracted that from the degree total: I then assumed that the remaining uncounted first professional degrees were a constant percentage of the counted first professional degrees.</a:t>
          </a:r>
        </a:p>
      </xdr:txBody>
    </xdr:sp>
    <xdr:clientData/>
  </xdr:twoCellAnchor>
</xdr:wsDr>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AS54"/>
  <sheetViews>
    <sheetView workbookViewId="0" showGridLines="0" defaultGridColor="1"/>
  </sheetViews>
  <sheetFormatPr defaultColWidth="9.16667" defaultRowHeight="15" customHeight="1" outlineLevelRow="0" outlineLevelCol="0"/>
  <cols>
    <col min="1" max="1" width="9.85156" style="1" customWidth="1"/>
    <col min="2" max="2" width="9" style="1" customWidth="1"/>
    <col min="3" max="3" width="8.5" style="1" customWidth="1"/>
    <col min="4" max="4" width="8.5" style="1" customWidth="1"/>
    <col min="5" max="5" width="8.85156" style="1" customWidth="1"/>
    <col min="6" max="6" width="6" style="1" customWidth="1"/>
    <col min="7" max="7" width="7.67188" style="1" customWidth="1"/>
    <col min="8" max="8" width="9.67188" style="1" customWidth="1"/>
    <col min="9" max="9" width="8.85156" style="1" customWidth="1"/>
    <col min="10" max="10" width="6" style="1" customWidth="1"/>
    <col min="11" max="11" width="7.67188" style="1" customWidth="1"/>
    <col min="12" max="12" width="9.67188" style="1" customWidth="1"/>
    <col min="13" max="13" width="5.35156" style="1" customWidth="1"/>
    <col min="14" max="14" width="6.67188" style="1" customWidth="1"/>
    <col min="15" max="15" width="7.17188" style="1" customWidth="1"/>
    <col min="16" max="16" width="6.17188" style="1" customWidth="1"/>
    <col min="17" max="17" width="6.67188" style="1" customWidth="1"/>
    <col min="18" max="18" width="7.17188" style="1" customWidth="1"/>
    <col min="19" max="19" width="4.5" style="1" customWidth="1"/>
    <col min="20" max="20" width="5.5" style="1" customWidth="1"/>
    <col min="21" max="21" width="6" style="1" customWidth="1"/>
    <col min="22" max="22" width="10" style="1" customWidth="1"/>
    <col min="23" max="23" width="7.5" style="1" customWidth="1"/>
    <col min="24" max="24" width="7.5" style="1" customWidth="1"/>
    <col min="25" max="25" width="6" style="1" customWidth="1"/>
    <col min="26" max="26" width="6.5" style="1" customWidth="1"/>
    <col min="27" max="27" width="5.85156" style="1" customWidth="1"/>
    <col min="28" max="28" width="5.17188" style="1" customWidth="1"/>
    <col min="29" max="29" width="6.85156" style="1" customWidth="1"/>
    <col min="30" max="30" width="6.5" style="1" customWidth="1"/>
    <col min="31" max="31" width="6" style="1" customWidth="1"/>
    <col min="32" max="32" width="6.85156" style="1" customWidth="1"/>
    <col min="33" max="33" width="6.5" style="1" customWidth="1"/>
    <col min="34" max="34" width="6" style="1" customWidth="1"/>
    <col min="35" max="35" width="6.85156" style="1" customWidth="1"/>
    <col min="36" max="36" width="6.5" style="1" customWidth="1"/>
    <col min="37" max="37" width="4.5" style="1" customWidth="1"/>
    <col min="38" max="38" width="6.85156" style="1" customWidth="1"/>
    <col min="39" max="39" width="6.5" style="1" customWidth="1"/>
    <col min="40" max="40" width="4.5" style="1" customWidth="1"/>
    <col min="41" max="41" width="6.85156" style="1" customWidth="1"/>
    <col min="42" max="42" width="6.5" style="1" customWidth="1"/>
    <col min="43" max="43" width="14.2734" style="1" customWidth="1"/>
    <col min="44" max="44" width="21.6641" style="1" customWidth="1"/>
    <col min="45" max="45" width="20.6094" style="1" customWidth="1"/>
    <col min="46" max="256" width="9.17188" style="1" customWidth="1"/>
  </cols>
  <sheetData>
    <row r="1" ht="19" customHeight="1">
      <c r="A1" t="s" s="2">
        <v>0</v>
      </c>
      <c r="B1" s="3"/>
      <c r="C1" s="4"/>
      <c r="D1" s="5"/>
      <c r="E1" s="6"/>
      <c r="F1" s="7"/>
      <c r="G1" s="8"/>
      <c r="H1" s="9"/>
      <c r="I1" s="10"/>
      <c r="J1" s="3"/>
      <c r="K1" s="11"/>
      <c r="L1" s="12"/>
      <c r="M1" s="7"/>
      <c r="N1" s="8"/>
      <c r="O1" s="9"/>
      <c r="P1" s="3"/>
      <c r="Q1" s="11"/>
      <c r="R1" s="12"/>
      <c r="S1" s="3"/>
      <c r="T1" s="11"/>
      <c r="U1" s="12"/>
      <c r="V1" s="7"/>
      <c r="W1" s="8"/>
      <c r="X1" s="9"/>
      <c r="Y1" s="3"/>
      <c r="Z1" s="11"/>
      <c r="AA1" s="12"/>
      <c r="AB1" s="7"/>
      <c r="AC1" s="8"/>
      <c r="AD1" s="9"/>
      <c r="AE1" s="3"/>
      <c r="AF1" s="11"/>
      <c r="AG1" s="12"/>
      <c r="AH1" s="7"/>
      <c r="AI1" s="8"/>
      <c r="AJ1" s="9"/>
      <c r="AK1" s="3"/>
      <c r="AL1" s="11"/>
      <c r="AM1" s="12"/>
      <c r="AN1" s="3"/>
      <c r="AO1" s="11"/>
      <c r="AP1" s="12"/>
      <c r="AQ1" s="3"/>
      <c r="AR1" s="11"/>
      <c r="AS1" s="12"/>
    </row>
    <row r="2" ht="25" customHeight="1">
      <c r="A2" s="13"/>
      <c r="B2" s="14"/>
      <c r="C2" t="s" s="15">
        <v>1</v>
      </c>
      <c r="D2" s="16"/>
      <c r="E2" s="17"/>
      <c r="F2" s="18"/>
      <c r="G2" t="s" s="19">
        <v>2</v>
      </c>
      <c r="H2" s="20"/>
      <c r="I2" s="21"/>
      <c r="J2" s="14"/>
      <c r="K2" t="s" s="15">
        <v>3</v>
      </c>
      <c r="L2" s="13"/>
      <c r="M2" s="18"/>
      <c r="N2" t="s" s="19">
        <v>4</v>
      </c>
      <c r="O2" s="20"/>
      <c r="P2" s="14"/>
      <c r="Q2" t="s" s="15">
        <v>5</v>
      </c>
      <c r="R2" s="13"/>
      <c r="S2" s="14"/>
      <c r="T2" t="s" s="15">
        <v>6</v>
      </c>
      <c r="U2" s="13"/>
      <c r="V2" s="18"/>
      <c r="W2" t="s" s="19">
        <v>7</v>
      </c>
      <c r="X2" s="20"/>
      <c r="Y2" s="14"/>
      <c r="Z2" t="s" s="15">
        <v>8</v>
      </c>
      <c r="AA2" s="13"/>
      <c r="AB2" s="18"/>
      <c r="AC2" t="s" s="19">
        <v>9</v>
      </c>
      <c r="AD2" s="20"/>
      <c r="AE2" s="14"/>
      <c r="AF2" t="s" s="15">
        <v>10</v>
      </c>
      <c r="AG2" s="13"/>
      <c r="AH2" s="18"/>
      <c r="AI2" t="s" s="19">
        <v>11</v>
      </c>
      <c r="AJ2" s="20"/>
      <c r="AK2" s="14"/>
      <c r="AL2" t="s" s="15">
        <v>12</v>
      </c>
      <c r="AM2" s="13"/>
      <c r="AN2" s="14"/>
      <c r="AO2" t="s" s="15">
        <v>13</v>
      </c>
      <c r="AP2" s="13"/>
      <c r="AQ2" s="14"/>
      <c r="AR2" t="s" s="15">
        <v>14</v>
      </c>
      <c r="AS2" s="13"/>
    </row>
    <row r="3" ht="25" customHeight="1">
      <c r="A3" t="s" s="22">
        <v>15</v>
      </c>
      <c r="B3" s="23"/>
      <c r="C3" s="24"/>
      <c r="D3" s="16"/>
      <c r="E3" t="s" s="25">
        <v>16</v>
      </c>
      <c r="F3" s="26"/>
      <c r="G3" s="27"/>
      <c r="H3" s="28"/>
      <c r="I3" t="s" s="29">
        <v>17</v>
      </c>
      <c r="J3" s="23"/>
      <c r="K3" s="30"/>
      <c r="L3" s="13"/>
      <c r="M3" s="31"/>
      <c r="N3" s="27"/>
      <c r="O3" s="28"/>
      <c r="P3" s="23"/>
      <c r="Q3" s="30"/>
      <c r="R3" s="13"/>
      <c r="S3" s="23"/>
      <c r="T3" s="30"/>
      <c r="U3" s="13"/>
      <c r="V3" s="31"/>
      <c r="W3" s="27"/>
      <c r="X3" s="28"/>
      <c r="Y3" s="23"/>
      <c r="Z3" s="30"/>
      <c r="AA3" s="13"/>
      <c r="AB3" s="31"/>
      <c r="AC3" s="27"/>
      <c r="AD3" s="28"/>
      <c r="AE3" t="s" s="32">
        <v>18</v>
      </c>
      <c r="AF3" s="30"/>
      <c r="AG3" s="13"/>
      <c r="AH3" s="31"/>
      <c r="AI3" s="27"/>
      <c r="AJ3" s="28"/>
      <c r="AK3" s="23"/>
      <c r="AL3" s="30"/>
      <c r="AM3" s="13"/>
      <c r="AN3" s="23"/>
      <c r="AO3" s="30"/>
      <c r="AP3" s="13"/>
      <c r="AQ3" s="23"/>
      <c r="AR3" s="30"/>
      <c r="AS3" s="13"/>
    </row>
    <row r="4" ht="43" customHeight="1">
      <c r="A4" s="13"/>
      <c r="B4" t="s" s="33">
        <v>19</v>
      </c>
      <c r="C4" t="s" s="34">
        <v>20</v>
      </c>
      <c r="D4" t="s" s="35">
        <v>21</v>
      </c>
      <c r="E4" t="s" s="29">
        <v>22</v>
      </c>
      <c r="F4" t="s" s="33">
        <v>19</v>
      </c>
      <c r="G4" t="s" s="36">
        <v>20</v>
      </c>
      <c r="H4" t="s" s="37">
        <v>21</v>
      </c>
      <c r="I4" t="s" s="29">
        <v>22</v>
      </c>
      <c r="J4" t="s" s="33">
        <v>19</v>
      </c>
      <c r="K4" t="s" s="36">
        <v>20</v>
      </c>
      <c r="L4" t="s" s="37">
        <v>21</v>
      </c>
      <c r="M4" t="s" s="33">
        <v>19</v>
      </c>
      <c r="N4" t="s" s="38">
        <v>20</v>
      </c>
      <c r="O4" t="s" s="22">
        <v>21</v>
      </c>
      <c r="P4" t="s" s="33">
        <v>19</v>
      </c>
      <c r="Q4" t="s" s="38">
        <v>20</v>
      </c>
      <c r="R4" t="s" s="22">
        <v>21</v>
      </c>
      <c r="S4" t="s" s="33">
        <v>19</v>
      </c>
      <c r="T4" t="s" s="38">
        <v>20</v>
      </c>
      <c r="U4" t="s" s="22">
        <v>21</v>
      </c>
      <c r="V4" t="s" s="33">
        <v>19</v>
      </c>
      <c r="W4" t="s" s="38">
        <v>20</v>
      </c>
      <c r="X4" t="s" s="22">
        <v>21</v>
      </c>
      <c r="Y4" t="s" s="33">
        <v>19</v>
      </c>
      <c r="Z4" t="s" s="38">
        <v>20</v>
      </c>
      <c r="AA4" t="s" s="22">
        <v>21</v>
      </c>
      <c r="AB4" t="s" s="33">
        <v>19</v>
      </c>
      <c r="AC4" t="s" s="38">
        <v>20</v>
      </c>
      <c r="AD4" t="s" s="22">
        <v>21</v>
      </c>
      <c r="AE4" t="s" s="33">
        <v>19</v>
      </c>
      <c r="AF4" t="s" s="38">
        <v>20</v>
      </c>
      <c r="AG4" t="s" s="22">
        <v>21</v>
      </c>
      <c r="AH4" t="s" s="33">
        <v>19</v>
      </c>
      <c r="AI4" t="s" s="38">
        <v>20</v>
      </c>
      <c r="AJ4" t="s" s="22">
        <v>21</v>
      </c>
      <c r="AK4" t="s" s="33">
        <v>19</v>
      </c>
      <c r="AL4" t="s" s="38">
        <v>20</v>
      </c>
      <c r="AM4" t="s" s="22">
        <v>21</v>
      </c>
      <c r="AN4" t="s" s="33">
        <v>19</v>
      </c>
      <c r="AO4" t="s" s="38">
        <v>20</v>
      </c>
      <c r="AP4" t="s" s="22">
        <v>21</v>
      </c>
      <c r="AQ4" t="s" s="33">
        <v>19</v>
      </c>
      <c r="AR4" t="s" s="38">
        <v>20</v>
      </c>
      <c r="AS4" t="s" s="22">
        <v>21</v>
      </c>
    </row>
    <row r="5" ht="13.65" customHeight="1">
      <c r="A5" s="39">
        <v>17685</v>
      </c>
      <c r="B5" s="40">
        <v>272144</v>
      </c>
      <c r="C5" s="41">
        <v>175987</v>
      </c>
      <c r="D5" s="16">
        <v>96157</v>
      </c>
      <c r="E5" s="42">
        <f>F5/B5</f>
        <v>0.102247339643718</v>
      </c>
      <c r="F5" s="43">
        <f>SUM(M5,V5,AB5,AH5)</f>
        <v>27826</v>
      </c>
      <c r="G5" s="43">
        <f>SUM(N5,W5,AC5,AI5)</f>
        <v>12655</v>
      </c>
      <c r="H5" s="44">
        <f>SUM(O5,X5,AD5,AJ5)</f>
        <v>15171</v>
      </c>
      <c r="I5" s="45">
        <f>J5/B5</f>
        <v>0.1216635310717855</v>
      </c>
      <c r="J5" s="43">
        <f>SUM(M5,V5,Y5,AB5,AE5,AH5,AK5,AN5)</f>
        <v>33110</v>
      </c>
      <c r="K5" s="43">
        <f>SUM(N5,W5,Z5,AC5,AF5,AI5,AL5,AO5)</f>
        <v>14421</v>
      </c>
      <c r="L5" s="43">
        <f>SUM(O5,X5,AA5,AD5,AG5,AJ5,AM5,AP5)</f>
        <v>18689</v>
      </c>
      <c r="M5" s="46">
        <v>12614</v>
      </c>
      <c r="N5" s="47">
        <v>4392</v>
      </c>
      <c r="O5" s="48">
        <v>8222</v>
      </c>
      <c r="P5" s="46">
        <v>3350</v>
      </c>
      <c r="Q5" s="47">
        <v>2016</v>
      </c>
      <c r="R5" s="48">
        <v>1334</v>
      </c>
      <c r="S5" s="46">
        <v>498</v>
      </c>
      <c r="T5" s="47">
        <v>295</v>
      </c>
      <c r="U5" s="48">
        <v>203</v>
      </c>
      <c r="V5" s="46">
        <f>3743+S5</f>
        <v>4241</v>
      </c>
      <c r="W5" s="47">
        <f>902+T5</f>
        <v>1197</v>
      </c>
      <c r="X5" s="48">
        <f>2841+U5</f>
        <v>3044</v>
      </c>
      <c r="Y5" s="46">
        <f>Z5+AA5</f>
        <v>5284</v>
      </c>
      <c r="Z5" s="47">
        <v>1766</v>
      </c>
      <c r="AA5" s="48">
        <v>3518</v>
      </c>
      <c r="AB5" s="46">
        <v>1726</v>
      </c>
      <c r="AC5" s="47">
        <v>1397</v>
      </c>
      <c r="AD5" s="48">
        <v>329</v>
      </c>
      <c r="AE5" s="49"/>
      <c r="AF5" s="50"/>
      <c r="AG5" s="13"/>
      <c r="AH5" s="46">
        <v>9245</v>
      </c>
      <c r="AI5" s="47">
        <v>5669</v>
      </c>
      <c r="AJ5" s="48">
        <v>3576</v>
      </c>
      <c r="AK5" s="49"/>
      <c r="AL5" s="50"/>
      <c r="AM5" s="13"/>
      <c r="AN5" s="49"/>
      <c r="AO5" s="50"/>
      <c r="AP5" s="13"/>
      <c r="AQ5" s="49"/>
      <c r="AR5" s="50"/>
      <c r="AS5" s="13"/>
    </row>
    <row r="6" ht="13.65" customHeight="1">
      <c r="A6" s="39">
        <v>18050</v>
      </c>
      <c r="B6" s="40">
        <v>366634</v>
      </c>
      <c r="C6" s="41">
        <v>264168</v>
      </c>
      <c r="D6" s="16">
        <v>102466</v>
      </c>
      <c r="E6" s="42">
        <f>F6/B6</f>
        <v>0.08794601700878805</v>
      </c>
      <c r="F6" s="43">
        <f>SUM(M6,V6,AB6,AH6)</f>
        <v>32244</v>
      </c>
      <c r="G6" s="43">
        <f>SUM(N6,W6,AC6,AI6)</f>
        <v>17009</v>
      </c>
      <c r="H6" s="44">
        <f>SUM(O6,X6,AD6,AJ6)</f>
        <v>15235</v>
      </c>
      <c r="I6" s="45">
        <f>J6/B6</f>
        <v>0.1061167267629298</v>
      </c>
      <c r="J6" s="43">
        <f>SUM(M6,V6,Y6,AB6,AE6,AH6,AK6,AN6)</f>
        <v>38906</v>
      </c>
      <c r="K6" s="43">
        <f>SUM(N6,W6,Z6,AC6,AF6,AI6,AL6,AO6)</f>
        <v>19929</v>
      </c>
      <c r="L6" s="43">
        <f>SUM(O6,X6,AA6,AD6,AG6,AJ6,AM6,AP6)</f>
        <v>18977</v>
      </c>
      <c r="M6" s="46">
        <v>14926</v>
      </c>
      <c r="N6" s="47">
        <v>6206</v>
      </c>
      <c r="O6" s="48">
        <v>8720</v>
      </c>
      <c r="P6" s="46">
        <v>4556</v>
      </c>
      <c r="Q6" s="47">
        <v>3335</v>
      </c>
      <c r="R6" s="48">
        <v>1221</v>
      </c>
      <c r="S6" s="46">
        <v>517</v>
      </c>
      <c r="T6" s="47">
        <v>367</v>
      </c>
      <c r="U6" s="48">
        <v>150</v>
      </c>
      <c r="V6" s="46">
        <f>4164+S6</f>
        <v>4681</v>
      </c>
      <c r="W6" s="47">
        <f>1395+T6</f>
        <v>1762</v>
      </c>
      <c r="X6" s="48">
        <f>2769+U6</f>
        <v>2919</v>
      </c>
      <c r="Y6" s="46">
        <v>6662</v>
      </c>
      <c r="Z6" s="47">
        <v>2920</v>
      </c>
      <c r="AA6" s="48">
        <v>3742</v>
      </c>
      <c r="AB6" s="46">
        <v>2146</v>
      </c>
      <c r="AC6" s="47">
        <v>1809</v>
      </c>
      <c r="AD6" s="48">
        <v>337</v>
      </c>
      <c r="AE6" s="49"/>
      <c r="AF6" s="50"/>
      <c r="AG6" s="13"/>
      <c r="AH6" s="46">
        <v>10491</v>
      </c>
      <c r="AI6" s="47">
        <v>7232</v>
      </c>
      <c r="AJ6" s="48">
        <v>3259</v>
      </c>
      <c r="AK6" s="49"/>
      <c r="AL6" s="50"/>
      <c r="AM6" s="13"/>
      <c r="AN6" s="49"/>
      <c r="AO6" s="50"/>
      <c r="AP6" s="13"/>
      <c r="AQ6" s="49"/>
      <c r="AR6" s="50"/>
      <c r="AS6" s="13"/>
    </row>
    <row r="7" ht="13.65" customHeight="1">
      <c r="A7" s="39">
        <v>18415</v>
      </c>
      <c r="B7" s="40">
        <v>433734</v>
      </c>
      <c r="C7" s="41">
        <v>329819</v>
      </c>
      <c r="D7" s="16">
        <v>103915</v>
      </c>
      <c r="E7" s="42">
        <f>F7/B7</f>
        <v>0.08947419386075336</v>
      </c>
      <c r="F7" s="43">
        <f>SUM(M7,V7,AB7,AH7)</f>
        <v>38808</v>
      </c>
      <c r="G7" s="43">
        <f>SUM(N7,W7,AC7,AI7)</f>
        <v>23140</v>
      </c>
      <c r="H7" s="44">
        <f>SUM(O7,X7,AD7,AJ7)</f>
        <v>15668</v>
      </c>
      <c r="I7" s="45">
        <f>J7/B7</f>
        <v>0.1077665112718855</v>
      </c>
      <c r="J7" s="43">
        <f>SUM(M7,V7,Y7,AB7,AE7,AH7,AK7,AN7)</f>
        <v>46742</v>
      </c>
      <c r="K7" s="43">
        <f>SUM(N7,W7,Z7,AC7,AF7,AI7,AL7,AO7)</f>
        <v>27209</v>
      </c>
      <c r="L7" s="43">
        <f>SUM(O7,X7,AA7,AD7,AG7,AJ7,AM7,AP7)</f>
        <v>19533</v>
      </c>
      <c r="M7" s="46">
        <v>17246</v>
      </c>
      <c r="N7" s="47">
        <v>8223</v>
      </c>
      <c r="O7" s="48">
        <v>9023</v>
      </c>
      <c r="P7" s="46">
        <v>4937</v>
      </c>
      <c r="Q7" s="47">
        <v>3848</v>
      </c>
      <c r="R7" s="48">
        <v>1089</v>
      </c>
      <c r="S7" s="46">
        <v>671</v>
      </c>
      <c r="T7" s="47">
        <v>474</v>
      </c>
      <c r="U7" s="48">
        <v>197</v>
      </c>
      <c r="V7" s="46">
        <f>4489+S7</f>
        <v>5160</v>
      </c>
      <c r="W7" s="47">
        <f>1752+T7</f>
        <v>2226</v>
      </c>
      <c r="X7" s="48">
        <f>2737+U7</f>
        <v>2934</v>
      </c>
      <c r="Y7" s="46">
        <v>7934</v>
      </c>
      <c r="Z7" s="47">
        <v>4069</v>
      </c>
      <c r="AA7" s="48">
        <v>3865</v>
      </c>
      <c r="AB7" s="46">
        <v>2835</v>
      </c>
      <c r="AC7" s="47">
        <v>2449</v>
      </c>
      <c r="AD7" s="48">
        <v>386</v>
      </c>
      <c r="AE7" s="49"/>
      <c r="AF7" s="50"/>
      <c r="AG7" s="13"/>
      <c r="AH7" s="46">
        <v>13567</v>
      </c>
      <c r="AI7" s="47">
        <v>10242</v>
      </c>
      <c r="AJ7" s="48">
        <v>3325</v>
      </c>
      <c r="AK7" s="49"/>
      <c r="AL7" s="50"/>
      <c r="AM7" s="13"/>
      <c r="AN7" s="49"/>
      <c r="AO7" s="50"/>
      <c r="AP7" s="13"/>
      <c r="AQ7" s="49"/>
      <c r="AR7" s="50"/>
      <c r="AS7" s="13"/>
    </row>
    <row r="8" ht="13.65" customHeight="1">
      <c r="A8" s="39">
        <v>18780</v>
      </c>
      <c r="B8" s="40">
        <v>384352</v>
      </c>
      <c r="C8" s="41">
        <v>279343</v>
      </c>
      <c r="D8" s="16">
        <v>105009</v>
      </c>
      <c r="E8" s="42">
        <f>F8/B8</f>
        <v>0.09214470069103321</v>
      </c>
      <c r="F8" s="43">
        <f>SUM(M8,V8,AB8,AH8)</f>
        <v>35416</v>
      </c>
      <c r="G8" s="43">
        <f>SUM(N8,W8,AC8,AI8)</f>
        <v>20233</v>
      </c>
      <c r="H8" s="44">
        <f>SUM(O8,X8,AD8,AJ8)</f>
        <v>15183</v>
      </c>
      <c r="I8" s="45">
        <f>J8/B8</f>
        <v>0.1122382607609691</v>
      </c>
      <c r="J8" s="43">
        <f>SUM(M8,V8,Y8,AB8,AE8,AH8,AK8,AN8)</f>
        <v>43139</v>
      </c>
      <c r="K8" s="43">
        <f>SUM(N8,W8,Z8,AC8,AF8,AI8,AL8,AO8)</f>
        <v>23973</v>
      </c>
      <c r="L8" s="43">
        <f>SUM(O8,X8,AA8,AD8,AG8,AJ8,AM8,AP8)</f>
        <v>19166</v>
      </c>
      <c r="M8" s="46">
        <v>15505</v>
      </c>
      <c r="N8" s="47">
        <v>6829</v>
      </c>
      <c r="O8" s="48">
        <v>8676</v>
      </c>
      <c r="P8" s="46">
        <v>3703</v>
      </c>
      <c r="Q8" s="47">
        <v>2684</v>
      </c>
      <c r="R8" s="48">
        <v>1019</v>
      </c>
      <c r="S8" s="46">
        <v>668</v>
      </c>
      <c r="T8" s="47">
        <v>474</v>
      </c>
      <c r="U8" s="48">
        <v>194</v>
      </c>
      <c r="V8" s="46">
        <f>4268+S8</f>
        <v>4936</v>
      </c>
      <c r="W8" s="47">
        <f>1597+T8</f>
        <v>2071</v>
      </c>
      <c r="X8" s="48">
        <f>2671+U8</f>
        <v>2865</v>
      </c>
      <c r="Y8" s="46">
        <v>7723</v>
      </c>
      <c r="Z8" s="47">
        <v>3740</v>
      </c>
      <c r="AA8" s="48">
        <v>3983</v>
      </c>
      <c r="AB8" s="46">
        <v>2654</v>
      </c>
      <c r="AC8" s="47">
        <v>2333</v>
      </c>
      <c r="AD8" s="48">
        <v>321</v>
      </c>
      <c r="AE8" s="49"/>
      <c r="AF8" s="50"/>
      <c r="AG8" s="13"/>
      <c r="AH8" s="46">
        <v>12321</v>
      </c>
      <c r="AI8" s="47">
        <v>9000</v>
      </c>
      <c r="AJ8" s="48">
        <v>3321</v>
      </c>
      <c r="AK8" s="49"/>
      <c r="AL8" s="50"/>
      <c r="AM8" s="13"/>
      <c r="AN8" s="49"/>
      <c r="AO8" s="50"/>
      <c r="AP8" s="13"/>
      <c r="AQ8" s="49"/>
      <c r="AR8" s="50"/>
      <c r="AS8" s="13"/>
    </row>
    <row r="9" ht="13.65" customHeight="1">
      <c r="A9" s="39">
        <v>19146</v>
      </c>
      <c r="B9" s="40">
        <v>331924</v>
      </c>
      <c r="C9" s="41">
        <v>227029</v>
      </c>
      <c r="D9" s="16">
        <v>104892</v>
      </c>
      <c r="E9" s="42">
        <f>F9/B9</f>
        <v>0.09382268230076765</v>
      </c>
      <c r="F9" s="43">
        <f>SUM(M9,V9,AB9,AH9)</f>
        <v>31142</v>
      </c>
      <c r="G9" s="43">
        <f>SUM(N9,W9,AC9,AI9)</f>
        <v>16920</v>
      </c>
      <c r="H9" s="44">
        <f>SUM(O9,X9,AD9,AJ9)</f>
        <v>14222</v>
      </c>
      <c r="I9" s="45">
        <f>J9/B9</f>
        <v>0.1149570383581784</v>
      </c>
      <c r="J9" s="43">
        <f>SUM(M9,V9,Y9,AB9,AE9,AH9,AK9,AN9)</f>
        <v>38157</v>
      </c>
      <c r="K9" s="43">
        <f>SUM(N9,W9,Z9,AC9,AF9,AI9,AL9,AO9)</f>
        <v>19976</v>
      </c>
      <c r="L9" s="43">
        <f>SUM(O9,X9,AA9,AD9,AG9,AJ9,AM9,AP9)</f>
        <v>18181</v>
      </c>
      <c r="M9" s="46">
        <v>14087</v>
      </c>
      <c r="N9" s="47">
        <v>5805</v>
      </c>
      <c r="O9" s="48">
        <v>8282</v>
      </c>
      <c r="P9" s="46">
        <v>2772</v>
      </c>
      <c r="Q9" s="47">
        <v>1959</v>
      </c>
      <c r="R9" s="48">
        <v>813</v>
      </c>
      <c r="S9" s="46">
        <v>683</v>
      </c>
      <c r="T9" s="47">
        <v>476</v>
      </c>
      <c r="U9" s="48">
        <v>207</v>
      </c>
      <c r="V9" s="46">
        <f>4418</f>
        <v>4418</v>
      </c>
      <c r="W9" s="47">
        <f>1706</f>
        <v>1706</v>
      </c>
      <c r="X9" s="48">
        <f>2712</f>
        <v>2712</v>
      </c>
      <c r="Y9" s="46">
        <v>7015</v>
      </c>
      <c r="Z9" s="47">
        <v>3056</v>
      </c>
      <c r="AA9" s="48">
        <v>3959</v>
      </c>
      <c r="AB9" s="46">
        <v>2421</v>
      </c>
      <c r="AC9" s="47">
        <v>2124</v>
      </c>
      <c r="AD9" s="48">
        <v>297</v>
      </c>
      <c r="AE9" s="49"/>
      <c r="AF9" s="50"/>
      <c r="AG9" s="13"/>
      <c r="AH9" s="46">
        <v>10216</v>
      </c>
      <c r="AI9" s="47">
        <v>7285</v>
      </c>
      <c r="AJ9" s="48">
        <v>2931</v>
      </c>
      <c r="AK9" s="49"/>
      <c r="AL9" s="50"/>
      <c r="AM9" s="13"/>
      <c r="AN9" s="49"/>
      <c r="AO9" s="50"/>
      <c r="AP9" s="13"/>
      <c r="AQ9" s="49"/>
      <c r="AR9" s="50"/>
      <c r="AS9" s="13"/>
    </row>
    <row r="10" ht="13.65" customHeight="1">
      <c r="A10" s="39">
        <v>19511</v>
      </c>
      <c r="B10" s="40">
        <v>304857</v>
      </c>
      <c r="C10" s="41">
        <v>200820</v>
      </c>
      <c r="D10" s="16">
        <v>104037</v>
      </c>
      <c r="E10" s="42">
        <f>F10/B10</f>
        <v>0.09470341832400109</v>
      </c>
      <c r="F10" s="43">
        <f>SUM(M10,V10,AB10,AH10)</f>
        <v>28871</v>
      </c>
      <c r="G10" s="43">
        <f>SUM(N10,W10,AC10,AI10)</f>
        <v>15549</v>
      </c>
      <c r="H10" s="44">
        <f>SUM(O10,X10,AD10,AJ10)</f>
        <v>13322</v>
      </c>
      <c r="I10" s="45">
        <f>J10/B10</f>
        <v>0.1161757807759048</v>
      </c>
      <c r="J10" s="43">
        <f>SUM(M10,V10,Y10,AB10,AE10,AH10,AK10,AN10)</f>
        <v>35417</v>
      </c>
      <c r="K10" s="43">
        <f>SUM(N10,W10,Z10,AC10,AF10,AI10,AL10,AO10)</f>
        <v>18214</v>
      </c>
      <c r="L10" s="43">
        <f>SUM(O10,X10,AA10,AD10,AG10,AJ10,AM10,AP10)</f>
        <v>17203</v>
      </c>
      <c r="M10" s="46">
        <v>12667</v>
      </c>
      <c r="N10" s="47">
        <v>4987</v>
      </c>
      <c r="O10" s="48">
        <v>7680</v>
      </c>
      <c r="P10" s="46">
        <v>2535</v>
      </c>
      <c r="Q10" s="47">
        <v>1680</v>
      </c>
      <c r="R10" s="48">
        <v>855</v>
      </c>
      <c r="S10" s="49"/>
      <c r="T10" s="50"/>
      <c r="U10" s="13"/>
      <c r="V10" s="46">
        <v>4068</v>
      </c>
      <c r="W10" s="47">
        <v>1567</v>
      </c>
      <c r="X10" s="48">
        <v>2501</v>
      </c>
      <c r="Y10" s="46">
        <v>6546</v>
      </c>
      <c r="Z10" s="47">
        <v>2665</v>
      </c>
      <c r="AA10" s="48">
        <v>3881</v>
      </c>
      <c r="AB10" s="46">
        <v>2560</v>
      </c>
      <c r="AC10" s="47">
        <v>2282</v>
      </c>
      <c r="AD10" s="48">
        <v>278</v>
      </c>
      <c r="AE10" s="49"/>
      <c r="AF10" s="50"/>
      <c r="AG10" s="13"/>
      <c r="AH10" s="46">
        <v>9576</v>
      </c>
      <c r="AI10" s="47">
        <v>6713</v>
      </c>
      <c r="AJ10" s="48">
        <v>2863</v>
      </c>
      <c r="AK10" s="49"/>
      <c r="AL10" s="50"/>
      <c r="AM10" s="13"/>
      <c r="AN10" s="49"/>
      <c r="AO10" s="50"/>
      <c r="AP10" s="13"/>
      <c r="AQ10" s="49"/>
      <c r="AR10" s="50"/>
      <c r="AS10" s="13"/>
    </row>
    <row r="11" ht="13.65" customHeight="1">
      <c r="A11" s="39">
        <v>19876</v>
      </c>
      <c r="B11" s="40">
        <v>292880</v>
      </c>
      <c r="C11" s="41">
        <v>187500</v>
      </c>
      <c r="D11" s="16">
        <v>105380</v>
      </c>
      <c r="E11" s="42">
        <f>F11/B11</f>
        <v>0.0941989893471729</v>
      </c>
      <c r="F11" s="43">
        <f>SUM(M11,V11,AB11,AH11)</f>
        <v>27589</v>
      </c>
      <c r="G11" s="43">
        <f>SUM(N11,W11,AC11,AI11)</f>
        <v>14202</v>
      </c>
      <c r="H11" s="44">
        <f>SUM(O11,X11,AD11,AJ11)</f>
        <v>13387</v>
      </c>
      <c r="I11" s="45">
        <f>J11/B11</f>
        <v>0.1155012291723573</v>
      </c>
      <c r="J11" s="43">
        <f>SUM(M11,V11,Y11,AB11,AE11,AH11,AK11,AN11)</f>
        <v>33828</v>
      </c>
      <c r="K11" s="43">
        <f>SUM(N11,W11,Z11,AC11,AF11,AI11,AL11,AO11)</f>
        <v>16747</v>
      </c>
      <c r="L11" s="43">
        <f>SUM(O11,X11,AA11,AD11,AG11,AJ11,AM11,AP11)</f>
        <v>17081</v>
      </c>
      <c r="M11" s="46">
        <v>12566</v>
      </c>
      <c r="N11" s="47">
        <v>4729</v>
      </c>
      <c r="O11" s="48">
        <v>7837</v>
      </c>
      <c r="P11" s="46">
        <v>2244</v>
      </c>
      <c r="Q11" s="47">
        <v>1495</v>
      </c>
      <c r="R11" s="48">
        <v>749</v>
      </c>
      <c r="S11" s="46">
        <v>571</v>
      </c>
      <c r="T11" s="47">
        <v>398</v>
      </c>
      <c r="U11" s="48">
        <v>173</v>
      </c>
      <c r="V11" s="46">
        <v>3793</v>
      </c>
      <c r="W11" s="47">
        <v>1473</v>
      </c>
      <c r="X11" s="48">
        <v>2320</v>
      </c>
      <c r="Y11" s="46">
        <v>6239</v>
      </c>
      <c r="Z11" s="47">
        <v>2545</v>
      </c>
      <c r="AA11" s="48">
        <v>3694</v>
      </c>
      <c r="AB11" s="46">
        <v>1845</v>
      </c>
      <c r="AC11" s="47">
        <v>1582</v>
      </c>
      <c r="AD11" s="48">
        <v>263</v>
      </c>
      <c r="AE11" s="49"/>
      <c r="AF11" s="50"/>
      <c r="AG11" s="13"/>
      <c r="AH11" s="46">
        <v>9385</v>
      </c>
      <c r="AI11" s="47">
        <v>6418</v>
      </c>
      <c r="AJ11" s="48">
        <v>2967</v>
      </c>
      <c r="AK11" s="49"/>
      <c r="AL11" s="50"/>
      <c r="AM11" s="13"/>
      <c r="AN11" s="49"/>
      <c r="AO11" s="50"/>
      <c r="AP11" s="13"/>
      <c r="AQ11" s="49"/>
      <c r="AR11" s="50"/>
      <c r="AS11" s="13"/>
    </row>
    <row r="12" ht="13.65" customHeight="1">
      <c r="A12" s="39">
        <v>20241</v>
      </c>
      <c r="B12" s="40">
        <v>287401</v>
      </c>
      <c r="C12" s="41">
        <v>183602</v>
      </c>
      <c r="D12" s="16">
        <v>103799</v>
      </c>
      <c r="E12" s="42">
        <f>F12/B12</f>
        <v>0.09728915348241655</v>
      </c>
      <c r="F12" s="43">
        <f>SUM(M12,V12,AB12,AH12)</f>
        <v>27961</v>
      </c>
      <c r="G12" s="43">
        <f>SUM(N12,W12,AC12,AI12)</f>
        <v>14714</v>
      </c>
      <c r="H12" s="44">
        <f>SUM(O12,X12,AD12,AJ12)</f>
        <v>13247</v>
      </c>
      <c r="I12" s="45">
        <f>J12/B12</f>
        <v>0.1193454441703404</v>
      </c>
      <c r="J12" s="43">
        <f>SUM(M12,V12,Y12,AB12,AE12,AH12,AK12,AN12)</f>
        <v>34300</v>
      </c>
      <c r="K12" s="43">
        <f>SUM(N12,W12,Z12,AC12,AF12,AI12,AL12,AO12)</f>
        <v>17267</v>
      </c>
      <c r="L12" s="43">
        <f>SUM(O12,X12,AA12,AD12,AG12,AJ12,AM12,AP12)</f>
        <v>17033</v>
      </c>
      <c r="M12" s="46">
        <v>13099</v>
      </c>
      <c r="N12" s="47">
        <v>5121</v>
      </c>
      <c r="O12" s="48">
        <v>7978</v>
      </c>
      <c r="P12" s="46">
        <v>2218</v>
      </c>
      <c r="Q12" s="47">
        <v>1418</v>
      </c>
      <c r="R12" s="48">
        <v>800</v>
      </c>
      <c r="S12" s="49"/>
      <c r="T12" s="50"/>
      <c r="U12" s="13"/>
      <c r="V12" s="46">
        <v>3548</v>
      </c>
      <c r="W12" s="47">
        <v>1413</v>
      </c>
      <c r="X12" s="48">
        <v>2135</v>
      </c>
      <c r="Y12" s="46">
        <v>6339</v>
      </c>
      <c r="Z12" s="47">
        <v>2553</v>
      </c>
      <c r="AA12" s="48">
        <v>3786</v>
      </c>
      <c r="AB12" s="46">
        <v>1774</v>
      </c>
      <c r="AC12" s="47">
        <v>1473</v>
      </c>
      <c r="AD12" s="48">
        <v>301</v>
      </c>
      <c r="AE12" s="49"/>
      <c r="AF12" s="50"/>
      <c r="AG12" s="13"/>
      <c r="AH12" s="46">
        <v>9540</v>
      </c>
      <c r="AI12" s="47">
        <v>6707</v>
      </c>
      <c r="AJ12" s="48">
        <v>2833</v>
      </c>
      <c r="AK12" s="49"/>
      <c r="AL12" s="50"/>
      <c r="AM12" s="13"/>
      <c r="AN12" s="49"/>
      <c r="AO12" s="50"/>
      <c r="AP12" s="13"/>
      <c r="AQ12" s="46">
        <v>6400</v>
      </c>
      <c r="AR12" s="47">
        <v>4691</v>
      </c>
      <c r="AS12" s="48">
        <v>1709</v>
      </c>
    </row>
    <row r="13" ht="13.65" customHeight="1">
      <c r="A13" s="39">
        <v>20607</v>
      </c>
      <c r="B13" s="40">
        <v>311298</v>
      </c>
      <c r="C13" s="41">
        <v>199571</v>
      </c>
      <c r="D13" s="16">
        <v>111717</v>
      </c>
      <c r="E13" s="42">
        <f>F13/B13</f>
        <v>0.101487963302045</v>
      </c>
      <c r="F13" s="43">
        <f>SUM(M13,V13,AB13,AH13)</f>
        <v>31593</v>
      </c>
      <c r="G13" s="43">
        <f>SUM(N13,W13,AC13,AI13)</f>
        <v>16724</v>
      </c>
      <c r="H13" s="44">
        <f>SUM(O13,X13,AD13,AJ13)</f>
        <v>14869</v>
      </c>
      <c r="I13" s="45">
        <f>J13/B13</f>
        <v>0.1155034725568426</v>
      </c>
      <c r="J13" s="43">
        <f>SUM(M13,V13,Y13,AB13,AE13,AH13,AK13,AN13)</f>
        <v>35956</v>
      </c>
      <c r="K13" s="43">
        <f>SUM(N13,W13,Z13,AC13,AF13,AI13,AL13,AO13)</f>
        <v>18896</v>
      </c>
      <c r="L13" s="43">
        <f>SUM(O13,X13,AA13,AD13,AG13,AJ13,AM13,AP13)</f>
        <v>17060</v>
      </c>
      <c r="M13" s="46">
        <v>14406</v>
      </c>
      <c r="N13" s="47">
        <v>5530</v>
      </c>
      <c r="O13" s="48">
        <v>8876</v>
      </c>
      <c r="P13" s="46">
        <v>2436</v>
      </c>
      <c r="Q13" s="47">
        <v>1601</v>
      </c>
      <c r="R13" s="48">
        <v>835</v>
      </c>
      <c r="S13" s="46">
        <v>500</v>
      </c>
      <c r="T13" s="47">
        <v>348</v>
      </c>
      <c r="U13" s="48">
        <v>152</v>
      </c>
      <c r="V13" s="46">
        <v>3979</v>
      </c>
      <c r="W13" s="47">
        <v>1512</v>
      </c>
      <c r="X13" s="48">
        <v>2467</v>
      </c>
      <c r="Y13" s="46">
        <v>3070</v>
      </c>
      <c r="Z13" s="47">
        <v>1283</v>
      </c>
      <c r="AA13" s="48">
        <v>1787</v>
      </c>
      <c r="AB13" s="46">
        <v>2668</v>
      </c>
      <c r="AC13" s="47">
        <v>2343</v>
      </c>
      <c r="AD13" s="48">
        <v>325</v>
      </c>
      <c r="AE13" s="46">
        <v>777</v>
      </c>
      <c r="AF13" s="47">
        <v>540</v>
      </c>
      <c r="AG13" s="48">
        <v>237</v>
      </c>
      <c r="AH13" s="46">
        <v>10540</v>
      </c>
      <c r="AI13" s="47">
        <v>7339</v>
      </c>
      <c r="AJ13" s="48">
        <v>3201</v>
      </c>
      <c r="AK13" s="46">
        <v>351</v>
      </c>
      <c r="AL13" s="47">
        <v>245</v>
      </c>
      <c r="AM13" s="48">
        <v>106</v>
      </c>
      <c r="AN13" s="46">
        <v>165</v>
      </c>
      <c r="AO13" s="47">
        <v>104</v>
      </c>
      <c r="AP13" s="48">
        <v>61</v>
      </c>
      <c r="AQ13" s="46">
        <v>2488</v>
      </c>
      <c r="AR13" s="47">
        <v>2021</v>
      </c>
      <c r="AS13" s="48">
        <v>467</v>
      </c>
    </row>
    <row r="14" ht="13.65" customHeight="1">
      <c r="A14" s="39">
        <v>20972</v>
      </c>
      <c r="B14" s="40">
        <v>340347</v>
      </c>
      <c r="C14" s="41">
        <v>222738</v>
      </c>
      <c r="D14" s="16">
        <v>117609</v>
      </c>
      <c r="E14" s="42">
        <f>F14/B14</f>
        <v>0.1007001677699524</v>
      </c>
      <c r="F14" s="43">
        <f>SUM(M14,V14,AB14,AH14)</f>
        <v>34273</v>
      </c>
      <c r="G14" s="43">
        <f>SUM(N14,W14,AC14,AI14)</f>
        <v>18580</v>
      </c>
      <c r="H14" s="44">
        <f>SUM(O14,X14,AD14,AJ14)</f>
        <v>15693</v>
      </c>
      <c r="I14" s="45">
        <f>J14/B14</f>
        <v>0.1139866077855835</v>
      </c>
      <c r="J14" s="43">
        <f>SUM(M14,V14,Y14,AB14,AE14,AH14,AK14,AN14)</f>
        <v>38795</v>
      </c>
      <c r="K14" s="43">
        <f>SUM(N14,W14,Z14,AC14,AF14,AI14,AL14,AO14)</f>
        <v>20733</v>
      </c>
      <c r="L14" s="43">
        <f>SUM(O14,X14,AA14,AD14,AG14,AJ14,AM14,AP14)</f>
        <v>17962</v>
      </c>
      <c r="M14" s="46">
        <v>15426</v>
      </c>
      <c r="N14" s="47">
        <v>6169</v>
      </c>
      <c r="O14" s="48">
        <v>9257</v>
      </c>
      <c r="P14" s="46">
        <v>2572</v>
      </c>
      <c r="Q14" s="47">
        <v>1701</v>
      </c>
      <c r="R14" s="48">
        <v>871</v>
      </c>
      <c r="S14" s="46">
        <v>552</v>
      </c>
      <c r="T14" s="47">
        <v>394</v>
      </c>
      <c r="U14" s="48">
        <v>158</v>
      </c>
      <c r="V14" s="46">
        <v>4322</v>
      </c>
      <c r="W14" s="47">
        <v>1724</v>
      </c>
      <c r="X14" s="48">
        <v>2598</v>
      </c>
      <c r="Y14" s="46">
        <v>3127</v>
      </c>
      <c r="Z14" s="47">
        <v>1318</v>
      </c>
      <c r="AA14" s="48">
        <v>1809</v>
      </c>
      <c r="AB14" s="46">
        <v>2833</v>
      </c>
      <c r="AC14" s="47">
        <v>2526</v>
      </c>
      <c r="AD14" s="48">
        <v>307</v>
      </c>
      <c r="AE14" s="46">
        <v>707</v>
      </c>
      <c r="AF14" s="47">
        <v>462</v>
      </c>
      <c r="AG14" s="48">
        <v>245</v>
      </c>
      <c r="AH14" s="46">
        <v>11692</v>
      </c>
      <c r="AI14" s="47">
        <v>8161</v>
      </c>
      <c r="AJ14" s="48">
        <v>3531</v>
      </c>
      <c r="AK14" s="46">
        <v>401</v>
      </c>
      <c r="AL14" s="47">
        <v>259</v>
      </c>
      <c r="AM14" s="48">
        <v>142</v>
      </c>
      <c r="AN14" s="46">
        <v>287</v>
      </c>
      <c r="AO14" s="47">
        <v>114</v>
      </c>
      <c r="AP14" s="48">
        <v>73</v>
      </c>
      <c r="AQ14" s="46">
        <v>2177</v>
      </c>
      <c r="AR14" s="47">
        <v>1845</v>
      </c>
      <c r="AS14" s="48">
        <v>332</v>
      </c>
    </row>
    <row r="15" ht="13.65" customHeight="1">
      <c r="A15" s="39">
        <v>21337</v>
      </c>
      <c r="B15" s="40">
        <v>365748</v>
      </c>
      <c r="C15" s="41">
        <v>242948</v>
      </c>
      <c r="D15" s="16">
        <v>122800</v>
      </c>
      <c r="E15" s="42">
        <f>F15/B15</f>
        <v>0.1012609775036364</v>
      </c>
      <c r="F15" s="43">
        <f>SUM(M15,V15,AB15,AH15)</f>
        <v>37036</v>
      </c>
      <c r="G15" s="43">
        <f>SUM(N15,W15,AC15,AI15)</f>
        <v>20237</v>
      </c>
      <c r="H15" s="44">
        <f>SUM(O15,X15,AD15,AJ15)</f>
        <v>16799</v>
      </c>
      <c r="I15" s="45">
        <f>J15/B15</f>
        <v>0.1129712260900948</v>
      </c>
      <c r="J15" s="43">
        <f>SUM(M15,V15,Y15,AB15,AE15,AH15,AK15,AN15)</f>
        <v>41319</v>
      </c>
      <c r="K15" s="43">
        <f>SUM(N15,W15,Z15,AC15,AF15,AI15,AL15,AO15)</f>
        <v>22420</v>
      </c>
      <c r="L15" s="43">
        <f>SUM(O15,X15,AA15,AD15,AG15,AJ15,AM15,AP15)</f>
        <v>18899</v>
      </c>
      <c r="M15" s="46">
        <v>16669</v>
      </c>
      <c r="N15" s="47">
        <v>6755</v>
      </c>
      <c r="O15" s="48">
        <v>9914</v>
      </c>
      <c r="P15" s="46">
        <v>2566</v>
      </c>
      <c r="Q15" s="51">
        <v>1684</v>
      </c>
      <c r="R15" s="52">
        <v>882</v>
      </c>
      <c r="S15" s="46">
        <v>576</v>
      </c>
      <c r="T15" s="51">
        <v>399</v>
      </c>
      <c r="U15" s="52">
        <v>177</v>
      </c>
      <c r="V15" s="46">
        <v>4503</v>
      </c>
      <c r="W15" s="47">
        <v>1814</v>
      </c>
      <c r="X15" s="48">
        <v>2689</v>
      </c>
      <c r="Y15" s="46">
        <v>2872</v>
      </c>
      <c r="Z15" s="51">
        <v>1280</v>
      </c>
      <c r="AA15" s="52">
        <v>1592</v>
      </c>
      <c r="AB15" s="46">
        <v>2981</v>
      </c>
      <c r="AC15" s="47">
        <v>2637</v>
      </c>
      <c r="AD15" s="48">
        <v>344</v>
      </c>
      <c r="AE15" s="46">
        <v>710</v>
      </c>
      <c r="AF15" s="51">
        <v>456</v>
      </c>
      <c r="AG15" s="52">
        <v>254</v>
      </c>
      <c r="AH15" s="46">
        <v>12883</v>
      </c>
      <c r="AI15" s="51">
        <v>9031</v>
      </c>
      <c r="AJ15" s="52">
        <v>3852</v>
      </c>
      <c r="AK15" s="46">
        <v>492</v>
      </c>
      <c r="AL15" s="51">
        <v>300</v>
      </c>
      <c r="AM15" s="52">
        <v>192</v>
      </c>
      <c r="AN15" s="46">
        <v>209</v>
      </c>
      <c r="AO15" s="51">
        <v>147</v>
      </c>
      <c r="AP15" s="52">
        <v>62</v>
      </c>
      <c r="AQ15" s="46">
        <v>1410</v>
      </c>
      <c r="AR15" s="51">
        <v>1120</v>
      </c>
      <c r="AS15" s="52">
        <v>290</v>
      </c>
    </row>
    <row r="16" ht="13.65" customHeight="1">
      <c r="A16" s="39">
        <v>21702</v>
      </c>
      <c r="B16" s="40">
        <v>385151</v>
      </c>
      <c r="C16" s="41">
        <v>254969.962</v>
      </c>
      <c r="D16" s="16">
        <v>130181.038</v>
      </c>
      <c r="E16" s="42">
        <f>F16/B16</f>
        <v>0.1037385337179444</v>
      </c>
      <c r="F16" s="43">
        <f>SUM(M16,V16,AB16,AH16)</f>
        <v>39955</v>
      </c>
      <c r="G16" s="43">
        <f>SUM(N16,W16,AC16,AI16)</f>
        <v>21945.694514633957</v>
      </c>
      <c r="H16" s="44">
        <f>SUM(O16,X16,AD16,AJ16)</f>
        <v>18009.305485366043</v>
      </c>
      <c r="I16" s="45">
        <f>J16/B16</f>
        <v>0.1148043234990952</v>
      </c>
      <c r="J16" s="43">
        <f>SUM(M16,V16,Y16,AB16,AE16,AH16,AK16,AN16)</f>
        <v>44217</v>
      </c>
      <c r="K16" s="43">
        <f>SUM(N16,W16,Z16,AC16,AF16,AI16,AL16,AO16)</f>
        <v>24047.014112421170</v>
      </c>
      <c r="L16" s="43">
        <f>SUM(O16,X16,AA16,AD16,AG16,AJ16,AM16,AP16)</f>
        <v>20169.985887578830</v>
      </c>
      <c r="M16" s="46">
        <v>18292</v>
      </c>
      <c r="N16" s="47">
        <v>7828.976</v>
      </c>
      <c r="O16" s="48">
        <v>10463.024</v>
      </c>
      <c r="P16" s="46">
        <v>2475</v>
      </c>
      <c r="Q16" s="53">
        <f>(Q15/P15+Q17/P17)/2*P16</f>
        <v>1576.862228025205</v>
      </c>
      <c r="R16" s="54">
        <f>P16-Q16</f>
        <v>898.137771974795</v>
      </c>
      <c r="S16" s="46">
        <v>674</v>
      </c>
      <c r="T16" s="53">
        <f>(T15/S15+T17/S17)/2*S16</f>
        <v>440.355995046620</v>
      </c>
      <c r="U16" s="54">
        <f>S16-T16</f>
        <v>233.644004953380</v>
      </c>
      <c r="V16" s="46">
        <v>4767</v>
      </c>
      <c r="W16" s="47">
        <v>1863.897</v>
      </c>
      <c r="X16" s="48">
        <v>2903.103</v>
      </c>
      <c r="Y16" s="46">
        <v>2890</v>
      </c>
      <c r="Z16" s="53">
        <f>(Z15/Y15+Z17/Y17)/2*Y16</f>
        <v>1250.446885033169</v>
      </c>
      <c r="AA16" s="54">
        <f>Y16-Z16</f>
        <v>1639.553114966831</v>
      </c>
      <c r="AB16" s="46">
        <v>3154</v>
      </c>
      <c r="AC16" s="47">
        <v>2781.828</v>
      </c>
      <c r="AD16" s="48">
        <v>372.172</v>
      </c>
      <c r="AE16" s="46">
        <v>652</v>
      </c>
      <c r="AF16" s="53">
        <f>(AF15/AE15+AF17/AE17)/2*AE16</f>
        <v>390.3881249762728</v>
      </c>
      <c r="AG16" s="54">
        <f>AE16-AF16</f>
        <v>261.6118750237272</v>
      </c>
      <c r="AH16" s="46">
        <v>13742</v>
      </c>
      <c r="AI16" s="53">
        <f>(AI15/AH15+AI17/AH17)/2*AH16</f>
        <v>9470.993514633958</v>
      </c>
      <c r="AJ16" s="54">
        <f>AH16-AI16</f>
        <v>4271.006485366042</v>
      </c>
      <c r="AK16" s="46">
        <v>494</v>
      </c>
      <c r="AL16" s="53">
        <f>(AL15/AK15+AL17/AK17)/2*AK16</f>
        <v>306.3755218633267</v>
      </c>
      <c r="AM16" s="54">
        <f>AK16-AL16</f>
        <v>187.6244781366733</v>
      </c>
      <c r="AN16" s="46">
        <v>226</v>
      </c>
      <c r="AO16" s="53">
        <f>(AO15/AN15+AO17/AN17)/2*AN16</f>
        <v>154.1090659144469</v>
      </c>
      <c r="AP16" s="54">
        <f>AN16-AO16</f>
        <v>71.89093408555311</v>
      </c>
      <c r="AQ16" s="46">
        <v>1261</v>
      </c>
      <c r="AR16" s="53">
        <f>(AR15/AQ15+AR17/AQ17)/2*AQ16</f>
        <v>934.1153670640581</v>
      </c>
      <c r="AS16" s="54">
        <f>AQ16-AR16</f>
        <v>326.8846329359419</v>
      </c>
    </row>
    <row r="17" ht="13.65" customHeight="1">
      <c r="A17" s="39">
        <v>22068</v>
      </c>
      <c r="B17" s="40">
        <v>394889</v>
      </c>
      <c r="C17" s="41">
        <v>255504</v>
      </c>
      <c r="D17" s="16">
        <v>139385</v>
      </c>
      <c r="E17" s="42">
        <f>F17/B17</f>
        <v>0.1112489838916759</v>
      </c>
      <c r="F17" s="43">
        <f>SUM(M17,V17,AB17,AH17)</f>
        <v>43931</v>
      </c>
      <c r="G17" s="43">
        <f>SUM(N17,W17,AC17,AI17)</f>
        <v>22761</v>
      </c>
      <c r="H17" s="44">
        <f>SUM(O17,X17,AD17,AJ17)</f>
        <v>21170</v>
      </c>
      <c r="I17" s="45">
        <f>J17/B17</f>
        <v>0.1224977145476324</v>
      </c>
      <c r="J17" s="43">
        <f>SUM(M17,V17,Y17,AB17,AE17,AH17,AK17,AN17)</f>
        <v>48373</v>
      </c>
      <c r="K17" s="43">
        <f>SUM(N17,W17,Z17,AC17,AF17,AI17,AL17,AO17)</f>
        <v>24884</v>
      </c>
      <c r="L17" s="43">
        <f>SUM(O17,X17,AA17,AD17,AG17,AJ17,AM17,AP17)</f>
        <v>23489</v>
      </c>
      <c r="M17" s="46">
        <v>20184</v>
      </c>
      <c r="N17" s="47">
        <v>7597</v>
      </c>
      <c r="O17" s="48">
        <v>12587</v>
      </c>
      <c r="P17" s="46">
        <v>2272</v>
      </c>
      <c r="Q17" s="55">
        <v>1404</v>
      </c>
      <c r="R17" s="56">
        <v>868</v>
      </c>
      <c r="S17" s="46">
        <v>715</v>
      </c>
      <c r="T17" s="55">
        <v>439</v>
      </c>
      <c r="U17" s="56">
        <v>276</v>
      </c>
      <c r="V17" s="46">
        <v>5498</v>
      </c>
      <c r="W17" s="47">
        <v>2098</v>
      </c>
      <c r="X17" s="48">
        <v>3400</v>
      </c>
      <c r="Y17" s="46">
        <v>2988</v>
      </c>
      <c r="Z17" s="55">
        <v>1254</v>
      </c>
      <c r="AA17" s="56">
        <v>1734</v>
      </c>
      <c r="AB17" s="46">
        <v>3466</v>
      </c>
      <c r="AC17" s="47">
        <v>3052</v>
      </c>
      <c r="AD17" s="48">
        <v>414</v>
      </c>
      <c r="AE17" s="46">
        <v>742</v>
      </c>
      <c r="AF17" s="55">
        <v>412</v>
      </c>
      <c r="AG17" s="56">
        <v>330</v>
      </c>
      <c r="AH17" s="46">
        <v>14783</v>
      </c>
      <c r="AI17" s="55">
        <v>10014</v>
      </c>
      <c r="AJ17" s="56">
        <v>4769</v>
      </c>
      <c r="AK17" s="46">
        <v>444</v>
      </c>
      <c r="AL17" s="55">
        <v>280</v>
      </c>
      <c r="AM17" s="56">
        <v>164</v>
      </c>
      <c r="AN17" s="46">
        <v>268</v>
      </c>
      <c r="AO17" s="55">
        <v>177</v>
      </c>
      <c r="AP17" s="56">
        <v>91</v>
      </c>
      <c r="AQ17" s="46">
        <v>1119</v>
      </c>
      <c r="AR17" s="55">
        <v>769</v>
      </c>
      <c r="AS17" s="56">
        <v>350</v>
      </c>
    </row>
    <row r="18" ht="13.65" customHeight="1">
      <c r="A18" s="39">
        <v>22433</v>
      </c>
      <c r="B18" s="46">
        <v>365337</v>
      </c>
      <c r="C18" s="41">
        <v>223424</v>
      </c>
      <c r="D18" s="16">
        <v>141910</v>
      </c>
      <c r="E18" s="42">
        <f>F18/B18</f>
        <v>0.1309092700711945</v>
      </c>
      <c r="F18" s="43">
        <f>SUM(M18,V18,AB18,AH18)</f>
        <v>47826</v>
      </c>
      <c r="G18" s="43">
        <f>SUM(N18,W18,AC18,AI18)</f>
        <v>24267</v>
      </c>
      <c r="H18" s="44">
        <f>SUM(O18,X18,AD18,AJ18)</f>
        <v>23559</v>
      </c>
      <c r="I18" s="45">
        <f>J18/B18</f>
        <v>0.1425615253861503</v>
      </c>
      <c r="J18" s="43">
        <f>SUM(M18,V18,Y18,AB18,AE18,AH18,AK18,AN18)</f>
        <v>52083</v>
      </c>
      <c r="K18" s="43">
        <f>SUM(N18,W18,Z18,AC18,AF18,AI18,AL18,AO18)</f>
        <v>26352</v>
      </c>
      <c r="L18" s="43">
        <f>SUM(O18,X18,AA18,AD18,AG18,AJ18,AM18,AP18)</f>
        <v>25731</v>
      </c>
      <c r="M18" s="46">
        <v>21888</v>
      </c>
      <c r="N18" s="47">
        <v>8024</v>
      </c>
      <c r="O18" s="48">
        <v>13864</v>
      </c>
      <c r="P18" s="46">
        <v>2086</v>
      </c>
      <c r="Q18" s="47">
        <v>1340</v>
      </c>
      <c r="R18" s="48">
        <v>746</v>
      </c>
      <c r="S18" s="46">
        <v>690</v>
      </c>
      <c r="T18" s="47">
        <v>395</v>
      </c>
      <c r="U18" s="48">
        <v>295</v>
      </c>
      <c r="V18" s="46">
        <v>6524</v>
      </c>
      <c r="W18" s="47">
        <v>2389</v>
      </c>
      <c r="X18" s="48">
        <v>4135</v>
      </c>
      <c r="Y18" s="46">
        <v>2816</v>
      </c>
      <c r="Z18" s="47">
        <v>1217</v>
      </c>
      <c r="AA18" s="48">
        <v>1599</v>
      </c>
      <c r="AB18" s="46">
        <v>3646</v>
      </c>
      <c r="AC18" s="47">
        <v>3225</v>
      </c>
      <c r="AD18" s="48">
        <v>421</v>
      </c>
      <c r="AE18" s="46">
        <v>794</v>
      </c>
      <c r="AF18" s="47">
        <v>489</v>
      </c>
      <c r="AG18" s="48">
        <v>305</v>
      </c>
      <c r="AH18" s="46">
        <v>15768</v>
      </c>
      <c r="AI18" s="47">
        <v>10629</v>
      </c>
      <c r="AJ18" s="48">
        <v>5139</v>
      </c>
      <c r="AK18" s="46">
        <v>408</v>
      </c>
      <c r="AL18" s="47">
        <v>235</v>
      </c>
      <c r="AM18" s="48">
        <v>173</v>
      </c>
      <c r="AN18" s="46">
        <v>239</v>
      </c>
      <c r="AO18" s="47">
        <v>144</v>
      </c>
      <c r="AP18" s="48">
        <v>95</v>
      </c>
      <c r="AQ18" s="46">
        <v>1171</v>
      </c>
      <c r="AR18" s="47">
        <v>865</v>
      </c>
      <c r="AS18" s="48">
        <v>306</v>
      </c>
    </row>
    <row r="19" ht="13.65" customHeight="1">
      <c r="A19" s="39">
        <v>22798</v>
      </c>
      <c r="B19" s="46">
        <v>382822</v>
      </c>
      <c r="C19" s="41">
        <v>228445</v>
      </c>
      <c r="D19" s="16">
        <v>154377</v>
      </c>
      <c r="E19" s="42">
        <f>F19/B19</f>
        <v>0.139944935244056</v>
      </c>
      <c r="F19" s="43">
        <f>SUM(M19,V19,AB19,AH19)</f>
        <v>53574</v>
      </c>
      <c r="G19" s="43">
        <f>SUM(N19,W19,AC19,AI19)</f>
        <v>26013</v>
      </c>
      <c r="H19" s="44">
        <f>SUM(O19,X19,AD19,AJ19)</f>
        <v>27561</v>
      </c>
      <c r="I19" s="45">
        <f>J19/B19</f>
        <v>0.1519714123012784</v>
      </c>
      <c r="J19" s="43">
        <f>SUM(M19,V19,Y19,AB19,AE19,AH19,AK19,AN19)</f>
        <v>58178</v>
      </c>
      <c r="K19" s="43">
        <f>SUM(N19,W19,Z19,AC19,AF19,AI19,AL19,AO19)</f>
        <v>28258</v>
      </c>
      <c r="L19" s="43">
        <f>SUM(O19,X19,AA19,AD19,AG19,AJ19,AM19,AP19)</f>
        <v>29920</v>
      </c>
      <c r="M19" s="46">
        <v>24412</v>
      </c>
      <c r="N19" s="47">
        <v>8553</v>
      </c>
      <c r="O19" s="48">
        <v>15859</v>
      </c>
      <c r="P19" s="46">
        <v>2098</v>
      </c>
      <c r="Q19" s="47">
        <v>1291</v>
      </c>
      <c r="R19" s="48">
        <v>807</v>
      </c>
      <c r="S19" s="46">
        <v>886</v>
      </c>
      <c r="T19" s="47">
        <v>519</v>
      </c>
      <c r="U19" s="48">
        <v>367</v>
      </c>
      <c r="V19" s="46">
        <v>8032</v>
      </c>
      <c r="W19" s="47">
        <v>2777</v>
      </c>
      <c r="X19" s="48">
        <v>5255</v>
      </c>
      <c r="Y19" s="46">
        <v>2892</v>
      </c>
      <c r="Z19" s="47">
        <v>1210</v>
      </c>
      <c r="AA19" s="48">
        <v>1682</v>
      </c>
      <c r="AB19" s="46">
        <v>3725</v>
      </c>
      <c r="AC19" s="47">
        <v>3254</v>
      </c>
      <c r="AD19" s="48">
        <v>471</v>
      </c>
      <c r="AE19" s="46">
        <v>861</v>
      </c>
      <c r="AF19" s="47">
        <v>510</v>
      </c>
      <c r="AG19" s="48">
        <v>351</v>
      </c>
      <c r="AH19" s="46">
        <v>17405</v>
      </c>
      <c r="AI19" s="47">
        <v>11429</v>
      </c>
      <c r="AJ19" s="48">
        <v>5976</v>
      </c>
      <c r="AK19" s="46">
        <v>509</v>
      </c>
      <c r="AL19" s="47">
        <v>291</v>
      </c>
      <c r="AM19" s="48">
        <v>218</v>
      </c>
      <c r="AN19" s="46">
        <v>342</v>
      </c>
      <c r="AO19" s="47">
        <v>234</v>
      </c>
      <c r="AP19" s="48">
        <v>108</v>
      </c>
      <c r="AQ19" s="46">
        <v>967</v>
      </c>
      <c r="AR19" s="47">
        <v>722</v>
      </c>
      <c r="AS19" s="48">
        <v>245</v>
      </c>
    </row>
    <row r="20" ht="13.65" customHeight="1">
      <c r="A20" s="39">
        <v>23163</v>
      </c>
      <c r="B20" s="46">
        <v>410421</v>
      </c>
      <c r="C20" s="41">
        <v>239108</v>
      </c>
      <c r="D20" s="16">
        <v>171313</v>
      </c>
      <c r="E20" s="42">
        <f>F20/B20</f>
        <v>0.1513202297153411</v>
      </c>
      <c r="F20" s="43">
        <f>SUM(M20,V20,AB20,AH20)</f>
        <v>62105</v>
      </c>
      <c r="G20" s="43">
        <f>SUM(N20,W20,AC20,AI20)</f>
        <v>29286</v>
      </c>
      <c r="H20" s="44">
        <f>SUM(O20,X20,AD20,AJ20)</f>
        <v>32819</v>
      </c>
      <c r="I20" s="45">
        <f>J20/B20</f>
        <v>0.1626232575818489</v>
      </c>
      <c r="J20" s="43">
        <f>SUM(M20,V20,Y20,AB20,AE20,AH20,AK20,AN20)</f>
        <v>66744</v>
      </c>
      <c r="K20" s="43">
        <f>SUM(N20,W20,Z20,AC20,AF20,AI20,AL20,AO20)</f>
        <v>31476</v>
      </c>
      <c r="L20" s="43">
        <f>SUM(O20,X20,AA20,AD20,AG20,AJ20,AM20,AP20)</f>
        <v>35268</v>
      </c>
      <c r="M20" s="46">
        <v>28088</v>
      </c>
      <c r="N20" s="47">
        <v>9550</v>
      </c>
      <c r="O20" s="48">
        <v>18538</v>
      </c>
      <c r="P20" s="46">
        <v>2189</v>
      </c>
      <c r="Q20" s="51">
        <v>1307</v>
      </c>
      <c r="R20" s="52">
        <v>882</v>
      </c>
      <c r="S20" s="46">
        <v>913</v>
      </c>
      <c r="T20" s="47">
        <v>488</v>
      </c>
      <c r="U20" s="48">
        <v>425</v>
      </c>
      <c r="V20" s="46">
        <v>9861</v>
      </c>
      <c r="W20" s="47">
        <v>3240</v>
      </c>
      <c r="X20" s="48">
        <v>6621</v>
      </c>
      <c r="Y20" s="46">
        <v>3034</v>
      </c>
      <c r="Z20" s="47">
        <v>1263</v>
      </c>
      <c r="AA20" s="48">
        <v>1771</v>
      </c>
      <c r="AB20" s="46">
        <v>4085</v>
      </c>
      <c r="AC20" s="47">
        <v>3545</v>
      </c>
      <c r="AD20" s="48">
        <v>540</v>
      </c>
      <c r="AE20" s="46">
        <v>742</v>
      </c>
      <c r="AF20" s="47">
        <v>435</v>
      </c>
      <c r="AG20" s="48">
        <v>307</v>
      </c>
      <c r="AH20" s="46">
        <v>20071</v>
      </c>
      <c r="AI20" s="51">
        <v>12951</v>
      </c>
      <c r="AJ20" s="52">
        <v>7120</v>
      </c>
      <c r="AK20" s="46">
        <v>529</v>
      </c>
      <c r="AL20" s="47">
        <v>292</v>
      </c>
      <c r="AM20" s="48">
        <v>237</v>
      </c>
      <c r="AN20" s="46">
        <v>334</v>
      </c>
      <c r="AO20" s="47">
        <v>200</v>
      </c>
      <c r="AP20" s="48">
        <v>134</v>
      </c>
      <c r="AQ20" s="46">
        <v>990</v>
      </c>
      <c r="AR20" s="47">
        <v>709</v>
      </c>
      <c r="AS20" s="48">
        <v>281</v>
      </c>
    </row>
    <row r="21" ht="13.65" customHeight="1">
      <c r="A21" s="39">
        <v>23529</v>
      </c>
      <c r="B21" s="46">
        <v>460467</v>
      </c>
      <c r="C21" s="41">
        <v>263121</v>
      </c>
      <c r="D21" s="16">
        <v>197346</v>
      </c>
      <c r="E21" s="42">
        <f>F21/B21</f>
        <v>0.1593796802811059</v>
      </c>
      <c r="F21" s="43">
        <f>SUM(M21,V21,AB21,AH21)</f>
        <v>73389.083240000007</v>
      </c>
      <c r="G21" s="43">
        <f>SUM(N21,W21,AC21,AI21)</f>
        <v>34027.379306432449</v>
      </c>
      <c r="H21" s="44">
        <f>SUM(O21,X21,AD21,AJ21)</f>
        <v>39361.703933567551</v>
      </c>
      <c r="I21" s="45">
        <f>J21/B21</f>
        <v>0.1593796802811059</v>
      </c>
      <c r="J21" s="43">
        <f>SUM(M21,V21,Y21,AB21,AE21,AH21,AK21,AN21)</f>
        <v>73389.083240000007</v>
      </c>
      <c r="K21" s="43">
        <f>SUM(N21,W21,Z21,AC21,AF21,AI21,AL21,AO21)</f>
        <v>34027.379306432449</v>
      </c>
      <c r="L21" s="43">
        <f>SUM(O21,X21,AA21,AD21,AG21,AJ21,AM21,AP21)</f>
        <v>39361.703933567551</v>
      </c>
      <c r="M21" s="46">
        <f>35233-P21</f>
        <v>32731.457</v>
      </c>
      <c r="N21" s="47">
        <f>12426-Q21</f>
        <v>10938.454728619261</v>
      </c>
      <c r="O21" s="48">
        <f>22807-R21</f>
        <v>21793.002271380741</v>
      </c>
      <c r="P21" s="46">
        <v>2501.543</v>
      </c>
      <c r="Q21" s="53">
        <f>(Q20/P20+Q22/P22)/2*P21</f>
        <v>1487.545271380739</v>
      </c>
      <c r="R21" s="54">
        <f>P21-Q21</f>
        <v>1013.997728619260</v>
      </c>
      <c r="S21" s="49"/>
      <c r="T21" s="50"/>
      <c r="U21" s="13"/>
      <c r="V21" s="46">
        <v>12363</v>
      </c>
      <c r="W21" s="47">
        <v>3688</v>
      </c>
      <c r="X21" s="48">
        <v>8675</v>
      </c>
      <c r="Y21" s="49"/>
      <c r="Z21" s="50"/>
      <c r="AA21" s="13"/>
      <c r="AB21" s="46">
        <v>4810</v>
      </c>
      <c r="AC21" s="47">
        <v>4183</v>
      </c>
      <c r="AD21" s="48">
        <v>627</v>
      </c>
      <c r="AE21" s="49"/>
      <c r="AF21" s="50"/>
      <c r="AG21" s="13"/>
      <c r="AH21" s="46">
        <f>SUM(AB21,V21,M21,23485)*0.32</f>
        <v>23484.62624</v>
      </c>
      <c r="AI21" s="53">
        <f>(AI20/AH20+AI22/AH22)/2*AH21</f>
        <v>15217.924577813188</v>
      </c>
      <c r="AJ21" s="54">
        <f>AH21-AI21</f>
        <v>8266.701662186810</v>
      </c>
      <c r="AK21" s="49"/>
      <c r="AL21" s="50"/>
      <c r="AM21" s="13"/>
      <c r="AN21" s="49"/>
      <c r="AO21" s="50"/>
      <c r="AP21" s="13"/>
      <c r="AQ21" s="49"/>
      <c r="AR21" s="50"/>
      <c r="AS21" s="13"/>
    </row>
    <row r="22" ht="13.65" customHeight="1">
      <c r="A22" s="39">
        <v>23894</v>
      </c>
      <c r="B22" s="46">
        <v>492984</v>
      </c>
      <c r="C22" s="41">
        <v>279777</v>
      </c>
      <c r="D22" s="16">
        <v>213207</v>
      </c>
      <c r="E22" s="42">
        <f>F22/B22</f>
        <v>0.1641797705402204</v>
      </c>
      <c r="F22" s="43">
        <f>SUM(M22,V22,AB22,AH22)</f>
        <v>80938</v>
      </c>
      <c r="G22" s="43">
        <f>SUM(N22,W22,AC22,AI22)</f>
        <v>37513</v>
      </c>
      <c r="H22" s="44">
        <f>SUM(O22,X22,AD22,AJ22)</f>
        <v>43425</v>
      </c>
      <c r="I22" s="45">
        <f>J22/B22</f>
        <v>0.1710420622170294</v>
      </c>
      <c r="J22" s="43">
        <f>SUM(M22,V22,Y22,AB22,AE22,AH22,AK22,AN22)</f>
        <v>84321</v>
      </c>
      <c r="K22" s="43">
        <f>SUM(N22,W22,Z22,AC22,AF22,AI22,AL22,AO22)</f>
        <v>38930</v>
      </c>
      <c r="L22" s="43">
        <f>SUM(O22,X22,AA22,AD22,AG22,AJ22,AM22,AP22)</f>
        <v>45391</v>
      </c>
      <c r="M22" s="46">
        <v>36183</v>
      </c>
      <c r="N22" s="47">
        <v>12360</v>
      </c>
      <c r="O22" s="48">
        <v>23823</v>
      </c>
      <c r="P22" s="46">
        <v>2727</v>
      </c>
      <c r="Q22" s="55">
        <v>1615</v>
      </c>
      <c r="R22" s="56">
        <v>1112</v>
      </c>
      <c r="S22" s="46">
        <v>1114</v>
      </c>
      <c r="T22" s="47">
        <v>557</v>
      </c>
      <c r="U22" s="48">
        <v>557</v>
      </c>
      <c r="V22" s="46">
        <v>14091</v>
      </c>
      <c r="W22" s="47">
        <v>4154</v>
      </c>
      <c r="X22" s="48">
        <v>9937</v>
      </c>
      <c r="Y22" s="46">
        <v>3383</v>
      </c>
      <c r="Z22" s="47">
        <v>1417</v>
      </c>
      <c r="AA22" s="48">
        <v>1966</v>
      </c>
      <c r="AB22" s="46">
        <v>4810</v>
      </c>
      <c r="AC22" s="47">
        <v>4175</v>
      </c>
      <c r="AD22" s="48">
        <v>635</v>
      </c>
      <c r="AE22" s="49"/>
      <c r="AF22" s="50"/>
      <c r="AG22" s="13"/>
      <c r="AH22" s="46">
        <v>25854</v>
      </c>
      <c r="AI22" s="55">
        <v>16824</v>
      </c>
      <c r="AJ22" s="56">
        <v>9030</v>
      </c>
      <c r="AK22" s="49"/>
      <c r="AL22" s="50"/>
      <c r="AM22" s="13"/>
      <c r="AN22" s="49"/>
      <c r="AO22" s="50"/>
      <c r="AP22" s="13"/>
      <c r="AQ22" s="49"/>
      <c r="AR22" s="50"/>
      <c r="AS22" s="13"/>
    </row>
    <row r="23" ht="13.65" customHeight="1">
      <c r="A23" s="39">
        <v>24259</v>
      </c>
      <c r="B23" s="46">
        <v>524117</v>
      </c>
      <c r="C23" s="41">
        <v>301051</v>
      </c>
      <c r="D23" s="16">
        <v>223066</v>
      </c>
      <c r="E23" s="42">
        <f>F23/B23</f>
        <v>0.1688611512314998</v>
      </c>
      <c r="F23" s="43">
        <f>SUM(M23,V23,AB23,AH23)</f>
        <v>88503</v>
      </c>
      <c r="G23" s="43">
        <f>SUM(N23,W23,AC23,AI23)</f>
        <v>40912</v>
      </c>
      <c r="H23" s="44">
        <f>SUM(O23,X23,AD23,AJ23)</f>
        <v>47591</v>
      </c>
      <c r="I23" s="45">
        <f>J23/B23</f>
        <v>0.1801219956612741</v>
      </c>
      <c r="J23" s="43">
        <f>SUM(M23,V23,Y23,AB23,AE23,AH23,AK23,AN23)</f>
        <v>94405</v>
      </c>
      <c r="K23" s="43">
        <f>SUM(N23,W23,Z23,AC23,AF23,AI23,AL23,AO23)</f>
        <v>43809</v>
      </c>
      <c r="L23" s="43">
        <f>SUM(O23,X23,AA23,AD23,AG23,AJ23,AM23,AP23)</f>
        <v>50596</v>
      </c>
      <c r="M23" s="46">
        <v>39190</v>
      </c>
      <c r="N23" s="47">
        <v>13244</v>
      </c>
      <c r="O23" s="48">
        <v>25946</v>
      </c>
      <c r="P23" s="46">
        <v>3131</v>
      </c>
      <c r="Q23" s="47">
        <v>1910</v>
      </c>
      <c r="R23" s="48">
        <v>1221</v>
      </c>
      <c r="S23" s="46">
        <v>1245</v>
      </c>
      <c r="T23" s="47">
        <v>634</v>
      </c>
      <c r="U23" s="48">
        <v>611</v>
      </c>
      <c r="V23" s="46">
        <v>15519</v>
      </c>
      <c r="W23" s="47">
        <v>4545</v>
      </c>
      <c r="X23" s="48">
        <v>10974</v>
      </c>
      <c r="Y23" s="46">
        <v>3537</v>
      </c>
      <c r="Z23" s="47">
        <v>1531</v>
      </c>
      <c r="AA23" s="48">
        <v>2006</v>
      </c>
      <c r="AB23" s="46">
        <v>5024</v>
      </c>
      <c r="AC23" s="47">
        <v>4294</v>
      </c>
      <c r="AD23" s="48">
        <v>730</v>
      </c>
      <c r="AE23" s="46">
        <v>1123</v>
      </c>
      <c r="AF23" s="47">
        <v>717</v>
      </c>
      <c r="AG23" s="48">
        <v>406</v>
      </c>
      <c r="AH23" s="46">
        <v>28770</v>
      </c>
      <c r="AI23" s="47">
        <v>18829</v>
      </c>
      <c r="AJ23" s="48">
        <v>9941</v>
      </c>
      <c r="AK23" s="46">
        <v>737</v>
      </c>
      <c r="AL23" s="47">
        <v>388</v>
      </c>
      <c r="AM23" s="48">
        <v>349</v>
      </c>
      <c r="AN23" s="46">
        <v>505</v>
      </c>
      <c r="AO23" s="47">
        <v>261</v>
      </c>
      <c r="AP23" s="48">
        <v>244</v>
      </c>
      <c r="AQ23" s="46">
        <v>1526</v>
      </c>
      <c r="AR23" s="47">
        <v>837</v>
      </c>
      <c r="AS23" s="48">
        <v>689</v>
      </c>
    </row>
    <row r="24" ht="13.65" customHeight="1">
      <c r="A24" s="39">
        <v>24624</v>
      </c>
      <c r="B24" s="46">
        <v>562369</v>
      </c>
      <c r="C24" s="41">
        <v>324236</v>
      </c>
      <c r="D24" s="16">
        <v>238133</v>
      </c>
      <c r="E24" s="42">
        <f>F24/B24</f>
        <v>0.1718942544841554</v>
      </c>
      <c r="F24" s="43">
        <f>SUM(M24,V24,AB24,AH24)</f>
        <v>96668</v>
      </c>
      <c r="G24" s="43">
        <f>SUM(N24,W24,AC24,AI24)</f>
        <v>44771</v>
      </c>
      <c r="H24" s="44">
        <f>SUM(O24,X24,AD24,AJ24)</f>
        <v>51897</v>
      </c>
      <c r="I24" s="45">
        <f>J24/B24</f>
        <v>0.1832817954047965</v>
      </c>
      <c r="J24" s="43">
        <f>SUM(M24,V24,Y24,AB24,AE24,AH24,AK24,AN24)</f>
        <v>103072</v>
      </c>
      <c r="K24" s="43">
        <f>SUM(N24,W24,Z24,AC24,AF24,AI24,AL24,AO24)</f>
        <v>47921</v>
      </c>
      <c r="L24" s="43">
        <f>SUM(O24,X24,AA24,AD24,AG24,AJ24,AM24,AP24)</f>
        <v>55151</v>
      </c>
      <c r="M24" s="46">
        <v>42430</v>
      </c>
      <c r="N24" s="47">
        <v>14600</v>
      </c>
      <c r="O24" s="48">
        <v>27830</v>
      </c>
      <c r="P24" s="46">
        <v>3519</v>
      </c>
      <c r="Q24" s="47">
        <v>2143</v>
      </c>
      <c r="R24" s="48">
        <v>1376</v>
      </c>
      <c r="S24" s="46">
        <v>1086</v>
      </c>
      <c r="T24" s="47">
        <v>565</v>
      </c>
      <c r="U24" s="48">
        <v>521</v>
      </c>
      <c r="V24" s="46">
        <v>17025</v>
      </c>
      <c r="W24" s="47">
        <v>4841</v>
      </c>
      <c r="X24" s="48">
        <v>12184</v>
      </c>
      <c r="Y24" s="46">
        <v>3870</v>
      </c>
      <c r="Z24" s="47">
        <v>1707</v>
      </c>
      <c r="AA24" s="48">
        <v>2163</v>
      </c>
      <c r="AB24" s="46">
        <v>5420</v>
      </c>
      <c r="AC24" s="47">
        <v>4601</v>
      </c>
      <c r="AD24" s="48">
        <v>819</v>
      </c>
      <c r="AE24" s="46">
        <v>1180</v>
      </c>
      <c r="AF24" s="47">
        <v>752</v>
      </c>
      <c r="AG24" s="48">
        <v>428</v>
      </c>
      <c r="AH24" s="46">
        <v>31793</v>
      </c>
      <c r="AI24" s="47">
        <v>20729</v>
      </c>
      <c r="AJ24" s="48">
        <v>11064</v>
      </c>
      <c r="AK24" s="46">
        <v>763</v>
      </c>
      <c r="AL24" s="47">
        <v>364</v>
      </c>
      <c r="AM24" s="48">
        <v>399</v>
      </c>
      <c r="AN24" s="46">
        <v>591</v>
      </c>
      <c r="AO24" s="47">
        <v>327</v>
      </c>
      <c r="AP24" s="48">
        <v>264</v>
      </c>
      <c r="AQ24" s="46">
        <v>1495</v>
      </c>
      <c r="AR24" s="47">
        <v>843</v>
      </c>
      <c r="AS24" s="48">
        <v>652</v>
      </c>
    </row>
    <row r="25" ht="13.65" customHeight="1">
      <c r="A25" s="39">
        <v>24990</v>
      </c>
      <c r="B25" s="46">
        <v>636863</v>
      </c>
      <c r="C25" s="41">
        <v>359747</v>
      </c>
      <c r="D25" s="16">
        <v>277116</v>
      </c>
      <c r="E25" s="42">
        <f>F25/B25</f>
        <v>0.170887616331927</v>
      </c>
      <c r="F25" s="43">
        <f>SUM(M25,V25,AB25,AH25)</f>
        <v>108832</v>
      </c>
      <c r="G25" s="43">
        <f>SUM(N25,W25,AC25,AI25)</f>
        <v>48705</v>
      </c>
      <c r="H25" s="44">
        <f>SUM(O25,X25,AD25,AJ25)</f>
        <v>60127</v>
      </c>
      <c r="I25" s="45">
        <f>J25/B25</f>
        <v>0.170887616331927</v>
      </c>
      <c r="J25" s="43">
        <f>SUM(M25,V25,Y25,AB25,AE25,AH25,AK25,AN25)</f>
        <v>108832</v>
      </c>
      <c r="K25" s="43">
        <f>SUM(N25,W25,Z25,AC25,AF25,AI25,AL25,AO25)</f>
        <v>48705</v>
      </c>
      <c r="L25" s="43">
        <f>SUM(O25,X25,AA25,AD25,AG25,AJ25,AM25,AP25)</f>
        <v>60127</v>
      </c>
      <c r="M25" s="46">
        <f>N25+O25</f>
        <v>48126</v>
      </c>
      <c r="N25" s="47">
        <v>15735</v>
      </c>
      <c r="O25" s="48">
        <v>32391</v>
      </c>
      <c r="P25" s="49"/>
      <c r="Q25" s="50"/>
      <c r="R25" s="13"/>
      <c r="S25" s="49"/>
      <c r="T25" s="50"/>
      <c r="U25" s="13"/>
      <c r="V25" s="46">
        <f>W25+X25</f>
        <v>19522</v>
      </c>
      <c r="W25" s="47">
        <v>5321</v>
      </c>
      <c r="X25" s="48">
        <v>14201</v>
      </c>
      <c r="Y25" s="49"/>
      <c r="Z25" s="50"/>
      <c r="AA25" s="13"/>
      <c r="AB25" s="46">
        <f>AC25+AD25</f>
        <v>5768</v>
      </c>
      <c r="AC25" s="47">
        <v>4728</v>
      </c>
      <c r="AD25" s="48">
        <v>1040</v>
      </c>
      <c r="AE25" s="49"/>
      <c r="AF25" s="50"/>
      <c r="AG25" s="13"/>
      <c r="AH25" s="46">
        <f>AI25+AJ25</f>
        <v>35416</v>
      </c>
      <c r="AI25" s="47">
        <v>22921</v>
      </c>
      <c r="AJ25" s="48">
        <v>12495</v>
      </c>
      <c r="AK25" s="49"/>
      <c r="AL25" s="50"/>
      <c r="AM25" s="13"/>
      <c r="AN25" s="49"/>
      <c r="AO25" s="50"/>
      <c r="AP25" s="13"/>
      <c r="AQ25" s="49"/>
      <c r="AR25" s="50"/>
      <c r="AS25" s="13"/>
    </row>
    <row r="26" ht="13.65" customHeight="1">
      <c r="A26" s="39">
        <v>25355</v>
      </c>
      <c r="B26" s="46">
        <v>734003</v>
      </c>
      <c r="C26" s="41">
        <v>412865</v>
      </c>
      <c r="D26" s="16">
        <v>321138</v>
      </c>
      <c r="E26" s="42">
        <f>F26/B26</f>
        <v>0.1683113011799679</v>
      </c>
      <c r="F26" s="43">
        <f>SUM(M26,V26,AB26,AH26)</f>
        <v>123541</v>
      </c>
      <c r="G26" s="43">
        <f>SUM(N26,W26,AC26,AI26)</f>
        <v>55072</v>
      </c>
      <c r="H26" s="44">
        <f>SUM(O26,X26,AD26,AJ26)</f>
        <v>68469</v>
      </c>
      <c r="I26" s="45">
        <f>J26/B26</f>
        <v>0.1683113011799679</v>
      </c>
      <c r="J26" s="43">
        <f>SUM(M26,V26,Y26,AB26,AE26,AH26,AK26,AN26)</f>
        <v>123541</v>
      </c>
      <c r="K26" s="43">
        <f>SUM(N26,W26,Z26,AC26,AF26,AI26,AL26,AO26)</f>
        <v>55072</v>
      </c>
      <c r="L26" s="43">
        <f>SUM(O26,X26,AA26,AD26,AG26,AJ26,AM26,AP26)</f>
        <v>68469</v>
      </c>
      <c r="M26" s="46">
        <f>N26+O26</f>
        <v>54359</v>
      </c>
      <c r="N26" s="47">
        <v>17539</v>
      </c>
      <c r="O26" s="48">
        <v>36820</v>
      </c>
      <c r="P26" s="49"/>
      <c r="Q26" s="50"/>
      <c r="R26" s="13"/>
      <c r="S26" s="49"/>
      <c r="T26" s="50"/>
      <c r="U26" s="13"/>
      <c r="V26" s="46">
        <f>W26+X26</f>
        <v>21985</v>
      </c>
      <c r="W26" s="47">
        <v>5915</v>
      </c>
      <c r="X26" s="48">
        <v>16070</v>
      </c>
      <c r="Y26" s="49"/>
      <c r="Z26" s="50"/>
      <c r="AA26" s="13"/>
      <c r="AB26" s="46">
        <f>AC26+AD26</f>
        <v>6118</v>
      </c>
      <c r="AC26" s="47">
        <v>5026</v>
      </c>
      <c r="AD26" s="48">
        <v>1092</v>
      </c>
      <c r="AE26" s="49"/>
      <c r="AF26" s="50"/>
      <c r="AG26" s="13"/>
      <c r="AH26" s="46">
        <f>AI26+AJ26</f>
        <v>41079</v>
      </c>
      <c r="AI26" s="47">
        <v>26592</v>
      </c>
      <c r="AJ26" s="48">
        <v>14487</v>
      </c>
      <c r="AK26" s="49"/>
      <c r="AL26" s="50"/>
      <c r="AM26" s="13"/>
      <c r="AN26" s="49"/>
      <c r="AO26" s="50"/>
      <c r="AP26" s="13"/>
      <c r="AQ26" s="49"/>
      <c r="AR26" s="50"/>
      <c r="AS26" s="13"/>
    </row>
    <row r="27" ht="13.65" customHeight="1">
      <c r="A27" s="39">
        <v>26085</v>
      </c>
      <c r="B27" s="46">
        <v>846110</v>
      </c>
      <c r="C27" s="41">
        <v>478423</v>
      </c>
      <c r="D27" s="16">
        <v>367687</v>
      </c>
      <c r="E27" s="42">
        <f>F27/B27</f>
        <v>0.1609873420713619</v>
      </c>
      <c r="F27" s="43">
        <f>SUM(M27,V27,AB27,AH27)</f>
        <v>136213</v>
      </c>
      <c r="G27" s="43">
        <f>SUM(N27,W27,AC27,AI27)</f>
        <v>61412</v>
      </c>
      <c r="H27" s="44">
        <f>SUM(O27,X27,AD27,AJ27)</f>
        <v>74801</v>
      </c>
      <c r="I27" s="45">
        <f>J27/B27</f>
        <v>0.1609873420713619</v>
      </c>
      <c r="J27" s="43">
        <f>SUM(M27,V27,Y27,AB27,AE27,AH27,AK27,AN27)</f>
        <v>136213</v>
      </c>
      <c r="K27" s="43">
        <f>SUM(N27,W27,Z27,AC27,AF27,AI27,AL27,AO27)</f>
        <v>61412</v>
      </c>
      <c r="L27" s="43">
        <f>SUM(O27,X27,AA27,AD27,AG27,AJ27,AM27,AP27)</f>
        <v>74801</v>
      </c>
      <c r="M27" s="46">
        <f>N27+O27</f>
        <v>64012</v>
      </c>
      <c r="N27" s="47">
        <v>22025</v>
      </c>
      <c r="O27" s="48">
        <v>41987</v>
      </c>
      <c r="P27" s="49"/>
      <c r="Q27" s="50"/>
      <c r="R27" s="13"/>
      <c r="S27" s="46">
        <f>S5-T5-U5</f>
        <v>0</v>
      </c>
      <c r="T27" s="50"/>
      <c r="U27" s="13"/>
      <c r="V27" s="46">
        <f>W27+X27</f>
        <v>21480</v>
      </c>
      <c r="W27" s="47">
        <v>5581</v>
      </c>
      <c r="X27" s="48">
        <v>15899</v>
      </c>
      <c r="Y27" s="46">
        <f>Y5-Z5-AA5</f>
        <v>0</v>
      </c>
      <c r="Z27" s="50"/>
      <c r="AA27" s="13"/>
      <c r="AB27" s="46">
        <f>AC27+AD27</f>
        <v>5790</v>
      </c>
      <c r="AC27" s="47">
        <v>4624</v>
      </c>
      <c r="AD27" s="48">
        <v>1166</v>
      </c>
      <c r="AE27" s="46">
        <f>AE5-AF5-AG5</f>
        <v>0</v>
      </c>
      <c r="AF27" s="50"/>
      <c r="AG27" s="13"/>
      <c r="AH27" s="46">
        <f>AI27+AJ27</f>
        <v>44931</v>
      </c>
      <c r="AI27" s="47">
        <v>29182</v>
      </c>
      <c r="AJ27" s="48">
        <v>15749</v>
      </c>
      <c r="AK27" s="46">
        <f>AK5-AL5-AM5</f>
        <v>0</v>
      </c>
      <c r="AL27" s="50"/>
      <c r="AM27" s="13"/>
      <c r="AN27" s="46">
        <f>AN5-AO5-AP5</f>
        <v>0</v>
      </c>
      <c r="AO27" s="50"/>
      <c r="AP27" s="13"/>
      <c r="AQ27" s="46">
        <f>AQ5-AR5-AS5</f>
        <v>0</v>
      </c>
      <c r="AR27" s="50"/>
      <c r="AS27" s="13"/>
    </row>
    <row r="28" ht="13.65" customHeight="1">
      <c r="A28" s="39">
        <v>26451</v>
      </c>
      <c r="B28" s="46">
        <v>894110</v>
      </c>
      <c r="C28" s="41">
        <v>503631</v>
      </c>
      <c r="D28" s="16">
        <v>390479</v>
      </c>
      <c r="E28" s="42">
        <f>F28/B28</f>
        <v>0.1500296384113811</v>
      </c>
      <c r="F28" s="43">
        <f>SUM(M28,V28,AB28,AH28)</f>
        <v>134143</v>
      </c>
      <c r="G28" s="43">
        <f>SUM(N28,W28,AC28,AI28)</f>
        <v>61368</v>
      </c>
      <c r="H28" s="44">
        <f>SUM(O28,X28,AD28,AJ28)</f>
        <v>72775</v>
      </c>
      <c r="I28" s="45">
        <f>J28/B28</f>
        <v>0.1500296384113811</v>
      </c>
      <c r="J28" s="43">
        <f>SUM(M28,V28,Y28,AB28,AE28,AH28,AK28,AN28)</f>
        <v>134143</v>
      </c>
      <c r="K28" s="43">
        <f>SUM(N28,W28,Z28,AC28,AF28,AI28,AL28,AO28)</f>
        <v>61368</v>
      </c>
      <c r="L28" s="43">
        <f>SUM(O28,X28,AA28,AD28,AG28,AJ28,AM28,AP28)</f>
        <v>72775</v>
      </c>
      <c r="M28" s="46">
        <f>N28+O28</f>
        <v>63810</v>
      </c>
      <c r="N28" s="47">
        <v>22606</v>
      </c>
      <c r="O28" s="48">
        <v>41204</v>
      </c>
      <c r="P28" s="49"/>
      <c r="Q28" s="50"/>
      <c r="R28" s="13"/>
      <c r="S28" s="46">
        <f>S6-T6-U6</f>
        <v>0</v>
      </c>
      <c r="T28" s="50"/>
      <c r="U28" s="13"/>
      <c r="V28" s="46">
        <f>W28+X28</f>
        <v>20405</v>
      </c>
      <c r="W28" s="47">
        <v>5278</v>
      </c>
      <c r="X28" s="48">
        <v>15127</v>
      </c>
      <c r="Y28" s="46">
        <f>Y6-Z6-AA6</f>
        <v>0</v>
      </c>
      <c r="Z28" s="50"/>
      <c r="AA28" s="13"/>
      <c r="AB28" s="46">
        <f>AC28+AD28</f>
        <v>5953</v>
      </c>
      <c r="AC28" s="47">
        <v>4652</v>
      </c>
      <c r="AD28" s="48">
        <v>1301</v>
      </c>
      <c r="AE28" s="46">
        <f>AE6-AF6-AG6</f>
        <v>0</v>
      </c>
      <c r="AF28" s="50"/>
      <c r="AG28" s="13"/>
      <c r="AH28" s="46">
        <f>AI28+AJ28</f>
        <v>43975</v>
      </c>
      <c r="AI28" s="47">
        <v>28832</v>
      </c>
      <c r="AJ28" s="48">
        <v>15143</v>
      </c>
      <c r="AK28" s="46">
        <f>AK6-AL6-AM6</f>
        <v>0</v>
      </c>
      <c r="AL28" s="50"/>
      <c r="AM28" s="13"/>
      <c r="AN28" s="46">
        <f>AN6-AO6-AP6</f>
        <v>0</v>
      </c>
      <c r="AO28" s="50"/>
      <c r="AP28" s="13"/>
      <c r="AQ28" s="46">
        <f>AQ6-AR6-AS6</f>
        <v>0</v>
      </c>
      <c r="AR28" s="50"/>
      <c r="AS28" s="13"/>
    </row>
    <row r="29" ht="13.65" customHeight="1">
      <c r="A29" s="39">
        <v>26816</v>
      </c>
      <c r="B29" s="46">
        <v>930000</v>
      </c>
      <c r="C29" s="41">
        <v>522482.094882487</v>
      </c>
      <c r="D29" s="16">
        <v>407517.905117514</v>
      </c>
      <c r="E29" s="42">
        <f>F29/B29</f>
        <v>0.1383</v>
      </c>
      <c r="F29" s="43">
        <f>SUM(M29,V29,AB29,AH29)</f>
        <v>128619</v>
      </c>
      <c r="G29" s="43">
        <f>SUM(N29,W29,AC29,AI29)</f>
        <v>58946</v>
      </c>
      <c r="H29" s="44">
        <f>SUM(O29,X29,AD29,AJ29)</f>
        <v>69673</v>
      </c>
      <c r="I29" s="45">
        <f>J29/B29</f>
        <v>0.1383</v>
      </c>
      <c r="J29" s="43">
        <f>SUM(M29,V29,Y29,AB29,AE29,AH29,AK29,AN29)</f>
        <v>128619</v>
      </c>
      <c r="K29" s="43">
        <f>SUM(N29,W29,Z29,AC29,AF29,AI29,AL29,AO29)</f>
        <v>58946</v>
      </c>
      <c r="L29" s="43">
        <f>SUM(O29,X29,AA29,AD29,AG29,AJ29,AM29,AP29)</f>
        <v>69673</v>
      </c>
      <c r="M29" s="46">
        <f>N29+O29</f>
        <v>60734</v>
      </c>
      <c r="N29" s="47">
        <v>22049</v>
      </c>
      <c r="O29" s="48">
        <v>38685</v>
      </c>
      <c r="P29" s="49"/>
      <c r="Q29" s="50"/>
      <c r="R29" s="13"/>
      <c r="S29" s="46">
        <f>S8-T8-U8</f>
        <v>0</v>
      </c>
      <c r="T29" s="50"/>
      <c r="U29" s="13"/>
      <c r="V29" s="46">
        <f>W29+X29</f>
        <v>20728</v>
      </c>
      <c r="W29" s="47">
        <v>5193</v>
      </c>
      <c r="X29" s="48">
        <v>15535</v>
      </c>
      <c r="Y29" s="46">
        <f>Y8-Z8-AA8</f>
        <v>0</v>
      </c>
      <c r="Z29" s="50"/>
      <c r="AA29" s="13"/>
      <c r="AB29" s="46">
        <f>AC29+AD29</f>
        <v>5934</v>
      </c>
      <c r="AC29" s="47">
        <v>4583</v>
      </c>
      <c r="AD29" s="48">
        <v>1351</v>
      </c>
      <c r="AE29" s="46">
        <f>AE8-AF8-AG8</f>
        <v>0</v>
      </c>
      <c r="AF29" s="50"/>
      <c r="AG29" s="13"/>
      <c r="AH29" s="46">
        <f>AI29+AJ29</f>
        <v>41223</v>
      </c>
      <c r="AI29" s="47">
        <v>27121</v>
      </c>
      <c r="AJ29" s="48">
        <v>14102</v>
      </c>
      <c r="AK29" s="46">
        <f>AK8-AL8-AM8</f>
        <v>0</v>
      </c>
      <c r="AL29" s="50"/>
      <c r="AM29" s="13"/>
      <c r="AN29" s="46">
        <f>AN8-AO8-AP8</f>
        <v>0</v>
      </c>
      <c r="AO29" s="50"/>
      <c r="AP29" s="13"/>
      <c r="AQ29" s="46">
        <f>AQ8-AR8-AS8</f>
        <v>0</v>
      </c>
      <c r="AR29" s="50"/>
      <c r="AS29" s="13"/>
    </row>
    <row r="30" ht="13.65" customHeight="1">
      <c r="A30" s="39">
        <v>27546</v>
      </c>
      <c r="B30" s="46">
        <v>931663</v>
      </c>
      <c r="C30" s="41">
        <v>508424</v>
      </c>
      <c r="D30" s="16">
        <v>423239</v>
      </c>
      <c r="E30" s="42">
        <f>F30/B30</f>
        <v>0.1115628719826804</v>
      </c>
      <c r="F30" s="43">
        <f>SUM(M30,V30,AB30,AH30)</f>
        <v>103939</v>
      </c>
      <c r="G30" s="43">
        <f>SUM(N30,W30,AC30,AI30)</f>
        <v>47366</v>
      </c>
      <c r="H30" s="44">
        <f>SUM(O30,X30,AD30,AJ30)</f>
        <v>56573</v>
      </c>
      <c r="I30" s="45">
        <f>J30/B30</f>
        <v>0.1115628719826804</v>
      </c>
      <c r="J30" s="43">
        <f>SUM(M30,V30,Y30,AB30,AE30,AH30,AK30,AN30)</f>
        <v>103939</v>
      </c>
      <c r="K30" s="43">
        <f>SUM(N30,W30,Z30,AC30,AF30,AI30,AL30,AO30)</f>
        <v>47366</v>
      </c>
      <c r="L30" s="43">
        <f>SUM(O30,X30,AA30,AD30,AG30,AJ30,AM30,AP30)</f>
        <v>56573</v>
      </c>
      <c r="M30" s="46">
        <f>N30+O30</f>
        <v>47148</v>
      </c>
      <c r="N30" s="47">
        <v>17714</v>
      </c>
      <c r="O30" s="48">
        <v>29434</v>
      </c>
      <c r="P30" s="49"/>
      <c r="Q30" s="50"/>
      <c r="R30" s="13"/>
      <c r="S30" s="46">
        <f>S9-T9-U9</f>
        <v>0</v>
      </c>
      <c r="T30" s="50"/>
      <c r="U30" s="13"/>
      <c r="V30" s="46">
        <f>W30+X30</f>
        <v>19675</v>
      </c>
      <c r="W30" s="47">
        <v>4785</v>
      </c>
      <c r="X30" s="48">
        <v>14890</v>
      </c>
      <c r="Y30" s="46">
        <f>Y9-Z9-AA9</f>
        <v>0</v>
      </c>
      <c r="Z30" s="50"/>
      <c r="AA30" s="13"/>
      <c r="AB30" s="46">
        <f>AC30+AD30</f>
        <v>5348</v>
      </c>
      <c r="AC30" s="47">
        <v>4003</v>
      </c>
      <c r="AD30" s="48">
        <v>1345</v>
      </c>
      <c r="AE30" s="46">
        <f>AE9-AF9-AG9</f>
        <v>0</v>
      </c>
      <c r="AF30" s="50"/>
      <c r="AG30" s="13"/>
      <c r="AH30" s="46">
        <f>AI30+AJ30</f>
        <v>31768</v>
      </c>
      <c r="AI30" s="47">
        <v>20864</v>
      </c>
      <c r="AJ30" s="48">
        <v>10904</v>
      </c>
      <c r="AK30" s="46">
        <f>AK9-AL9-AM9</f>
        <v>0</v>
      </c>
      <c r="AL30" s="50"/>
      <c r="AM30" s="13"/>
      <c r="AN30" s="46">
        <f>AN9-AO9-AP9</f>
        <v>0</v>
      </c>
      <c r="AO30" s="50"/>
      <c r="AP30" s="13"/>
      <c r="AQ30" s="46">
        <f>AQ9-AR9-AS9</f>
        <v>0</v>
      </c>
      <c r="AR30" s="50"/>
      <c r="AS30" s="13"/>
    </row>
    <row r="31" ht="13.65" customHeight="1">
      <c r="A31" s="39">
        <v>28277</v>
      </c>
      <c r="B31" s="46">
        <v>928228</v>
      </c>
      <c r="C31" s="41">
        <v>499121</v>
      </c>
      <c r="D31" s="16">
        <v>429107</v>
      </c>
      <c r="E31" s="42">
        <f>F31/B31</f>
        <v>0.09013841426890808</v>
      </c>
      <c r="F31" s="43">
        <f>SUM(M31,V31,AB31,AH31)</f>
        <v>83669</v>
      </c>
      <c r="G31" s="43">
        <f>SUM(N31,W31,AC31,AI31)</f>
        <v>38122</v>
      </c>
      <c r="H31" s="44">
        <f>SUM(O31,X31,AD31,AJ31)</f>
        <v>45547</v>
      </c>
      <c r="I31" s="45">
        <f>J31/B31</f>
        <v>0.09013841426890808</v>
      </c>
      <c r="J31" s="43">
        <f>SUM(M31,V31,Y31,AB31,AE31,AH31,AK31,AN31)</f>
        <v>83669</v>
      </c>
      <c r="K31" s="43">
        <f>SUM(N31,W31,Z31,AC31,AF31,AI31,AL31,AO31)</f>
        <v>38122</v>
      </c>
      <c r="L31" s="43">
        <f>SUM(O31,X31,AA31,AD31,AG31,AJ31,AM31,AP31)</f>
        <v>45547</v>
      </c>
      <c r="M31" s="46">
        <f>N31+O31</f>
        <v>37745</v>
      </c>
      <c r="N31" s="47">
        <v>14205</v>
      </c>
      <c r="O31" s="48">
        <v>23540</v>
      </c>
      <c r="P31" s="49"/>
      <c r="Q31" s="50"/>
      <c r="R31" s="13"/>
      <c r="S31" s="46">
        <f>S10-T10-U10</f>
        <v>0</v>
      </c>
      <c r="T31" s="50"/>
      <c r="U31" s="13"/>
      <c r="V31" s="46">
        <f>W31+X31</f>
        <v>15865</v>
      </c>
      <c r="W31" s="47">
        <v>4010</v>
      </c>
      <c r="X31" s="48">
        <v>11855</v>
      </c>
      <c r="Y31" s="46">
        <f>Y10-Z10-AA10</f>
        <v>0</v>
      </c>
      <c r="Z31" s="50"/>
      <c r="AA31" s="13"/>
      <c r="AB31" s="46">
        <f>AC31+AD31</f>
        <v>4451</v>
      </c>
      <c r="AC31" s="47">
        <v>3325</v>
      </c>
      <c r="AD31" s="48">
        <v>1126</v>
      </c>
      <c r="AE31" s="46">
        <f>AE10-AF10-AG10</f>
        <v>0</v>
      </c>
      <c r="AF31" s="50"/>
      <c r="AG31" s="13"/>
      <c r="AH31" s="46">
        <f>AI31+AJ31</f>
        <v>25608</v>
      </c>
      <c r="AI31" s="47">
        <v>16582</v>
      </c>
      <c r="AJ31" s="48">
        <v>9026</v>
      </c>
      <c r="AK31" s="46">
        <f>AK10-AL10-AM10</f>
        <v>0</v>
      </c>
      <c r="AL31" s="50"/>
      <c r="AM31" s="13"/>
      <c r="AN31" s="46">
        <f>AN10-AO10-AP10</f>
        <v>0</v>
      </c>
      <c r="AO31" s="50"/>
      <c r="AP31" s="13"/>
      <c r="AQ31" s="46">
        <f>AQ10-AR10-AS10</f>
        <v>0</v>
      </c>
      <c r="AR31" s="50"/>
      <c r="AS31" s="13"/>
    </row>
    <row r="32" ht="13.65" customHeight="1">
      <c r="A32" s="39">
        <v>28642</v>
      </c>
      <c r="B32" s="46">
        <v>930201</v>
      </c>
      <c r="C32" s="41">
        <v>491066</v>
      </c>
      <c r="D32" s="16">
        <v>439135</v>
      </c>
      <c r="E32" s="42">
        <f>F32/B32</f>
        <v>0.08274340707008486</v>
      </c>
      <c r="F32" s="43">
        <f>SUM(M32,V32,AB32,AH32)</f>
        <v>76968</v>
      </c>
      <c r="G32" s="43">
        <f>SUM(N32,W32,AC32,AI32)</f>
        <v>34551</v>
      </c>
      <c r="H32" s="44">
        <f>SUM(O32,X32,AD32,AJ32)</f>
        <v>42417</v>
      </c>
      <c r="I32" s="45">
        <f>J32/B32</f>
        <v>0.08274340707008486</v>
      </c>
      <c r="J32" s="43">
        <f>SUM(M32,V32,Y32,AB32,AE32,AH32,AK32,AN32)</f>
        <v>76968</v>
      </c>
      <c r="K32" s="43">
        <f>SUM(N32,W32,Z32,AC32,AF32,AI32,AL32,AO32)</f>
        <v>34551</v>
      </c>
      <c r="L32" s="43">
        <f>SUM(O32,X32,AA32,AD32,AG32,AJ32,AM32,AP32)</f>
        <v>42417</v>
      </c>
      <c r="M32" s="46">
        <f>N32+O32</f>
        <v>35174</v>
      </c>
      <c r="N32" s="47">
        <v>13057</v>
      </c>
      <c r="O32" s="48">
        <v>22117</v>
      </c>
      <c r="P32" s="49"/>
      <c r="Q32" s="50"/>
      <c r="R32" s="13"/>
      <c r="S32" s="46">
        <f>S11-T11-U11</f>
        <v>0</v>
      </c>
      <c r="T32" s="50"/>
      <c r="U32" s="13"/>
      <c r="V32" s="46">
        <f>W32+X32</f>
        <v>14614</v>
      </c>
      <c r="W32" s="47">
        <v>3715</v>
      </c>
      <c r="X32" s="48">
        <v>10899</v>
      </c>
      <c r="Y32" s="46">
        <f>Y11-Z11-AA11</f>
        <v>0</v>
      </c>
      <c r="Z32" s="50"/>
      <c r="AA32" s="13"/>
      <c r="AB32" s="46">
        <f>AC32+AD32</f>
        <v>4035</v>
      </c>
      <c r="AC32" s="47">
        <v>2955</v>
      </c>
      <c r="AD32" s="48">
        <v>1080</v>
      </c>
      <c r="AE32" s="46">
        <f>AE11-AF11-AG11</f>
        <v>0</v>
      </c>
      <c r="AF32" s="50"/>
      <c r="AG32" s="13"/>
      <c r="AH32" s="46">
        <f>AI32+AJ32</f>
        <v>23145</v>
      </c>
      <c r="AI32" s="47">
        <v>14824</v>
      </c>
      <c r="AJ32" s="48">
        <v>8321</v>
      </c>
      <c r="AK32" s="46">
        <f>AK11-AL11-AM11</f>
        <v>0</v>
      </c>
      <c r="AL32" s="50"/>
      <c r="AM32" s="13"/>
      <c r="AN32" s="46">
        <f>AN11-AO11-AP11</f>
        <v>0</v>
      </c>
      <c r="AO32" s="50"/>
      <c r="AP32" s="13"/>
      <c r="AQ32" s="46">
        <f>AQ11-AR11-AS11</f>
        <v>0</v>
      </c>
      <c r="AR32" s="50"/>
      <c r="AS32" s="13"/>
    </row>
    <row r="33" ht="13.65" customHeight="1">
      <c r="A33" s="39">
        <v>29373</v>
      </c>
      <c r="B33" s="46">
        <v>940251</v>
      </c>
      <c r="C33" s="41">
        <v>477750</v>
      </c>
      <c r="D33" s="16">
        <v>462501</v>
      </c>
      <c r="E33" s="42">
        <f>F33/B33</f>
        <v>0.07251893377406671</v>
      </c>
      <c r="F33" s="43">
        <f>SUM(M33,V33,AB33,AH33)</f>
        <v>68186</v>
      </c>
      <c r="G33" s="43">
        <f>SUM(N33,W33,AC33,AI33)</f>
        <v>29309</v>
      </c>
      <c r="H33" s="44">
        <f>SUM(O33,X33,AD33,AJ33)</f>
        <v>38877</v>
      </c>
      <c r="I33" s="45">
        <f>J33/B33</f>
        <v>0.07251893377406671</v>
      </c>
      <c r="J33" s="43">
        <f>SUM(M33,V33,Y33,AB33,AE33,AH33,AK33,AN33)</f>
        <v>68186</v>
      </c>
      <c r="K33" s="43">
        <f>SUM(N33,W33,Z33,AC33,AF33,AI33,AL33,AO33)</f>
        <v>29309</v>
      </c>
      <c r="L33" s="43">
        <f>SUM(O33,X33,AA33,AD33,AG33,AJ33,AM33,AP33)</f>
        <v>38877</v>
      </c>
      <c r="M33" s="46">
        <f>N33+O33</f>
        <v>32381</v>
      </c>
      <c r="N33" s="47">
        <v>11268</v>
      </c>
      <c r="O33" s="48">
        <v>21113</v>
      </c>
      <c r="P33" s="49"/>
      <c r="Q33" s="50"/>
      <c r="R33" s="13"/>
      <c r="S33" s="46">
        <f>S12-T12-U12</f>
        <v>0</v>
      </c>
      <c r="T33" s="50"/>
      <c r="U33" s="13"/>
      <c r="V33" s="46">
        <f>W33+X33</f>
        <v>12675</v>
      </c>
      <c r="W33" s="47">
        <v>3254</v>
      </c>
      <c r="X33" s="48">
        <v>9421</v>
      </c>
      <c r="Y33" s="46">
        <f>Y12-Z12-AA12</f>
        <v>0</v>
      </c>
      <c r="Z33" s="50"/>
      <c r="AA33" s="13"/>
      <c r="AB33" s="46">
        <f>AC33+AD33</f>
        <v>3716</v>
      </c>
      <c r="AC33" s="47">
        <v>2666</v>
      </c>
      <c r="AD33" s="48">
        <v>1050</v>
      </c>
      <c r="AE33" s="46">
        <f>AE12-AF12-AG12</f>
        <v>0</v>
      </c>
      <c r="AF33" s="50"/>
      <c r="AG33" s="13"/>
      <c r="AH33" s="46">
        <f>AI33+AJ33</f>
        <v>19414</v>
      </c>
      <c r="AI33" s="47">
        <v>12121</v>
      </c>
      <c r="AJ33" s="48">
        <v>7293</v>
      </c>
      <c r="AK33" s="46">
        <f>AK12-AL12-AM12</f>
        <v>0</v>
      </c>
      <c r="AL33" s="50"/>
      <c r="AM33" s="13"/>
      <c r="AN33" s="46">
        <f>AN12-AO12-AP12</f>
        <v>0</v>
      </c>
      <c r="AO33" s="50"/>
      <c r="AP33" s="13"/>
      <c r="AQ33" s="46">
        <f>AQ12-AR12-AS12</f>
        <v>0</v>
      </c>
      <c r="AR33" s="50"/>
      <c r="AS33" s="13"/>
    </row>
    <row r="34" ht="13.65" customHeight="1">
      <c r="A34" s="39">
        <v>29738</v>
      </c>
      <c r="B34" s="46">
        <v>946877</v>
      </c>
      <c r="C34" s="41">
        <v>474336</v>
      </c>
      <c r="D34" s="16">
        <v>472541</v>
      </c>
      <c r="E34" s="42">
        <f>F34/B34</f>
        <v>0.06971338410374314</v>
      </c>
      <c r="F34" s="43">
        <f>SUM(M34,V34,AB34,AH34)</f>
        <v>66010</v>
      </c>
      <c r="G34" s="43">
        <f>SUM(N34,W34,AC34,AI34)</f>
        <v>28177</v>
      </c>
      <c r="H34" s="44">
        <f>SUM(O34,X34,AD34,AJ34)</f>
        <v>37833</v>
      </c>
      <c r="I34" s="45">
        <f>J34/B34</f>
        <v>0.06971338410374314</v>
      </c>
      <c r="J34" s="43">
        <f>SUM(M34,V34,Y34,AB34,AE34,AH34,AK34,AN34)</f>
        <v>66010</v>
      </c>
      <c r="K34" s="43">
        <f>SUM(N34,W34,Z34,AC34,AF34,AI34,AL34,AO34)</f>
        <v>28177</v>
      </c>
      <c r="L34" s="43">
        <f>SUM(O34,X34,AA34,AD34,AG34,AJ34,AM34,AP34)</f>
        <v>37833</v>
      </c>
      <c r="M34" s="46">
        <f>N34+O34</f>
        <v>32057</v>
      </c>
      <c r="N34" s="47">
        <v>11114</v>
      </c>
      <c r="O34" s="48">
        <v>20943</v>
      </c>
      <c r="P34" s="49"/>
      <c r="Q34" s="50"/>
      <c r="R34" s="13"/>
      <c r="S34" s="46">
        <f>S13-T13-U13</f>
        <v>0</v>
      </c>
      <c r="T34" s="50"/>
      <c r="U34" s="13"/>
      <c r="V34" s="46">
        <f>W34+X34</f>
        <v>11877</v>
      </c>
      <c r="W34" s="47">
        <v>3046</v>
      </c>
      <c r="X34" s="48">
        <v>8831</v>
      </c>
      <c r="Y34" s="46">
        <f>Y13-Z13-AA13</f>
        <v>0</v>
      </c>
      <c r="Z34" s="50"/>
      <c r="AA34" s="13"/>
      <c r="AB34" s="46">
        <f>AC34+AD34</f>
        <v>3663</v>
      </c>
      <c r="AC34" s="47">
        <v>2599</v>
      </c>
      <c r="AD34" s="48">
        <v>1064</v>
      </c>
      <c r="AE34" s="46">
        <f>AE13-AF13-AG13</f>
        <v>0</v>
      </c>
      <c r="AF34" s="50"/>
      <c r="AG34" s="13"/>
      <c r="AH34" s="46">
        <f>AI34+AJ34</f>
        <v>18413</v>
      </c>
      <c r="AI34" s="47">
        <v>11418</v>
      </c>
      <c r="AJ34" s="48">
        <v>6995</v>
      </c>
      <c r="AK34" s="46">
        <f>AK13-AL13-AM13</f>
        <v>0</v>
      </c>
      <c r="AL34" s="50"/>
      <c r="AM34" s="13"/>
      <c r="AN34" s="46">
        <f>AN13-AO13-AP13</f>
        <v>0</v>
      </c>
      <c r="AO34" s="50"/>
      <c r="AP34" s="13"/>
      <c r="AQ34" s="46">
        <f>AQ13-AR13-AS13</f>
        <v>0</v>
      </c>
      <c r="AR34" s="50"/>
      <c r="AS34" s="13"/>
    </row>
    <row r="35" ht="13.65" customHeight="1">
      <c r="A35" s="39">
        <v>30103</v>
      </c>
      <c r="B35" s="46">
        <v>964043</v>
      </c>
      <c r="C35" s="41">
        <v>477543</v>
      </c>
      <c r="D35" s="16">
        <v>486500</v>
      </c>
      <c r="E35" s="42">
        <f>F35/B35</f>
        <v>0.06770341156981587</v>
      </c>
      <c r="F35" s="43">
        <f>SUM(M35,V35,AB35,AH35)</f>
        <v>65269</v>
      </c>
      <c r="G35" s="43">
        <f>SUM(N35,W35,AC35,AI35)</f>
        <v>27489</v>
      </c>
      <c r="H35" s="44">
        <f>SUM(O35,X35,AD35,AJ35)</f>
        <v>37780</v>
      </c>
      <c r="I35" s="45">
        <f>J35/B35</f>
        <v>0.06770341156981587</v>
      </c>
      <c r="J35" s="43">
        <f>SUM(M35,V35,Y35,AB35,AE35,AH35,AK35,AN35)</f>
        <v>65269</v>
      </c>
      <c r="K35" s="43">
        <f>SUM(N35,W35,Z35,AC35,AF35,AI35,AL35,AO35)</f>
        <v>27489</v>
      </c>
      <c r="L35" s="43">
        <f>SUM(O35,X35,AA35,AD35,AG35,AJ35,AM35,AP35)</f>
        <v>37780</v>
      </c>
      <c r="M35" s="46">
        <f>N35+O35</f>
        <v>33234</v>
      </c>
      <c r="N35" s="47">
        <v>11346</v>
      </c>
      <c r="O35" s="48">
        <v>21888</v>
      </c>
      <c r="P35" s="49"/>
      <c r="Q35" s="50"/>
      <c r="R35" s="13"/>
      <c r="S35" s="46">
        <f>S15-T15-U15</f>
        <v>0</v>
      </c>
      <c r="T35" s="50"/>
      <c r="U35" s="13"/>
      <c r="V35" s="46">
        <f>W35+X35</f>
        <v>11372</v>
      </c>
      <c r="W35" s="47">
        <v>2960</v>
      </c>
      <c r="X35" s="48">
        <v>8412</v>
      </c>
      <c r="Y35" s="46">
        <f>Y15-Z15-AA15</f>
        <v>0</v>
      </c>
      <c r="Z35" s="50"/>
      <c r="AA35" s="13"/>
      <c r="AB35" s="46">
        <f>AC35+AD35</f>
        <v>3417</v>
      </c>
      <c r="AC35" s="47">
        <v>2429</v>
      </c>
      <c r="AD35" s="48">
        <v>988</v>
      </c>
      <c r="AE35" s="46">
        <f>AE15-AF15-AG15</f>
        <v>0</v>
      </c>
      <c r="AF35" s="50"/>
      <c r="AG35" s="13"/>
      <c r="AH35" s="46">
        <f>AI35+AJ35</f>
        <v>17246</v>
      </c>
      <c r="AI35" s="47">
        <v>10754</v>
      </c>
      <c r="AJ35" s="48">
        <v>6492</v>
      </c>
      <c r="AK35" s="46">
        <f>AK15-AL15-AM15</f>
        <v>0</v>
      </c>
      <c r="AL35" s="50"/>
      <c r="AM35" s="13"/>
      <c r="AN35" s="46">
        <f>AN15-AO15-AP15</f>
        <v>0</v>
      </c>
      <c r="AO35" s="50"/>
      <c r="AP35" s="13"/>
      <c r="AQ35" s="46">
        <f>AQ15-AR15-AS15</f>
        <v>0</v>
      </c>
      <c r="AR35" s="50"/>
      <c r="AS35" s="13"/>
    </row>
    <row r="36" ht="13.65" customHeight="1">
      <c r="A36" s="39">
        <v>30834</v>
      </c>
      <c r="B36" s="46">
        <v>986000</v>
      </c>
      <c r="C36" s="41">
        <v>488106.477513807</v>
      </c>
      <c r="D36" s="16">
        <v>497893.5224861928</v>
      </c>
      <c r="E36" s="42">
        <f>F36/B36</f>
        <v>0.06461663286004057</v>
      </c>
      <c r="F36" s="43">
        <f>SUM(M36,V36,AB36,AH36)</f>
        <v>63712</v>
      </c>
      <c r="G36" s="43">
        <f>SUM(N36,W36,AC36,AI36)</f>
        <v>26949</v>
      </c>
      <c r="H36" s="44">
        <f>SUM(O36,X36,AD36,AJ36)</f>
        <v>36763</v>
      </c>
      <c r="I36" s="45">
        <f>J36/B36</f>
        <v>0.06461663286004057</v>
      </c>
      <c r="J36" s="43">
        <f>SUM(M36,V36,Y36,AB36,AE36,AH36,AK36,AN36)</f>
        <v>63712</v>
      </c>
      <c r="K36" s="43">
        <f>SUM(N36,W36,Z36,AC36,AF36,AI36,AL36,AO36)</f>
        <v>26949</v>
      </c>
      <c r="L36" s="43">
        <f>SUM(O36,X36,AA36,AD36,AG36,AJ36,AM36,AP36)</f>
        <v>36763</v>
      </c>
      <c r="M36" s="46">
        <f>N36+O36</f>
        <v>32410</v>
      </c>
      <c r="N36" s="47">
        <v>11029</v>
      </c>
      <c r="O36" s="48">
        <v>21381</v>
      </c>
      <c r="P36" s="49"/>
      <c r="Q36" s="50"/>
      <c r="R36" s="13"/>
      <c r="S36" s="46">
        <f>S17-T17-U17</f>
        <v>0</v>
      </c>
      <c r="T36" s="50"/>
      <c r="U36" s="13"/>
      <c r="V36" s="46">
        <f>W36+X36</f>
        <v>11246</v>
      </c>
      <c r="W36" s="47">
        <v>3199</v>
      </c>
      <c r="X36" s="48">
        <v>8047</v>
      </c>
      <c r="Y36" s="46">
        <f>Y17-Z17-AA17</f>
        <v>0</v>
      </c>
      <c r="Z36" s="50"/>
      <c r="AA36" s="13"/>
      <c r="AB36" s="46">
        <f>AC36+AD36</f>
        <v>3319</v>
      </c>
      <c r="AC36" s="47">
        <v>2321</v>
      </c>
      <c r="AD36" s="48">
        <v>998</v>
      </c>
      <c r="AE36" s="46">
        <f>AE17-AF17-AG17</f>
        <v>0</v>
      </c>
      <c r="AF36" s="50"/>
      <c r="AG36" s="13"/>
      <c r="AH36" s="46">
        <f>AI36+AJ36</f>
        <v>16737</v>
      </c>
      <c r="AI36" s="47">
        <v>10400</v>
      </c>
      <c r="AJ36" s="48">
        <v>6337</v>
      </c>
      <c r="AK36" s="46">
        <f>AK17-AL17-AM17</f>
        <v>0</v>
      </c>
      <c r="AL36" s="50"/>
      <c r="AM36" s="13"/>
      <c r="AN36" s="46">
        <f>AN17-AO17-AP17</f>
        <v>0</v>
      </c>
      <c r="AO36" s="50"/>
      <c r="AP36" s="13"/>
      <c r="AQ36" s="46">
        <f>AQ17-AR17-AS17</f>
        <v>0</v>
      </c>
      <c r="AR36" s="50"/>
      <c r="AS36" s="13"/>
    </row>
    <row r="37" ht="13.65" customHeight="1">
      <c r="A37" s="39">
        <v>31199</v>
      </c>
      <c r="B37" s="46">
        <v>991000</v>
      </c>
      <c r="C37" s="41">
        <v>488204.672493586</v>
      </c>
      <c r="D37" s="16">
        <v>502795.3275064141</v>
      </c>
      <c r="E37" s="42">
        <f>F37/B37</f>
        <v>0.06442381432896065</v>
      </c>
      <c r="F37" s="43">
        <f>SUM(M37,V37,AB37,AH37)</f>
        <v>63844</v>
      </c>
      <c r="G37" s="43">
        <f>SUM(N37,W37,AC37,AI37)</f>
        <v>26817</v>
      </c>
      <c r="H37" s="44">
        <f>SUM(O37,X37,AD37,AJ37)</f>
        <v>37027</v>
      </c>
      <c r="I37" s="45">
        <f>J37/B37</f>
        <v>0.06442381432896065</v>
      </c>
      <c r="J37" s="43">
        <f>SUM(M37,V37,Y37,AB37,AE37,AH37,AK37,AN37)</f>
        <v>63844</v>
      </c>
      <c r="K37" s="43">
        <f>SUM(N37,W37,Z37,AC37,AF37,AI37,AL37,AO37)</f>
        <v>26817</v>
      </c>
      <c r="L37" s="43">
        <f>SUM(O37,X37,AA37,AD37,AG37,AJ37,AM37,AP37)</f>
        <v>37027</v>
      </c>
      <c r="M37" s="46">
        <f>N37+O37</f>
        <v>32747</v>
      </c>
      <c r="N37" s="47">
        <v>11199</v>
      </c>
      <c r="O37" s="48">
        <v>21548</v>
      </c>
      <c r="P37" s="49"/>
      <c r="Q37" s="50"/>
      <c r="R37" s="13"/>
      <c r="S37" s="46">
        <f>S19-T19-U19</f>
        <v>0</v>
      </c>
      <c r="T37" s="50"/>
      <c r="U37" s="13"/>
      <c r="V37" s="46">
        <f>W37+X37</f>
        <v>11577</v>
      </c>
      <c r="W37" s="47">
        <v>3213</v>
      </c>
      <c r="X37" s="48">
        <v>8364</v>
      </c>
      <c r="Y37" s="46">
        <f>Y19-Z19-AA19</f>
        <v>0</v>
      </c>
      <c r="Z37" s="50"/>
      <c r="AA37" s="13"/>
      <c r="AB37" s="46">
        <f>AC37+AD37</f>
        <v>3377</v>
      </c>
      <c r="AC37" s="47">
        <v>2290</v>
      </c>
      <c r="AD37" s="48">
        <v>1087</v>
      </c>
      <c r="AE37" s="46">
        <f>AE19-AF19-AG19</f>
        <v>0</v>
      </c>
      <c r="AF37" s="50"/>
      <c r="AG37" s="13"/>
      <c r="AH37" s="46">
        <f>AI37+AJ37</f>
        <v>16143</v>
      </c>
      <c r="AI37" s="47">
        <v>10115</v>
      </c>
      <c r="AJ37" s="48">
        <v>6028</v>
      </c>
      <c r="AK37" s="46">
        <f>AK19-AL19-AM19</f>
        <v>0</v>
      </c>
      <c r="AL37" s="50"/>
      <c r="AM37" s="13"/>
      <c r="AN37" s="46">
        <f>AN19-AO19-AP19</f>
        <v>0</v>
      </c>
      <c r="AO37" s="50"/>
      <c r="AP37" s="13"/>
      <c r="AQ37" s="46">
        <f>AQ19-AR19-AS19</f>
        <v>0</v>
      </c>
      <c r="AR37" s="50"/>
      <c r="AS37" s="13"/>
    </row>
    <row r="38" ht="13.65" customHeight="1">
      <c r="A38" s="39">
        <v>31564</v>
      </c>
      <c r="B38" s="57">
        <f>C38+D38</f>
        <v>1000204</v>
      </c>
      <c r="C38" s="41">
        <v>490143</v>
      </c>
      <c r="D38" s="16">
        <v>510061</v>
      </c>
      <c r="E38" s="42">
        <f>F38/B38</f>
        <v>0.06565660605236531</v>
      </c>
      <c r="F38" s="43">
        <f>SUM(M38,V38,AB38,AH38)</f>
        <v>65670</v>
      </c>
      <c r="G38" s="43">
        <f>SUM(N38,W38,AC38,AI38)</f>
        <v>27769</v>
      </c>
      <c r="H38" s="44">
        <f>SUM(O38,X38,AD38,AJ38)</f>
        <v>37901</v>
      </c>
      <c r="I38" s="45">
        <f>J38/B38</f>
        <v>0.06565660605236531</v>
      </c>
      <c r="J38" s="43">
        <f>SUM(M38,V38,Y38,AB38,AE38,AH38,AK38,AN38)</f>
        <v>65670</v>
      </c>
      <c r="K38" s="43">
        <f>SUM(N38,W38,Z38,AC38,AF38,AI38,AL38,AO38)</f>
        <v>27769</v>
      </c>
      <c r="L38" s="43">
        <f>SUM(O38,X38,AA38,AD38,AG38,AJ38,AM38,AP38)</f>
        <v>37901</v>
      </c>
      <c r="M38" s="46">
        <f>N38+O38</f>
        <v>34261</v>
      </c>
      <c r="N38" s="47">
        <v>11719</v>
      </c>
      <c r="O38" s="48">
        <v>22542</v>
      </c>
      <c r="P38" s="49"/>
      <c r="Q38" s="50"/>
      <c r="R38" s="13"/>
      <c r="S38" s="49"/>
      <c r="T38" s="50"/>
      <c r="U38" s="13"/>
      <c r="V38" s="46">
        <f>W38+X38</f>
        <v>11623</v>
      </c>
      <c r="W38" s="47">
        <v>3389</v>
      </c>
      <c r="X38" s="48">
        <v>8234</v>
      </c>
      <c r="Y38" s="49"/>
      <c r="Z38" s="50"/>
      <c r="AA38" s="13"/>
      <c r="AB38" s="46">
        <f>AC38+AD38</f>
        <v>3287</v>
      </c>
      <c r="AC38" s="47">
        <v>2210</v>
      </c>
      <c r="AD38" s="48">
        <v>1077</v>
      </c>
      <c r="AE38" s="49"/>
      <c r="AF38" s="50"/>
      <c r="AG38" s="13"/>
      <c r="AH38" s="46">
        <f>AI38+AJ38</f>
        <v>16499</v>
      </c>
      <c r="AI38" s="47">
        <v>10451</v>
      </c>
      <c r="AJ38" s="48">
        <v>6048</v>
      </c>
      <c r="AK38" s="49"/>
      <c r="AL38" s="50"/>
      <c r="AM38" s="13"/>
      <c r="AN38" s="49"/>
      <c r="AO38" s="50"/>
      <c r="AP38" s="13"/>
      <c r="AQ38" s="49"/>
      <c r="AR38" s="50"/>
      <c r="AS38" s="13"/>
    </row>
    <row r="39" ht="13.65" customHeight="1">
      <c r="A39" s="39">
        <v>31929</v>
      </c>
      <c r="B39" s="57">
        <f>C39+D39</f>
        <v>1005021</v>
      </c>
      <c r="C39" s="41">
        <v>485823</v>
      </c>
      <c r="D39" s="16">
        <v>519198</v>
      </c>
      <c r="E39" s="42">
        <f>F39/B39</f>
        <v>0.06680457423277722</v>
      </c>
      <c r="F39" s="43">
        <f>SUM(M39,V39,AB39,AH39)</f>
        <v>67140</v>
      </c>
      <c r="G39" s="43">
        <f>SUM(N39,W39,AC39,AI39)</f>
        <v>27769</v>
      </c>
      <c r="H39" s="44">
        <f>SUM(O39,X39,AD39,AJ39)</f>
        <v>39371</v>
      </c>
      <c r="I39" s="45">
        <f>J39/B39</f>
        <v>0.06680457423277722</v>
      </c>
      <c r="J39" s="43">
        <f>SUM(M39,V39,Y39,AB39,AE39,AH39,AK39,AN39)</f>
        <v>67140</v>
      </c>
      <c r="K39" s="43">
        <f>SUM(N39,W39,Z39,AC39,AF39,AI39,AL39,AO39)</f>
        <v>27769</v>
      </c>
      <c r="L39" s="43">
        <f>SUM(O39,X39,AA39,AD39,AG39,AJ39,AM39,AP39)</f>
        <v>39371</v>
      </c>
      <c r="M39" s="46">
        <f>N39+O39</f>
        <v>35220</v>
      </c>
      <c r="N39" s="47">
        <v>11719</v>
      </c>
      <c r="O39" s="48">
        <v>23501</v>
      </c>
      <c r="P39" s="49"/>
      <c r="Q39" s="50"/>
      <c r="R39" s="13"/>
      <c r="S39" s="49"/>
      <c r="T39" s="50"/>
      <c r="U39" s="13"/>
      <c r="V39" s="46">
        <f>W39+X39</f>
        <v>11759</v>
      </c>
      <c r="W39" s="47">
        <v>3389</v>
      </c>
      <c r="X39" s="48">
        <v>8370</v>
      </c>
      <c r="Y39" s="49"/>
      <c r="Z39" s="50"/>
      <c r="AA39" s="13"/>
      <c r="AB39" s="46">
        <f>AC39+AD39</f>
        <v>3285</v>
      </c>
      <c r="AC39" s="47">
        <v>2210</v>
      </c>
      <c r="AD39" s="48">
        <v>1075</v>
      </c>
      <c r="AE39" s="49"/>
      <c r="AF39" s="50"/>
      <c r="AG39" s="13"/>
      <c r="AH39" s="46">
        <f>AI39+AJ39</f>
        <v>16876</v>
      </c>
      <c r="AI39" s="47">
        <v>10451</v>
      </c>
      <c r="AJ39" s="48">
        <v>6425</v>
      </c>
      <c r="AK39" s="49"/>
      <c r="AL39" s="50"/>
      <c r="AM39" s="13"/>
      <c r="AN39" s="49"/>
      <c r="AO39" s="50"/>
      <c r="AP39" s="13"/>
      <c r="AQ39" s="49"/>
      <c r="AR39" s="50"/>
      <c r="AS39" s="13"/>
    </row>
    <row r="40" ht="13.65" customHeight="1">
      <c r="A40" s="39">
        <v>32295</v>
      </c>
      <c r="B40" s="57">
        <f>C40+D40</f>
        <v>1009223</v>
      </c>
      <c r="C40" s="41">
        <v>483580</v>
      </c>
      <c r="D40" s="16">
        <v>525643</v>
      </c>
      <c r="E40" s="42">
        <f>F40/B40</f>
        <v>0.07074155067809593</v>
      </c>
      <c r="F40" s="43">
        <f>SUM(M40,V40,AB40,AH40)</f>
        <v>71394</v>
      </c>
      <c r="G40" s="43">
        <f>SUM(N40,W40,AC40,AI40)</f>
        <v>29760</v>
      </c>
      <c r="H40" s="44">
        <f>SUM(O40,X40,AD40,AJ40)</f>
        <v>41634</v>
      </c>
      <c r="I40" s="45">
        <f>J40/B40</f>
        <v>0.07074155067809593</v>
      </c>
      <c r="J40" s="43">
        <f>SUM(M40,V40,Y40,AB40,AE40,AH40,AK40,AN40)</f>
        <v>71394</v>
      </c>
      <c r="K40" s="43">
        <f>SUM(N40,W40,Z40,AC40,AF40,AI40,AL40,AO40)</f>
        <v>29760</v>
      </c>
      <c r="L40" s="43">
        <f>SUM(O40,X40,AA40,AD40,AG40,AJ40,AM40,AP40)</f>
        <v>41634</v>
      </c>
      <c r="M40" s="46">
        <f>N40+O40</f>
        <v>37997</v>
      </c>
      <c r="N40" s="47">
        <v>12659</v>
      </c>
      <c r="O40" s="48">
        <v>25338</v>
      </c>
      <c r="P40" s="49"/>
      <c r="Q40" s="50"/>
      <c r="R40" s="13"/>
      <c r="S40" s="49"/>
      <c r="T40" s="50"/>
      <c r="U40" s="13"/>
      <c r="V40" s="46">
        <f>W40+X40</f>
        <v>11563</v>
      </c>
      <c r="W40" s="47">
        <v>3239</v>
      </c>
      <c r="X40" s="48">
        <v>8324</v>
      </c>
      <c r="Y40" s="49"/>
      <c r="Z40" s="50"/>
      <c r="AA40" s="13"/>
      <c r="AB40" s="46">
        <f>AC40+AD40</f>
        <v>3589</v>
      </c>
      <c r="AC40" s="47">
        <v>2438</v>
      </c>
      <c r="AD40" s="48">
        <v>1151</v>
      </c>
      <c r="AE40" s="49"/>
      <c r="AF40" s="50"/>
      <c r="AG40" s="13"/>
      <c r="AH40" s="46">
        <f>AI40+AJ40</f>
        <v>18245</v>
      </c>
      <c r="AI40" s="47">
        <v>11424</v>
      </c>
      <c r="AJ40" s="48">
        <v>6821</v>
      </c>
      <c r="AK40" s="49"/>
      <c r="AL40" s="50"/>
      <c r="AM40" s="13"/>
      <c r="AN40" s="49"/>
      <c r="AO40" s="50"/>
      <c r="AP40" s="13"/>
      <c r="AQ40" s="49"/>
      <c r="AR40" s="50"/>
      <c r="AS40" s="13"/>
    </row>
    <row r="41" ht="13.65" customHeight="1">
      <c r="A41" s="39">
        <v>32660</v>
      </c>
      <c r="B41" s="46">
        <v>1030000</v>
      </c>
      <c r="C41" s="41">
        <v>488681.16475502</v>
      </c>
      <c r="D41" s="16">
        <v>541318.8352449804</v>
      </c>
      <c r="E41" s="42">
        <f>F41/B41</f>
        <v>0.07583398058252427</v>
      </c>
      <c r="F41" s="43">
        <f>SUM(M41,V41,AB41,AH41)</f>
        <v>78109</v>
      </c>
      <c r="G41" s="43">
        <f>SUM(N41,W41,AC41,AI41)</f>
        <v>32266</v>
      </c>
      <c r="H41" s="44">
        <f>SUM(O41,X41,AD41,AJ41)</f>
        <v>45843</v>
      </c>
      <c r="I41" s="45">
        <f>J41/B41</f>
        <v>0.07583398058252427</v>
      </c>
      <c r="J41" s="43">
        <f>SUM(M41,V41,Y41,AB41,AE41,AH41,AK41,AN41)</f>
        <v>78109</v>
      </c>
      <c r="K41" s="43">
        <f>SUM(N41,W41,Z41,AC41,AF41,AI41,AL41,AO41)</f>
        <v>32266</v>
      </c>
      <c r="L41" s="43">
        <f>SUM(O41,X41,AA41,AD41,AG41,AJ41,AM41,AP41)</f>
        <v>45843</v>
      </c>
      <c r="M41" s="46">
        <f>N41+O41</f>
        <v>41631</v>
      </c>
      <c r="N41" s="47">
        <v>13665</v>
      </c>
      <c r="O41" s="48">
        <v>27966</v>
      </c>
      <c r="P41" s="49"/>
      <c r="Q41" s="50"/>
      <c r="R41" s="13"/>
      <c r="S41" s="46">
        <f>S20-T20-U20</f>
        <v>0</v>
      </c>
      <c r="T41" s="50"/>
      <c r="U41" s="13"/>
      <c r="V41" s="46">
        <f>W41+X41</f>
        <v>12469</v>
      </c>
      <c r="W41" s="47">
        <v>3454</v>
      </c>
      <c r="X41" s="48">
        <v>9015</v>
      </c>
      <c r="Y41" s="49"/>
      <c r="Z41" s="50"/>
      <c r="AA41" s="13"/>
      <c r="AB41" s="46">
        <f>AC41+AD41</f>
        <v>3873</v>
      </c>
      <c r="AC41" s="47">
        <v>2651</v>
      </c>
      <c r="AD41" s="48">
        <v>1222</v>
      </c>
      <c r="AE41" s="49"/>
      <c r="AF41" s="50"/>
      <c r="AG41" s="13"/>
      <c r="AH41" s="46">
        <f>AI41+AJ41</f>
        <v>20136</v>
      </c>
      <c r="AI41" s="47">
        <v>12496</v>
      </c>
      <c r="AJ41" s="48">
        <v>7640</v>
      </c>
      <c r="AK41" s="49"/>
      <c r="AL41" s="50"/>
      <c r="AM41" s="13"/>
      <c r="AN41" s="49"/>
      <c r="AO41" s="50"/>
      <c r="AP41" s="13"/>
      <c r="AQ41" s="49"/>
      <c r="AR41" s="50"/>
      <c r="AS41" s="13"/>
    </row>
    <row r="42" ht="13.65" customHeight="1">
      <c r="A42" s="39">
        <v>33025</v>
      </c>
      <c r="B42" s="46">
        <v>1062000</v>
      </c>
      <c r="C42" s="41">
        <v>497267.4464134475</v>
      </c>
      <c r="D42" s="16">
        <v>564732.5535865526</v>
      </c>
      <c r="E42" s="42">
        <f>F42/B42</f>
        <v>0.08092372881355932</v>
      </c>
      <c r="F42" s="43">
        <f>SUM(M42,V42,AB42,AH42)</f>
        <v>85941</v>
      </c>
      <c r="G42" s="43">
        <f>SUM(N42,W42,AC42,AI42)</f>
        <v>35718</v>
      </c>
      <c r="H42" s="44">
        <f>SUM(O42,X42,AD42,AJ42)</f>
        <v>50223</v>
      </c>
      <c r="I42" s="45">
        <f>J42/B42</f>
        <v>0.08092372881355932</v>
      </c>
      <c r="J42" s="43">
        <f>SUM(M42,V42,Y42,AB42,AE42,AH42,AK42,AN42)</f>
        <v>85941</v>
      </c>
      <c r="K42" s="43">
        <f>SUM(N42,W42,Z42,AC42,AF42,AI42,AL42,AO42)</f>
        <v>35718</v>
      </c>
      <c r="L42" s="43">
        <f>SUM(O42,X42,AA42,AD42,AG42,AJ42,AM42,AP42)</f>
        <v>50223</v>
      </c>
      <c r="M42" s="46">
        <f>N42+O42</f>
        <v>46286</v>
      </c>
      <c r="N42" s="47">
        <v>15259</v>
      </c>
      <c r="O42" s="48">
        <v>31027</v>
      </c>
      <c r="P42" s="49"/>
      <c r="Q42" s="50"/>
      <c r="R42" s="13"/>
      <c r="S42" s="46">
        <f>S22-T22-U22</f>
        <v>0</v>
      </c>
      <c r="T42" s="50"/>
      <c r="U42" s="13"/>
      <c r="V42" s="46">
        <f>W42+X42</f>
        <v>13102</v>
      </c>
      <c r="W42" s="47">
        <v>3620</v>
      </c>
      <c r="X42" s="48">
        <v>9482</v>
      </c>
      <c r="Y42" s="46">
        <f>Y22-Z22-AA22</f>
        <v>0</v>
      </c>
      <c r="Z42" s="50"/>
      <c r="AA42" s="13"/>
      <c r="AB42" s="46">
        <f>AC42+AD42</f>
        <v>4287</v>
      </c>
      <c r="AC42" s="47">
        <v>2918</v>
      </c>
      <c r="AD42" s="48">
        <v>1369</v>
      </c>
      <c r="AE42" s="46">
        <f>AE22-AF22-AG22</f>
        <v>0</v>
      </c>
      <c r="AF42" s="50"/>
      <c r="AG42" s="13"/>
      <c r="AH42" s="46">
        <f>AI42+AJ42</f>
        <v>22266</v>
      </c>
      <c r="AI42" s="47">
        <v>13921</v>
      </c>
      <c r="AJ42" s="48">
        <v>8345</v>
      </c>
      <c r="AK42" s="46">
        <f>AK22-AL22-AM22</f>
        <v>0</v>
      </c>
      <c r="AL42" s="50"/>
      <c r="AM42" s="13"/>
      <c r="AN42" s="46">
        <f>AN22-AO22-AP22</f>
        <v>0</v>
      </c>
      <c r="AO42" s="50"/>
      <c r="AP42" s="13"/>
      <c r="AQ42" s="46">
        <f>AQ22-AR22-AS22</f>
        <v>0</v>
      </c>
      <c r="AR42" s="50"/>
      <c r="AS42" s="13"/>
    </row>
    <row r="43" ht="13.65" customHeight="1">
      <c r="A43" s="39">
        <v>33390</v>
      </c>
      <c r="B43" s="46">
        <v>1108000</v>
      </c>
      <c r="C43" s="41">
        <v>510244.377079645</v>
      </c>
      <c r="D43" s="16">
        <v>597755.6229203554</v>
      </c>
      <c r="E43" s="42">
        <f>F43/B43</f>
        <v>0.08498014440433213</v>
      </c>
      <c r="F43" s="43">
        <f>SUM(M43,V43,AB43,AH43)</f>
        <v>94158</v>
      </c>
      <c r="G43" s="43">
        <f>SUM(N43,W43,AC43,AI43)</f>
        <v>39133</v>
      </c>
      <c r="H43" s="44">
        <f>SUM(O43,X43,AD43,AJ43)</f>
        <v>55025</v>
      </c>
      <c r="I43" s="45">
        <f>J43/B43</f>
        <v>0.08498014440433213</v>
      </c>
      <c r="J43" s="43">
        <f>SUM(M43,V43,Y43,AB43,AE43,AH43,AK43,AN43)</f>
        <v>94158</v>
      </c>
      <c r="K43" s="43">
        <f>SUM(N43,W43,Z43,AC43,AF43,AI43,AL43,AO43)</f>
        <v>39133</v>
      </c>
      <c r="L43" s="43">
        <f>SUM(O43,X43,AA43,AD43,AG43,AJ43,AM43,AP43)</f>
        <v>55025</v>
      </c>
      <c r="M43" s="46">
        <f>N43+O43</f>
        <v>50999</v>
      </c>
      <c r="N43" s="47">
        <v>16866</v>
      </c>
      <c r="O43" s="48">
        <v>34133</v>
      </c>
      <c r="P43" s="49"/>
      <c r="Q43" s="50"/>
      <c r="R43" s="13"/>
      <c r="S43" s="46">
        <f>S23-T23-U23</f>
        <v>0</v>
      </c>
      <c r="T43" s="50"/>
      <c r="U43" s="13"/>
      <c r="V43" s="46">
        <f>W43+X43</f>
        <v>13964</v>
      </c>
      <c r="W43" s="47">
        <v>4016</v>
      </c>
      <c r="X43" s="48">
        <v>9948</v>
      </c>
      <c r="Y43" s="46">
        <f>Y23-Z23-AA23</f>
        <v>0</v>
      </c>
      <c r="Z43" s="50"/>
      <c r="AA43" s="13"/>
      <c r="AB43" s="46">
        <f>AC43+AD43</f>
        <v>4602</v>
      </c>
      <c r="AC43" s="47">
        <v>3086</v>
      </c>
      <c r="AD43" s="48">
        <v>1516</v>
      </c>
      <c r="AE43" s="46">
        <f>AE23-AF23-AG23</f>
        <v>0</v>
      </c>
      <c r="AF43" s="50"/>
      <c r="AG43" s="13"/>
      <c r="AH43" s="46">
        <f>AI43+AJ43</f>
        <v>24593</v>
      </c>
      <c r="AI43" s="47">
        <v>15165</v>
      </c>
      <c r="AJ43" s="48">
        <v>9428</v>
      </c>
      <c r="AK43" s="46">
        <f>AK23-AL23-AM23</f>
        <v>0</v>
      </c>
      <c r="AL43" s="50"/>
      <c r="AM43" s="13"/>
      <c r="AN43" s="46">
        <f>AN23-AO23-AP23</f>
        <v>0</v>
      </c>
      <c r="AO43" s="50"/>
      <c r="AP43" s="13"/>
      <c r="AQ43" s="46">
        <f>AQ23-AR23-AS23</f>
        <v>0</v>
      </c>
      <c r="AR43" s="50"/>
      <c r="AS43" s="13"/>
    </row>
    <row r="44" ht="13.65" customHeight="1">
      <c r="A44" s="39">
        <v>33756</v>
      </c>
      <c r="B44" s="46">
        <v>1150000</v>
      </c>
      <c r="C44" s="41">
        <v>526972.9172330723</v>
      </c>
      <c r="D44" s="16">
        <v>623027.0827669278</v>
      </c>
      <c r="E44" s="42">
        <f>F44/B44</f>
        <v>0.0876495652173913</v>
      </c>
      <c r="F44" s="43">
        <f>SUM(M44,V44,AB44,AH44)</f>
        <v>100797</v>
      </c>
      <c r="G44" s="43">
        <f>SUM(N44,W44,AC44,AI44)</f>
        <v>42302</v>
      </c>
      <c r="H44" s="44">
        <f>SUM(O44,X44,AD44,AJ44)</f>
        <v>58495</v>
      </c>
      <c r="I44" s="45">
        <f>J44/B44</f>
        <v>0.0876495652173913</v>
      </c>
      <c r="J44" s="43">
        <f>SUM(M44,V44,Y44,AB44,AE44,AH44,AK44,AN44)</f>
        <v>100797</v>
      </c>
      <c r="K44" s="43">
        <f>SUM(N44,W44,Z44,AC44,AF44,AI44,AL44,AO44)</f>
        <v>42302</v>
      </c>
      <c r="L44" s="43">
        <f>SUM(O44,X44,AA44,AD44,AG44,AJ44,AM44,AP44)</f>
        <v>58495</v>
      </c>
      <c r="M44" s="46">
        <f>N44+O44</f>
        <v>54195</v>
      </c>
      <c r="N44" s="47">
        <v>18287</v>
      </c>
      <c r="O44" s="48">
        <v>35908</v>
      </c>
      <c r="P44" s="49"/>
      <c r="Q44" s="50"/>
      <c r="R44" s="13"/>
      <c r="S44" s="49"/>
      <c r="T44" s="50"/>
      <c r="U44" s="13"/>
      <c r="V44" s="46">
        <f>W44+X44</f>
        <v>14705</v>
      </c>
      <c r="W44" s="47">
        <v>4239</v>
      </c>
      <c r="X44" s="48">
        <v>10466</v>
      </c>
      <c r="Y44" s="49"/>
      <c r="Z44" s="50"/>
      <c r="AA44" s="13"/>
      <c r="AB44" s="46">
        <f>AC44+AD44</f>
        <v>4870</v>
      </c>
      <c r="AC44" s="47">
        <v>3310</v>
      </c>
      <c r="AD44" s="48">
        <v>1560</v>
      </c>
      <c r="AE44" s="49"/>
      <c r="AF44" s="50"/>
      <c r="AG44" s="13"/>
      <c r="AH44" s="46">
        <f>AI44+AJ44</f>
        <v>27027</v>
      </c>
      <c r="AI44" s="47">
        <v>16466</v>
      </c>
      <c r="AJ44" s="48">
        <v>10561</v>
      </c>
      <c r="AK44" s="49"/>
      <c r="AL44" s="50"/>
      <c r="AM44" s="13"/>
      <c r="AN44" s="49"/>
      <c r="AO44" s="50"/>
      <c r="AP44" s="13"/>
      <c r="AQ44" s="49"/>
      <c r="AR44" s="50"/>
      <c r="AS44" s="13"/>
    </row>
    <row r="45" ht="16" customHeight="1">
      <c r="A45" s="39">
        <v>34121</v>
      </c>
      <c r="B45" s="46">
        <v>1179000</v>
      </c>
      <c r="C45" s="41">
        <v>539202.335608808</v>
      </c>
      <c r="D45" s="16">
        <v>639797.6643911917</v>
      </c>
      <c r="E45" s="58">
        <f>F45/B45</f>
        <v>0.08763698049194232</v>
      </c>
      <c r="F45" s="59">
        <f>SUM(M45,V45,AB45,AH45)</f>
        <v>103324</v>
      </c>
      <c r="G45" s="59">
        <f>SUM(N45,W45,AC45,AI45)</f>
        <v>43998</v>
      </c>
      <c r="H45" s="60">
        <f>SUM(O45,X45,AD45,AJ45)</f>
        <v>59326</v>
      </c>
      <c r="I45" s="61">
        <f>J45/B45</f>
        <v>0.08763698049194232</v>
      </c>
      <c r="J45" s="59">
        <f>SUM(M45,V45,Y45,AB45,AE45,AH45,AK45,AN45)</f>
        <v>103324</v>
      </c>
      <c r="K45" s="59">
        <f>SUM(N45,W45,Z45,AC45,AF45,AI45,AL45,AO45)</f>
        <v>43998</v>
      </c>
      <c r="L45" s="59">
        <f>SUM(O45,X45,AA45,AD45,AG45,AJ45,AM45,AP45)</f>
        <v>59326</v>
      </c>
      <c r="M45" s="62">
        <f>N45+O45</f>
        <v>55255</v>
      </c>
      <c r="N45" s="47">
        <v>18978</v>
      </c>
      <c r="O45" s="48">
        <v>36277</v>
      </c>
      <c r="P45" s="63"/>
      <c r="Q45" s="50"/>
      <c r="R45" s="64"/>
      <c r="S45" s="65"/>
      <c r="T45" s="50"/>
      <c r="U45" s="13"/>
      <c r="V45" s="62">
        <f>W45+X45</f>
        <v>15383</v>
      </c>
      <c r="W45" s="47">
        <v>4454</v>
      </c>
      <c r="X45" s="48">
        <v>10929</v>
      </c>
      <c r="Y45" s="49"/>
      <c r="Z45" s="50"/>
      <c r="AA45" s="13"/>
      <c r="AB45" s="62">
        <f>AC45+AD45</f>
        <v>4865</v>
      </c>
      <c r="AC45" s="47">
        <v>3332</v>
      </c>
      <c r="AD45" s="48">
        <v>1533</v>
      </c>
      <c r="AE45" s="49"/>
      <c r="AF45" s="50"/>
      <c r="AG45" s="13"/>
      <c r="AH45" s="62">
        <f>AI45+AJ45</f>
        <v>27821</v>
      </c>
      <c r="AI45" s="47">
        <v>17234</v>
      </c>
      <c r="AJ45" s="48">
        <v>10587</v>
      </c>
      <c r="AK45" s="49"/>
      <c r="AL45" s="50"/>
      <c r="AM45" s="13"/>
      <c r="AN45" s="49"/>
      <c r="AO45" s="50"/>
      <c r="AP45" s="13"/>
      <c r="AQ45" s="49"/>
      <c r="AR45" s="50"/>
      <c r="AS45" s="13"/>
    </row>
    <row r="46" ht="16" customHeight="1">
      <c r="A46" s="39">
        <v>34486</v>
      </c>
      <c r="B46" s="57">
        <f>C46+D46</f>
        <v>1191139</v>
      </c>
      <c r="C46" s="41">
        <v>541028</v>
      </c>
      <c r="D46" s="16">
        <v>650111</v>
      </c>
      <c r="E46" s="58">
        <f>F46/B46</f>
        <v>0.08450818922056956</v>
      </c>
      <c r="F46" s="59">
        <f>SUM(M46,V46,AB46,AH46)</f>
        <v>100661</v>
      </c>
      <c r="G46" s="59">
        <f>SUM(N46,W46,AC46,AI46)</f>
        <v>43291</v>
      </c>
      <c r="H46" s="60">
        <f>SUM(O46,X46,AD46,AJ46)</f>
        <v>57370</v>
      </c>
      <c r="I46" s="61">
        <f>J46/B46</f>
        <v>0.08450818922056956</v>
      </c>
      <c r="J46" s="59">
        <f>SUM(M46,V46,Y46,AB46,AE46,AH46,AK46,AN46)</f>
        <v>100661</v>
      </c>
      <c r="K46" s="59">
        <f>SUM(N46,W46,Z46,AC46,AF46,AI46,AL46,AO46)</f>
        <v>43291</v>
      </c>
      <c r="L46" s="59">
        <f>SUM(O46,X46,AA46,AD46,AG46,AJ46,AM46,AP46)</f>
        <v>57370</v>
      </c>
      <c r="M46" s="62">
        <f>N46+O46</f>
        <v>53079</v>
      </c>
      <c r="N46" s="47">
        <v>18180</v>
      </c>
      <c r="O46" s="48">
        <v>34899</v>
      </c>
      <c r="P46" s="63"/>
      <c r="Q46" s="50"/>
      <c r="R46" s="64"/>
      <c r="S46" s="65"/>
      <c r="T46" s="50"/>
      <c r="U46" s="13"/>
      <c r="V46" s="62">
        <f>W46+X46</f>
        <v>15304</v>
      </c>
      <c r="W46" s="47">
        <v>4586</v>
      </c>
      <c r="X46" s="48">
        <v>10718</v>
      </c>
      <c r="Y46" s="49"/>
      <c r="Z46" s="50"/>
      <c r="AA46" s="13"/>
      <c r="AB46" s="62">
        <f>AC46+AD46</f>
        <v>4717</v>
      </c>
      <c r="AC46" s="47">
        <v>3234</v>
      </c>
      <c r="AD46" s="48">
        <v>1483</v>
      </c>
      <c r="AE46" s="49"/>
      <c r="AF46" s="50"/>
      <c r="AG46" s="13"/>
      <c r="AH46" s="62">
        <f>AI46+AJ46</f>
        <v>27561</v>
      </c>
      <c r="AI46" s="47">
        <v>17291</v>
      </c>
      <c r="AJ46" s="48">
        <v>10270</v>
      </c>
      <c r="AK46" s="49"/>
      <c r="AL46" s="50"/>
      <c r="AM46" s="13"/>
      <c r="AN46" s="49"/>
      <c r="AO46" s="50"/>
      <c r="AP46" s="13"/>
      <c r="AQ46" s="49"/>
      <c r="AR46" s="50"/>
      <c r="AS46" s="13"/>
    </row>
    <row r="47" ht="16" customHeight="1">
      <c r="A47" s="39">
        <v>34851</v>
      </c>
      <c r="B47" s="57">
        <f>C47+D47</f>
        <v>1182780</v>
      </c>
      <c r="C47" s="41">
        <v>535370</v>
      </c>
      <c r="D47" s="16">
        <v>647410</v>
      </c>
      <c r="E47" s="58">
        <f>F47/B47</f>
        <v>0.0818563046382252</v>
      </c>
      <c r="F47" s="59">
        <f>SUM(M47,V47,AB47,AH47)</f>
        <v>96818</v>
      </c>
      <c r="G47" s="59">
        <f>SUM(N47,W47,AC47,AI47)</f>
        <v>41709</v>
      </c>
      <c r="H47" s="60">
        <f>SUM(O47,X47,AD47,AJ47)</f>
        <v>55109</v>
      </c>
      <c r="I47" s="61">
        <f>J47/B47</f>
        <v>0.0818563046382252</v>
      </c>
      <c r="J47" s="59">
        <f>SUM(M47,V47,Y47,AB47,AE47,AH47,AK47,AN47)</f>
        <v>96818</v>
      </c>
      <c r="K47" s="59">
        <f>SUM(N47,W47,Z47,AC47,AF47,AI47,AL47,AO47)</f>
        <v>41709</v>
      </c>
      <c r="L47" s="59">
        <f>SUM(O47,X47,AA47,AD47,AG47,AJ47,AM47,AP47)</f>
        <v>55109</v>
      </c>
      <c r="M47" s="62">
        <f>N47+O47</f>
        <v>51056</v>
      </c>
      <c r="N47" s="47">
        <v>17539</v>
      </c>
      <c r="O47" s="48">
        <v>33517</v>
      </c>
      <c r="P47" s="63"/>
      <c r="Q47" s="50"/>
      <c r="R47" s="64"/>
      <c r="S47" s="65"/>
      <c r="T47" s="50"/>
      <c r="U47" s="13"/>
      <c r="V47" s="62">
        <f>W47+X47</f>
        <v>14658</v>
      </c>
      <c r="W47" s="47">
        <v>4517</v>
      </c>
      <c r="X47" s="48">
        <v>10141</v>
      </c>
      <c r="Y47" s="49"/>
      <c r="Z47" s="50"/>
      <c r="AA47" s="13"/>
      <c r="AB47" s="62">
        <f>AC47+AD47</f>
        <v>4461</v>
      </c>
      <c r="AC47" s="47">
        <v>3035</v>
      </c>
      <c r="AD47" s="48">
        <v>1426</v>
      </c>
      <c r="AE47" s="49"/>
      <c r="AF47" s="50"/>
      <c r="AG47" s="13"/>
      <c r="AH47" s="62">
        <f>AI47+AJ47</f>
        <v>26643</v>
      </c>
      <c r="AI47" s="47">
        <v>16618</v>
      </c>
      <c r="AJ47" s="48">
        <v>10025</v>
      </c>
      <c r="AK47" s="49"/>
      <c r="AL47" s="50"/>
      <c r="AM47" s="13"/>
      <c r="AN47" s="49"/>
      <c r="AO47" s="50"/>
      <c r="AP47" s="13"/>
      <c r="AQ47" s="49"/>
      <c r="AR47" s="50"/>
      <c r="AS47" s="13"/>
    </row>
    <row r="48" ht="16" customHeight="1">
      <c r="A48" s="39">
        <v>35217</v>
      </c>
      <c r="B48" s="57">
        <f>C48+D48</f>
        <v>1181637</v>
      </c>
      <c r="C48" s="41">
        <v>528791</v>
      </c>
      <c r="D48" s="16">
        <v>652846</v>
      </c>
      <c r="E48" s="58">
        <f>F48/B48</f>
        <v>0.08076168908048749</v>
      </c>
      <c r="F48" s="59">
        <f>SUM(M48,V48,AB48,AH48)</f>
        <v>95431</v>
      </c>
      <c r="G48" s="59">
        <f>SUM(N48,W48,AC48,AI48)</f>
        <v>40695</v>
      </c>
      <c r="H48" s="60">
        <f>SUM(O48,X48,AD48,AJ48)</f>
        <v>54736</v>
      </c>
      <c r="I48" s="61">
        <f>J48/B48</f>
        <v>0.08076168908048749</v>
      </c>
      <c r="J48" s="59">
        <f>SUM(M48,V48,Y48,AB48,AE48,AH48,AK48,AN48)</f>
        <v>95431</v>
      </c>
      <c r="K48" s="59">
        <f>SUM(N48,W48,Z48,AC48,AF48,AI48,AL48,AO48)</f>
        <v>40695</v>
      </c>
      <c r="L48" s="59">
        <f>SUM(O48,X48,AA48,AD48,AG48,AJ48,AM48,AP48)</f>
        <v>54736</v>
      </c>
      <c r="M48" s="62">
        <f>N48+O48</f>
        <v>49843</v>
      </c>
      <c r="N48" s="47">
        <v>16982</v>
      </c>
      <c r="O48" s="48">
        <v>32861</v>
      </c>
      <c r="P48" s="63"/>
      <c r="Q48" s="50"/>
      <c r="R48" s="64"/>
      <c r="S48" s="65"/>
      <c r="T48" s="50"/>
      <c r="U48" s="13"/>
      <c r="V48" s="62">
        <f>W48+X48</f>
        <v>14937</v>
      </c>
      <c r="W48" s="47">
        <v>4532</v>
      </c>
      <c r="X48" s="48">
        <v>10405</v>
      </c>
      <c r="Y48" s="49"/>
      <c r="Z48" s="50"/>
      <c r="AA48" s="13"/>
      <c r="AB48" s="62">
        <f>AC48+AD48</f>
        <v>4587</v>
      </c>
      <c r="AC48" s="47">
        <v>3224</v>
      </c>
      <c r="AD48" s="48">
        <v>1363</v>
      </c>
      <c r="AE48" s="49"/>
      <c r="AF48" s="50"/>
      <c r="AG48" s="13"/>
      <c r="AH48" s="62">
        <f>AI48+AJ48</f>
        <v>26064</v>
      </c>
      <c r="AI48" s="47">
        <v>15957</v>
      </c>
      <c r="AJ48" s="48">
        <v>10107</v>
      </c>
      <c r="AK48" s="49"/>
      <c r="AL48" s="50"/>
      <c r="AM48" s="13"/>
      <c r="AN48" s="49"/>
      <c r="AO48" s="50"/>
      <c r="AP48" s="13"/>
      <c r="AQ48" s="49"/>
      <c r="AR48" s="50"/>
      <c r="AS48" s="13"/>
    </row>
    <row r="49" ht="16" customHeight="1">
      <c r="A49" s="39">
        <v>35582</v>
      </c>
      <c r="B49" s="57">
        <f>C49+D49</f>
        <v>1188385</v>
      </c>
      <c r="C49" s="41">
        <v>526047</v>
      </c>
      <c r="D49" s="16">
        <v>662338</v>
      </c>
      <c r="E49" s="58">
        <f>F49/B49</f>
        <v>0.07817500220888011</v>
      </c>
      <c r="F49" s="59">
        <f>SUM(M49,V49,AB49,AH49)</f>
        <v>92902</v>
      </c>
      <c r="G49" s="59">
        <f>SUM(N49,W49,AC49,AI49)</f>
        <v>39401</v>
      </c>
      <c r="H49" s="60">
        <f>SUM(O49,X49,AD49,AJ49)</f>
        <v>53501</v>
      </c>
      <c r="I49" s="61">
        <f>J49/B49</f>
        <v>0.07817500220888011</v>
      </c>
      <c r="J49" s="59">
        <f>SUM(M49,V49,Y49,AB49,AE49,AH49,AK49,AN49)</f>
        <v>92902</v>
      </c>
      <c r="K49" s="59">
        <f>SUM(N49,W49,Z49,AC49,AF49,AI49,AL49,AO49)</f>
        <v>39401</v>
      </c>
      <c r="L49" s="59">
        <f>SUM(O49,X49,AA49,AD49,AG49,AJ49,AM49,AP49)</f>
        <v>53501</v>
      </c>
      <c r="M49" s="62">
        <f>N49+O49</f>
        <v>48526</v>
      </c>
      <c r="N49" s="47">
        <v>16290</v>
      </c>
      <c r="O49" s="48">
        <v>32236</v>
      </c>
      <c r="P49" s="63"/>
      <c r="Q49" s="50"/>
      <c r="R49" s="64"/>
      <c r="S49" s="65"/>
      <c r="T49" s="50"/>
      <c r="U49" s="13"/>
      <c r="V49" s="62">
        <f>W49+X49</f>
        <v>14562</v>
      </c>
      <c r="W49" s="47">
        <v>4405</v>
      </c>
      <c r="X49" s="48">
        <v>10157</v>
      </c>
      <c r="Y49" s="49"/>
      <c r="Z49" s="50"/>
      <c r="AA49" s="13"/>
      <c r="AB49" s="62">
        <f>AC49+AD49</f>
        <v>4538</v>
      </c>
      <c r="AC49" s="47">
        <v>3142</v>
      </c>
      <c r="AD49" s="48">
        <v>1396</v>
      </c>
      <c r="AE49" s="49"/>
      <c r="AF49" s="50"/>
      <c r="AG49" s="13"/>
      <c r="AH49" s="62">
        <f>AI49+AJ49</f>
        <v>25276</v>
      </c>
      <c r="AI49" s="47">
        <v>15564</v>
      </c>
      <c r="AJ49" s="48">
        <v>9712</v>
      </c>
      <c r="AK49" s="49"/>
      <c r="AL49" s="50"/>
      <c r="AM49" s="13"/>
      <c r="AN49" s="49"/>
      <c r="AO49" s="50"/>
      <c r="AP49" s="13"/>
      <c r="AQ49" s="49"/>
      <c r="AR49" s="50"/>
      <c r="AS49" s="13"/>
    </row>
    <row r="50" ht="16" customHeight="1">
      <c r="A50" s="39">
        <v>35947</v>
      </c>
      <c r="B50" s="57">
        <f>C50+D50</f>
        <v>1203827</v>
      </c>
      <c r="C50" s="41">
        <v>527779</v>
      </c>
      <c r="D50" s="16">
        <v>676048</v>
      </c>
      <c r="E50" s="58">
        <f>F50/B50</f>
        <v>0.07878872960981935</v>
      </c>
      <c r="F50" s="59">
        <f>SUM(M50,V50,AB50,AH50)</f>
        <v>94848</v>
      </c>
      <c r="G50" s="59">
        <f>SUM(N50,W50,AC50,AI50)</f>
        <v>39860</v>
      </c>
      <c r="H50" s="60">
        <f>SUM(O50,X50,AD50,AJ50)</f>
        <v>54988</v>
      </c>
      <c r="I50" s="61">
        <f>J50/B50</f>
        <v>0.07878872960981935</v>
      </c>
      <c r="J50" s="59">
        <f>SUM(M50,V50,Y50,AB50,AE50,AH50,AK50,AN50)</f>
        <v>94848</v>
      </c>
      <c r="K50" s="59">
        <f>SUM(N50,W50,Z50,AC50,AF50,AI50,AL50,AO50)</f>
        <v>39860</v>
      </c>
      <c r="L50" s="59">
        <f>SUM(O50,X50,AA50,AD50,AG50,AJ50,AM50,AP50)</f>
        <v>54988</v>
      </c>
      <c r="M50" s="62">
        <f>N50+O50</f>
        <v>48861</v>
      </c>
      <c r="N50" s="47">
        <v>16223</v>
      </c>
      <c r="O50" s="48">
        <v>32638</v>
      </c>
      <c r="P50" s="63"/>
      <c r="Q50" s="50"/>
      <c r="R50" s="64"/>
      <c r="S50" s="65"/>
      <c r="T50" s="50"/>
      <c r="U50" s="13"/>
      <c r="V50" s="62">
        <f>W50+X50</f>
        <v>15319</v>
      </c>
      <c r="W50" s="47">
        <v>4594</v>
      </c>
      <c r="X50" s="48">
        <v>10725</v>
      </c>
      <c r="Y50" s="49"/>
      <c r="Z50" s="50"/>
      <c r="AA50" s="13"/>
      <c r="AB50" s="62">
        <f>AC50+AD50</f>
        <v>4871</v>
      </c>
      <c r="AC50" s="47">
        <v>3342</v>
      </c>
      <c r="AD50" s="48">
        <v>1529</v>
      </c>
      <c r="AE50" s="49"/>
      <c r="AF50" s="50"/>
      <c r="AG50" s="13"/>
      <c r="AH50" s="62">
        <f>AI50+AJ50</f>
        <v>25797</v>
      </c>
      <c r="AI50" s="47">
        <v>15701</v>
      </c>
      <c r="AJ50" s="48">
        <v>10096</v>
      </c>
      <c r="AK50" s="49"/>
      <c r="AL50" s="50"/>
      <c r="AM50" s="13"/>
      <c r="AN50" s="49"/>
      <c r="AO50" s="50"/>
      <c r="AP50" s="13"/>
      <c r="AQ50" s="49"/>
      <c r="AR50" s="50"/>
      <c r="AS50" s="13"/>
    </row>
    <row r="51" ht="16" customHeight="1">
      <c r="A51" s="39">
        <v>36678</v>
      </c>
      <c r="B51" s="57">
        <f>C51+D51</f>
        <v>1259231</v>
      </c>
      <c r="C51" s="41">
        <v>538795</v>
      </c>
      <c r="D51" s="16">
        <v>720436</v>
      </c>
      <c r="E51" s="58">
        <f>F51/B51</f>
        <v>0.07627512346821194</v>
      </c>
      <c r="F51" s="59">
        <f>SUM(M51,V51,AB51,AH51)</f>
        <v>96048</v>
      </c>
      <c r="G51" s="59">
        <f>SUM(N51,W51,AC51,AI51)</f>
        <v>38911</v>
      </c>
      <c r="H51" s="60">
        <f>SUM(O51,X51,AD51,AJ51)</f>
        <v>57137</v>
      </c>
      <c r="I51" s="61">
        <f>J51/B51</f>
        <v>0.07627512346821194</v>
      </c>
      <c r="J51" s="59">
        <f>SUM(M51,V51,Y51,AB51,AE51,AH51,AK51,AN51)</f>
        <v>96048</v>
      </c>
      <c r="K51" s="59">
        <f>SUM(N51,W51,Z51,AC51,AF51,AI51,AL51,AO51)</f>
        <v>38911</v>
      </c>
      <c r="L51" s="59">
        <f>SUM(O51,X51,AA51,AD51,AG51,AJ51,AM51,AP51)</f>
        <v>57137</v>
      </c>
      <c r="M51" s="62">
        <f>N51+O51</f>
        <v>49912</v>
      </c>
      <c r="N51" s="47">
        <v>16072</v>
      </c>
      <c r="O51" s="48">
        <v>33840</v>
      </c>
      <c r="P51" s="63"/>
      <c r="Q51" s="50"/>
      <c r="R51" s="64"/>
      <c r="S51" s="65"/>
      <c r="T51" s="50"/>
      <c r="U51" s="13"/>
      <c r="V51" s="62">
        <f>W51+X51</f>
        <v>16005</v>
      </c>
      <c r="W51" s="47">
        <v>4632</v>
      </c>
      <c r="X51" s="48">
        <v>11373</v>
      </c>
      <c r="Y51" s="49"/>
      <c r="Z51" s="50"/>
      <c r="AA51" s="13"/>
      <c r="AB51" s="62">
        <f>AC51+AD51</f>
        <v>4807</v>
      </c>
      <c r="AC51" s="47">
        <v>3296</v>
      </c>
      <c r="AD51" s="48">
        <v>1511</v>
      </c>
      <c r="AE51" s="49"/>
      <c r="AF51" s="50"/>
      <c r="AG51" s="13"/>
      <c r="AH51" s="62">
        <f>AI51+AJ51</f>
        <v>25324</v>
      </c>
      <c r="AI51" s="47">
        <v>14911</v>
      </c>
      <c r="AJ51" s="48">
        <v>10413</v>
      </c>
      <c r="AK51" s="49"/>
      <c r="AL51" s="50"/>
      <c r="AM51" s="13"/>
      <c r="AN51" s="49"/>
      <c r="AO51" s="50"/>
      <c r="AP51" s="13"/>
      <c r="AQ51" s="49"/>
      <c r="AR51" s="50"/>
      <c r="AS51" s="13"/>
    </row>
    <row r="52" ht="16" customHeight="1">
      <c r="A52" s="39">
        <v>37043</v>
      </c>
      <c r="B52" s="57">
        <f>C52+D52</f>
        <v>1319233</v>
      </c>
      <c r="C52" s="41">
        <v>562595</v>
      </c>
      <c r="D52" s="16">
        <v>756638</v>
      </c>
      <c r="E52" s="58">
        <f>F52/B52</f>
        <v>0.08116079570477694</v>
      </c>
      <c r="F52" s="59">
        <f>SUM(M52,V52,AB52,AH52)</f>
        <v>107070</v>
      </c>
      <c r="G52" s="59">
        <f>SUM(N52,W52,AC52,AI52)</f>
        <v>42527</v>
      </c>
      <c r="H52" s="60">
        <f>SUM(O52,X52,AD52,AJ52)</f>
        <v>64543</v>
      </c>
      <c r="I52" s="61">
        <f>J52/B52</f>
        <v>0.08116079570477694</v>
      </c>
      <c r="J52" s="59">
        <f>SUM(M52,V52,Y52,AB52,AE52,AH52,AK52,AN52)</f>
        <v>107070</v>
      </c>
      <c r="K52" s="59">
        <f>SUM(N52,W52,Z52,AC52,AF52,AI52,AL52,AO52)</f>
        <v>42527</v>
      </c>
      <c r="L52" s="59">
        <f>SUM(O52,X52,AA52,AD52,AG52,AJ52,AM52,AP52)</f>
        <v>64543</v>
      </c>
      <c r="M52" s="62">
        <f>N52+O52</f>
        <v>53142</v>
      </c>
      <c r="N52" s="47">
        <v>16791</v>
      </c>
      <c r="O52" s="48">
        <v>36351</v>
      </c>
      <c r="P52" s="63"/>
      <c r="Q52" s="50"/>
      <c r="R52" s="13"/>
      <c r="S52" s="49"/>
      <c r="T52" s="50"/>
      <c r="U52" s="13"/>
      <c r="V52" s="62">
        <f>W52+X52</f>
        <v>20810</v>
      </c>
      <c r="W52" s="47">
        <v>5935</v>
      </c>
      <c r="X52" s="48">
        <v>14875</v>
      </c>
      <c r="Y52" s="49"/>
      <c r="Z52" s="50"/>
      <c r="AA52" s="13"/>
      <c r="AB52" s="62">
        <f>AC52+AD52</f>
        <v>5882</v>
      </c>
      <c r="AC52" s="47">
        <v>4000</v>
      </c>
      <c r="AD52" s="48">
        <v>1882</v>
      </c>
      <c r="AE52" s="49"/>
      <c r="AF52" s="50"/>
      <c r="AG52" s="13"/>
      <c r="AH52" s="62">
        <f>AI52+AJ52</f>
        <v>27236</v>
      </c>
      <c r="AI52" s="47">
        <v>15801</v>
      </c>
      <c r="AJ52" s="48">
        <v>11435</v>
      </c>
      <c r="AK52" s="49"/>
      <c r="AL52" s="50"/>
      <c r="AM52" s="13"/>
      <c r="AN52" s="49"/>
      <c r="AO52" s="50"/>
      <c r="AP52" s="13"/>
      <c r="AQ52" s="49"/>
      <c r="AR52" s="50"/>
      <c r="AS52" s="13"/>
    </row>
    <row r="53" ht="16" customHeight="1">
      <c r="A53" s="39">
        <v>37408</v>
      </c>
      <c r="B53" s="57">
        <f>C53+D53</f>
        <v>1375026</v>
      </c>
      <c r="C53" s="41">
        <v>583766</v>
      </c>
      <c r="D53" s="16">
        <v>791260</v>
      </c>
      <c r="E53" s="58">
        <f>F53/B53</f>
        <v>0.08142755118812299</v>
      </c>
      <c r="F53" s="59">
        <f>SUM(M53,V53,AB53,AH53)</f>
        <v>111965</v>
      </c>
      <c r="G53" s="59">
        <f>SUM(N53,W53,AC53,AI53)</f>
        <v>44479</v>
      </c>
      <c r="H53" s="60">
        <f>SUM(O53,X53,AD53,AJ53)</f>
        <v>67486</v>
      </c>
      <c r="I53" s="61">
        <f>J53/B53</f>
        <v>0.08142755118812299</v>
      </c>
      <c r="J53" s="59">
        <f>SUM(M53,V53,Y53,AB53,AE53,AH53,AK53,AN53)</f>
        <v>111965</v>
      </c>
      <c r="K53" s="59">
        <f>SUM(N53,W53,Z53,AC53,AF53,AI53,AL53,AO53)</f>
        <v>44479</v>
      </c>
      <c r="L53" s="59">
        <f>SUM(O53,X53,AA53,AD53,AG53,AJ53,AM53,AP53)</f>
        <v>67486</v>
      </c>
      <c r="M53" s="62">
        <f>N53+O53</f>
        <v>55148</v>
      </c>
      <c r="N53" s="47">
        <v>17331</v>
      </c>
      <c r="O53" s="48">
        <v>37817</v>
      </c>
      <c r="P53" s="63"/>
      <c r="Q53" s="50"/>
      <c r="R53" s="13"/>
      <c r="S53" s="49"/>
      <c r="T53" s="50"/>
      <c r="U53" s="13"/>
      <c r="V53" s="62">
        <f>W53+X53</f>
        <v>21759</v>
      </c>
      <c r="W53" s="47">
        <v>6169</v>
      </c>
      <c r="X53" s="48">
        <v>15590</v>
      </c>
      <c r="Y53" s="49"/>
      <c r="Z53" s="50"/>
      <c r="AA53" s="13"/>
      <c r="AB53" s="62">
        <f>AC53+AD53</f>
        <v>6591</v>
      </c>
      <c r="AC53" s="47">
        <v>4411</v>
      </c>
      <c r="AD53" s="48">
        <v>2180</v>
      </c>
      <c r="AE53" s="49"/>
      <c r="AF53" s="50"/>
      <c r="AG53" s="13"/>
      <c r="AH53" s="62">
        <f>AI53+AJ53</f>
        <v>28467</v>
      </c>
      <c r="AI53" s="47">
        <v>16568</v>
      </c>
      <c r="AJ53" s="48">
        <v>11899</v>
      </c>
      <c r="AK53" s="49"/>
      <c r="AL53" s="50"/>
      <c r="AM53" s="13"/>
      <c r="AN53" s="49"/>
      <c r="AO53" s="50"/>
      <c r="AP53" s="13"/>
      <c r="AQ53" s="49"/>
      <c r="AR53" s="50"/>
      <c r="AS53" s="13"/>
    </row>
    <row r="54" ht="13.65" customHeight="1">
      <c r="A54" s="66"/>
      <c r="B54" s="67"/>
      <c r="C54" s="50"/>
      <c r="D54" s="13"/>
      <c r="E54" s="21"/>
      <c r="F54" s="68"/>
      <c r="G54" s="69"/>
      <c r="H54" s="28"/>
      <c r="I54" s="21"/>
      <c r="J54" s="68"/>
      <c r="K54" s="69"/>
      <c r="L54" s="28"/>
      <c r="M54" s="68"/>
      <c r="N54" s="50"/>
      <c r="O54" s="13"/>
      <c r="P54" s="68"/>
      <c r="Q54" s="50"/>
      <c r="R54" s="13"/>
      <c r="S54" s="68"/>
      <c r="T54" s="50"/>
      <c r="U54" s="13"/>
      <c r="V54" s="68"/>
      <c r="W54" s="50"/>
      <c r="X54" s="13"/>
      <c r="Y54" s="68"/>
      <c r="Z54" s="50"/>
      <c r="AA54" s="13"/>
      <c r="AB54" s="68"/>
      <c r="AC54" s="50"/>
      <c r="AD54" s="13"/>
      <c r="AE54" s="68"/>
      <c r="AF54" s="50"/>
      <c r="AG54" s="13"/>
      <c r="AH54" s="68"/>
      <c r="AI54" s="50"/>
      <c r="AJ54" s="13"/>
      <c r="AK54" s="68"/>
      <c r="AL54" s="50"/>
      <c r="AM54" s="13"/>
      <c r="AN54" s="68"/>
      <c r="AO54" s="50"/>
      <c r="AP54" s="13"/>
      <c r="AQ54" s="68"/>
      <c r="AR54" s="50"/>
      <c r="AS54" s="13"/>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2.xml><?xml version="1.0" encoding="utf-8"?>
<worksheet xmlns:r="http://schemas.openxmlformats.org/officeDocument/2006/relationships" xmlns="http://schemas.openxmlformats.org/spreadsheetml/2006/main">
  <sheetPr>
    <pageSetUpPr fitToPage="1"/>
  </sheetPr>
  <dimension ref="A2:K51"/>
  <sheetViews>
    <sheetView workbookViewId="0" showGridLines="0" defaultGridColor="1">
      <pane topLeftCell="B3" xSplit="1" ySplit="2" activePane="bottomRight" state="frozen"/>
    </sheetView>
  </sheetViews>
  <sheetFormatPr defaultColWidth="16.3333" defaultRowHeight="13.45" customHeight="1" outlineLevelRow="0" outlineLevelCol="0"/>
  <cols>
    <col min="1" max="1" width="16.3516" style="70" customWidth="1"/>
    <col min="2" max="2" width="16.3516" style="70" customWidth="1"/>
    <col min="3" max="3" width="16.3516" style="70" customWidth="1"/>
    <col min="4" max="4" width="16.3516" style="70" customWidth="1"/>
    <col min="5" max="5" width="16.3516" style="70" customWidth="1"/>
    <col min="6" max="6" width="16.3516" style="70" customWidth="1"/>
    <col min="7" max="7" width="16.3516" style="70" customWidth="1"/>
    <col min="8" max="8" width="16.3516" style="70" customWidth="1"/>
    <col min="9" max="9" width="16.3516" style="70" customWidth="1"/>
    <col min="10" max="10" width="16.3516" style="70" customWidth="1"/>
    <col min="11" max="11" width="16.3516" style="70" customWidth="1"/>
    <col min="12" max="256" width="16.3516" style="70" customWidth="1"/>
  </cols>
  <sheetData>
    <row r="1" ht="14.55" customHeight="1">
      <c r="A1" t="s" s="71">
        <v>23</v>
      </c>
      <c r="B1" s="71"/>
      <c r="C1" s="71"/>
      <c r="D1" s="71"/>
      <c r="E1" s="71"/>
      <c r="F1" s="71"/>
      <c r="G1" s="71"/>
      <c r="H1" s="71"/>
      <c r="I1" s="71"/>
      <c r="J1" s="71"/>
      <c r="K1" s="71"/>
    </row>
    <row r="2" ht="13.2" customHeight="1">
      <c r="A2" s="72"/>
      <c r="B2" t="s" s="73">
        <v>24</v>
      </c>
      <c r="C2" t="s" s="73">
        <v>25</v>
      </c>
      <c r="D2" t="s" s="73">
        <v>26</v>
      </c>
      <c r="E2" t="s" s="73">
        <v>27</v>
      </c>
      <c r="F2" t="s" s="73">
        <v>28</v>
      </c>
      <c r="G2" t="s" s="73">
        <v>29</v>
      </c>
      <c r="H2" t="s" s="73">
        <v>30</v>
      </c>
      <c r="I2" t="s" s="73">
        <v>31</v>
      </c>
      <c r="J2" t="s" s="73">
        <v>32</v>
      </c>
      <c r="K2" t="s" s="73">
        <v>33</v>
      </c>
    </row>
    <row r="3" ht="13.2" customHeight="1">
      <c r="A3" s="74">
        <f>'BA'!A5</f>
        <v>17685</v>
      </c>
      <c r="B3" s="75">
        <f>'BA'!C5</f>
        <v>175987</v>
      </c>
      <c r="C3" s="76">
        <f>'BA'!D5</f>
        <v>96157</v>
      </c>
      <c r="D3" s="77">
        <f>'BA'!N5</f>
        <v>4392</v>
      </c>
      <c r="E3" s="77">
        <f>'BA'!O5</f>
        <v>8222</v>
      </c>
      <c r="F3" s="77">
        <f>'BA'!W5</f>
        <v>1197</v>
      </c>
      <c r="G3" s="77">
        <f>'BA'!X5</f>
        <v>3044</v>
      </c>
      <c r="H3" s="77">
        <f>'BA'!AI5</f>
        <v>5669</v>
      </c>
      <c r="I3" s="77">
        <f>'BA'!AJ5</f>
        <v>3576</v>
      </c>
      <c r="J3" s="77">
        <f>'BA'!AC5</f>
        <v>1397</v>
      </c>
      <c r="K3" s="77">
        <f>'BA'!AD5</f>
        <v>329</v>
      </c>
    </row>
    <row r="4" ht="13" customHeight="1">
      <c r="A4" s="78">
        <f>'BA'!A6</f>
        <v>18050</v>
      </c>
      <c r="B4" s="79">
        <f>'BA'!C6</f>
        <v>264168</v>
      </c>
      <c r="C4" s="80">
        <f>'BA'!D6</f>
        <v>102466</v>
      </c>
      <c r="D4" s="81">
        <f>'BA'!N6</f>
        <v>6206</v>
      </c>
      <c r="E4" s="81">
        <f>'BA'!O6</f>
        <v>8720</v>
      </c>
      <c r="F4" s="81">
        <f>'BA'!W6</f>
        <v>1762</v>
      </c>
      <c r="G4" s="81">
        <f>'BA'!X6</f>
        <v>2919</v>
      </c>
      <c r="H4" s="81">
        <f>'BA'!AI6</f>
        <v>7232</v>
      </c>
      <c r="I4" s="81">
        <f>'BA'!AJ6</f>
        <v>3259</v>
      </c>
      <c r="J4" s="81">
        <f>'BA'!AC6</f>
        <v>1809</v>
      </c>
      <c r="K4" s="81">
        <f>'BA'!AD6</f>
        <v>337</v>
      </c>
    </row>
    <row r="5" ht="13" customHeight="1">
      <c r="A5" s="78">
        <f>'BA'!A7</f>
        <v>18415</v>
      </c>
      <c r="B5" s="79">
        <f>'BA'!C7</f>
        <v>329819</v>
      </c>
      <c r="C5" s="80">
        <f>'BA'!D7</f>
        <v>103915</v>
      </c>
      <c r="D5" s="81">
        <f>'BA'!N7</f>
        <v>8223</v>
      </c>
      <c r="E5" s="81">
        <f>'BA'!O7</f>
        <v>9023</v>
      </c>
      <c r="F5" s="81">
        <f>'BA'!W7</f>
        <v>2226</v>
      </c>
      <c r="G5" s="81">
        <f>'BA'!X7</f>
        <v>2934</v>
      </c>
      <c r="H5" s="81">
        <f>'BA'!AI7</f>
        <v>10242</v>
      </c>
      <c r="I5" s="81">
        <f>'BA'!AJ7</f>
        <v>3325</v>
      </c>
      <c r="J5" s="81">
        <f>'BA'!AC7</f>
        <v>2449</v>
      </c>
      <c r="K5" s="81">
        <f>'BA'!AD7</f>
        <v>386</v>
      </c>
    </row>
    <row r="6" ht="13" customHeight="1">
      <c r="A6" s="78">
        <f>'BA'!A8</f>
        <v>18780</v>
      </c>
      <c r="B6" s="79">
        <f>'BA'!C8</f>
        <v>279343</v>
      </c>
      <c r="C6" s="80">
        <f>'BA'!D8</f>
        <v>105009</v>
      </c>
      <c r="D6" s="81">
        <f>'BA'!N8</f>
        <v>6829</v>
      </c>
      <c r="E6" s="81">
        <f>'BA'!O8</f>
        <v>8676</v>
      </c>
      <c r="F6" s="81">
        <f>'BA'!W8</f>
        <v>2071</v>
      </c>
      <c r="G6" s="81">
        <f>'BA'!X8</f>
        <v>2865</v>
      </c>
      <c r="H6" s="81">
        <f>'BA'!AI8</f>
        <v>9000</v>
      </c>
      <c r="I6" s="81">
        <f>'BA'!AJ8</f>
        <v>3321</v>
      </c>
      <c r="J6" s="81">
        <f>'BA'!AC8</f>
        <v>2333</v>
      </c>
      <c r="K6" s="81">
        <f>'BA'!AD8</f>
        <v>321</v>
      </c>
    </row>
    <row r="7" ht="13" customHeight="1">
      <c r="A7" s="78">
        <f>'BA'!A9</f>
        <v>19146</v>
      </c>
      <c r="B7" s="79">
        <f>'BA'!C9</f>
        <v>227029</v>
      </c>
      <c r="C7" s="80">
        <f>'BA'!D9</f>
        <v>104892</v>
      </c>
      <c r="D7" s="81">
        <f>'BA'!N9</f>
        <v>5805</v>
      </c>
      <c r="E7" s="81">
        <f>'BA'!O9</f>
        <v>8282</v>
      </c>
      <c r="F7" s="81">
        <f>'BA'!W9</f>
        <v>1706</v>
      </c>
      <c r="G7" s="81">
        <f>'BA'!X9</f>
        <v>2712</v>
      </c>
      <c r="H7" s="81">
        <f>'BA'!AI9</f>
        <v>7285</v>
      </c>
      <c r="I7" s="81">
        <f>'BA'!AJ9</f>
        <v>2931</v>
      </c>
      <c r="J7" s="81">
        <f>'BA'!AC9</f>
        <v>2124</v>
      </c>
      <c r="K7" s="81">
        <f>'BA'!AD9</f>
        <v>297</v>
      </c>
    </row>
    <row r="8" ht="13" customHeight="1">
      <c r="A8" s="78">
        <f>'BA'!A10</f>
        <v>19511</v>
      </c>
      <c r="B8" s="79">
        <f>'BA'!C10</f>
        <v>200820</v>
      </c>
      <c r="C8" s="80">
        <f>'BA'!D10</f>
        <v>104037</v>
      </c>
      <c r="D8" s="81">
        <f>'BA'!N10</f>
        <v>4987</v>
      </c>
      <c r="E8" s="81">
        <f>'BA'!O10</f>
        <v>7680</v>
      </c>
      <c r="F8" s="81">
        <f>'BA'!W10</f>
        <v>1567</v>
      </c>
      <c r="G8" s="81">
        <f>'BA'!X10</f>
        <v>2501</v>
      </c>
      <c r="H8" s="81">
        <f>'BA'!AI10</f>
        <v>6713</v>
      </c>
      <c r="I8" s="81">
        <f>'BA'!AJ10</f>
        <v>2863</v>
      </c>
      <c r="J8" s="81">
        <f>'BA'!AC10</f>
        <v>2282</v>
      </c>
      <c r="K8" s="81">
        <f>'BA'!AD10</f>
        <v>278</v>
      </c>
    </row>
    <row r="9" ht="13" customHeight="1">
      <c r="A9" s="78">
        <f>'BA'!A11</f>
        <v>19876</v>
      </c>
      <c r="B9" s="79">
        <f>'BA'!C11</f>
        <v>187500</v>
      </c>
      <c r="C9" s="80">
        <f>'BA'!D11</f>
        <v>105380</v>
      </c>
      <c r="D9" s="81">
        <f>'BA'!N11</f>
        <v>4729</v>
      </c>
      <c r="E9" s="81">
        <f>'BA'!O11</f>
        <v>7837</v>
      </c>
      <c r="F9" s="81">
        <f>'BA'!W11</f>
        <v>1473</v>
      </c>
      <c r="G9" s="81">
        <f>'BA'!X11</f>
        <v>2320</v>
      </c>
      <c r="H9" s="81">
        <f>'BA'!AI11</f>
        <v>6418</v>
      </c>
      <c r="I9" s="81">
        <f>'BA'!AJ11</f>
        <v>2967</v>
      </c>
      <c r="J9" s="81">
        <f>'BA'!AC11</f>
        <v>1582</v>
      </c>
      <c r="K9" s="81">
        <f>'BA'!AD11</f>
        <v>263</v>
      </c>
    </row>
    <row r="10" ht="13" customHeight="1">
      <c r="A10" s="78">
        <f>'BA'!A12</f>
        <v>20241</v>
      </c>
      <c r="B10" s="79">
        <f>'BA'!C12</f>
        <v>183602</v>
      </c>
      <c r="C10" s="80">
        <f>'BA'!D12</f>
        <v>103799</v>
      </c>
      <c r="D10" s="81">
        <f>'BA'!N12</f>
        <v>5121</v>
      </c>
      <c r="E10" s="81">
        <f>'BA'!O12</f>
        <v>7978</v>
      </c>
      <c r="F10" s="81">
        <f>'BA'!W12</f>
        <v>1413</v>
      </c>
      <c r="G10" s="81">
        <f>'BA'!X12</f>
        <v>2135</v>
      </c>
      <c r="H10" s="81">
        <f>'BA'!AI12</f>
        <v>6707</v>
      </c>
      <c r="I10" s="81">
        <f>'BA'!AJ12</f>
        <v>2833</v>
      </c>
      <c r="J10" s="81">
        <f>'BA'!AC12</f>
        <v>1473</v>
      </c>
      <c r="K10" s="81">
        <f>'BA'!AD12</f>
        <v>301</v>
      </c>
    </row>
    <row r="11" ht="13" customHeight="1">
      <c r="A11" s="78">
        <f>'BA'!A13</f>
        <v>20607</v>
      </c>
      <c r="B11" s="79">
        <f>'BA'!C13</f>
        <v>199571</v>
      </c>
      <c r="C11" s="80">
        <f>'BA'!D13</f>
        <v>111717</v>
      </c>
      <c r="D11" s="81">
        <f>'BA'!N13</f>
        <v>5530</v>
      </c>
      <c r="E11" s="81">
        <f>'BA'!O13</f>
        <v>8876</v>
      </c>
      <c r="F11" s="81">
        <f>'BA'!W13</f>
        <v>1512</v>
      </c>
      <c r="G11" s="81">
        <f>'BA'!X13</f>
        <v>2467</v>
      </c>
      <c r="H11" s="81">
        <f>'BA'!AI13</f>
        <v>7339</v>
      </c>
      <c r="I11" s="81">
        <f>'BA'!AJ13</f>
        <v>3201</v>
      </c>
      <c r="J11" s="81">
        <f>'BA'!AC13</f>
        <v>2343</v>
      </c>
      <c r="K11" s="81">
        <f>'BA'!AD13</f>
        <v>325</v>
      </c>
    </row>
    <row r="12" ht="13" customHeight="1">
      <c r="A12" s="78">
        <f>'BA'!A14</f>
        <v>20972</v>
      </c>
      <c r="B12" s="79">
        <f>'BA'!C14</f>
        <v>222738</v>
      </c>
      <c r="C12" s="80">
        <f>'BA'!D14</f>
        <v>117609</v>
      </c>
      <c r="D12" s="81">
        <f>'BA'!N14</f>
        <v>6169</v>
      </c>
      <c r="E12" s="81">
        <f>'BA'!O14</f>
        <v>9257</v>
      </c>
      <c r="F12" s="81">
        <f>'BA'!W14</f>
        <v>1724</v>
      </c>
      <c r="G12" s="81">
        <f>'BA'!X14</f>
        <v>2598</v>
      </c>
      <c r="H12" s="81">
        <f>'BA'!AI14</f>
        <v>8161</v>
      </c>
      <c r="I12" s="81">
        <f>'BA'!AJ14</f>
        <v>3531</v>
      </c>
      <c r="J12" s="81">
        <f>'BA'!AC14</f>
        <v>2526</v>
      </c>
      <c r="K12" s="81">
        <f>'BA'!AD14</f>
        <v>307</v>
      </c>
    </row>
    <row r="13" ht="13" customHeight="1">
      <c r="A13" s="78">
        <f>'BA'!A15</f>
        <v>21337</v>
      </c>
      <c r="B13" s="79">
        <f>'BA'!C15</f>
        <v>242948</v>
      </c>
      <c r="C13" s="80">
        <f>'BA'!D15</f>
        <v>122800</v>
      </c>
      <c r="D13" s="81">
        <f>'BA'!N15</f>
        <v>6755</v>
      </c>
      <c r="E13" s="81">
        <f>'BA'!O15</f>
        <v>9914</v>
      </c>
      <c r="F13" s="81">
        <f>'BA'!W15</f>
        <v>1814</v>
      </c>
      <c r="G13" s="81">
        <f>'BA'!X15</f>
        <v>2689</v>
      </c>
      <c r="H13" s="81">
        <f>'BA'!AI15</f>
        <v>9031</v>
      </c>
      <c r="I13" s="81">
        <f>'BA'!AJ15</f>
        <v>3852</v>
      </c>
      <c r="J13" s="81">
        <f>'BA'!AC15</f>
        <v>2637</v>
      </c>
      <c r="K13" s="81">
        <f>'BA'!AD15</f>
        <v>344</v>
      </c>
    </row>
    <row r="14" ht="13" customHeight="1">
      <c r="A14" s="78">
        <f>'BA'!A16</f>
        <v>21702</v>
      </c>
      <c r="B14" s="79">
        <f>'BA'!C16</f>
        <v>254969.962</v>
      </c>
      <c r="C14" s="80">
        <f>'BA'!D16</f>
        <v>130181.038</v>
      </c>
      <c r="D14" s="81">
        <f>'BA'!N16</f>
        <v>7828.976</v>
      </c>
      <c r="E14" s="81">
        <f>'BA'!O16</f>
        <v>10463.024</v>
      </c>
      <c r="F14" s="81">
        <f>'BA'!W16</f>
        <v>1863.897</v>
      </c>
      <c r="G14" s="81">
        <f>'BA'!X16</f>
        <v>2903.103</v>
      </c>
      <c r="H14" s="81">
        <f>'BA'!AI16</f>
        <v>9470.993514633958</v>
      </c>
      <c r="I14" s="81">
        <f>'BA'!AJ16</f>
        <v>4271.006485366042</v>
      </c>
      <c r="J14" s="81">
        <f>'BA'!AC16</f>
        <v>2781.828</v>
      </c>
      <c r="K14" s="81">
        <f>'BA'!AD16</f>
        <v>372.172</v>
      </c>
    </row>
    <row r="15" ht="13" customHeight="1">
      <c r="A15" s="78">
        <f>'BA'!A17</f>
        <v>22068</v>
      </c>
      <c r="B15" s="79">
        <f>'BA'!C17</f>
        <v>255504</v>
      </c>
      <c r="C15" s="80">
        <f>'BA'!D17</f>
        <v>139385</v>
      </c>
      <c r="D15" s="81">
        <f>'BA'!N17</f>
        <v>7597</v>
      </c>
      <c r="E15" s="81">
        <f>'BA'!O17</f>
        <v>12587</v>
      </c>
      <c r="F15" s="81">
        <f>'BA'!W17</f>
        <v>2098</v>
      </c>
      <c r="G15" s="81">
        <f>'BA'!X17</f>
        <v>3400</v>
      </c>
      <c r="H15" s="81">
        <f>'BA'!AI17</f>
        <v>10014</v>
      </c>
      <c r="I15" s="81">
        <f>'BA'!AJ17</f>
        <v>4769</v>
      </c>
      <c r="J15" s="81">
        <f>'BA'!AC17</f>
        <v>3052</v>
      </c>
      <c r="K15" s="81">
        <f>'BA'!AD17</f>
        <v>414</v>
      </c>
    </row>
    <row r="16" ht="13" customHeight="1">
      <c r="A16" s="78">
        <f>'BA'!A18</f>
        <v>22433</v>
      </c>
      <c r="B16" s="79">
        <f>'BA'!C18</f>
        <v>223424</v>
      </c>
      <c r="C16" s="80">
        <f>'BA'!D18</f>
        <v>141910</v>
      </c>
      <c r="D16" s="81">
        <f>'BA'!N18</f>
        <v>8024</v>
      </c>
      <c r="E16" s="81">
        <f>'BA'!O18</f>
        <v>13864</v>
      </c>
      <c r="F16" s="81">
        <f>'BA'!W18</f>
        <v>2389</v>
      </c>
      <c r="G16" s="81">
        <f>'BA'!X18</f>
        <v>4135</v>
      </c>
      <c r="H16" s="81">
        <f>'BA'!AI18</f>
        <v>10629</v>
      </c>
      <c r="I16" s="81">
        <f>'BA'!AJ18</f>
        <v>5139</v>
      </c>
      <c r="J16" s="81">
        <f>'BA'!AC18</f>
        <v>3225</v>
      </c>
      <c r="K16" s="81">
        <f>'BA'!AD18</f>
        <v>421</v>
      </c>
    </row>
    <row r="17" ht="13" customHeight="1">
      <c r="A17" s="78">
        <f>'BA'!A19</f>
        <v>22798</v>
      </c>
      <c r="B17" s="79">
        <f>'BA'!C19</f>
        <v>228445</v>
      </c>
      <c r="C17" s="80">
        <f>'BA'!D19</f>
        <v>154377</v>
      </c>
      <c r="D17" s="81">
        <f>'BA'!N19</f>
        <v>8553</v>
      </c>
      <c r="E17" s="81">
        <f>'BA'!O19</f>
        <v>15859</v>
      </c>
      <c r="F17" s="81">
        <f>'BA'!W19</f>
        <v>2777</v>
      </c>
      <c r="G17" s="81">
        <f>'BA'!X19</f>
        <v>5255</v>
      </c>
      <c r="H17" s="81">
        <f>'BA'!AI19</f>
        <v>11429</v>
      </c>
      <c r="I17" s="81">
        <f>'BA'!AJ19</f>
        <v>5976</v>
      </c>
      <c r="J17" s="81">
        <f>'BA'!AC19</f>
        <v>3254</v>
      </c>
      <c r="K17" s="81">
        <f>'BA'!AD19</f>
        <v>471</v>
      </c>
    </row>
    <row r="18" ht="13" customHeight="1">
      <c r="A18" s="78">
        <f>'BA'!A20</f>
        <v>23163</v>
      </c>
      <c r="B18" s="79">
        <f>'BA'!C20</f>
        <v>239108</v>
      </c>
      <c r="C18" s="80">
        <f>'BA'!D20</f>
        <v>171313</v>
      </c>
      <c r="D18" s="81">
        <f>'BA'!N20</f>
        <v>9550</v>
      </c>
      <c r="E18" s="81">
        <f>'BA'!O20</f>
        <v>18538</v>
      </c>
      <c r="F18" s="81">
        <f>'BA'!W20</f>
        <v>3240</v>
      </c>
      <c r="G18" s="81">
        <f>'BA'!X20</f>
        <v>6621</v>
      </c>
      <c r="H18" s="81">
        <f>'BA'!AI20</f>
        <v>12951</v>
      </c>
      <c r="I18" s="81">
        <f>'BA'!AJ20</f>
        <v>7120</v>
      </c>
      <c r="J18" s="81">
        <f>'BA'!AC20</f>
        <v>3545</v>
      </c>
      <c r="K18" s="81">
        <f>'BA'!AD20</f>
        <v>540</v>
      </c>
    </row>
    <row r="19" ht="13" customHeight="1">
      <c r="A19" s="78">
        <f>'BA'!A21</f>
        <v>23529</v>
      </c>
      <c r="B19" s="79">
        <f>'BA'!C21</f>
        <v>263121</v>
      </c>
      <c r="C19" s="80">
        <f>'BA'!D21</f>
        <v>197346</v>
      </c>
      <c r="D19" s="81">
        <f>'BA'!N21</f>
        <v>10938.454728619261</v>
      </c>
      <c r="E19" s="81">
        <f>'BA'!O21</f>
        <v>21793.002271380741</v>
      </c>
      <c r="F19" s="81">
        <f>'BA'!W21</f>
        <v>3688</v>
      </c>
      <c r="G19" s="81">
        <f>'BA'!X21</f>
        <v>8675</v>
      </c>
      <c r="H19" s="81">
        <f>'BA'!AI21</f>
        <v>15217.924577813188</v>
      </c>
      <c r="I19" s="81">
        <f>'BA'!AJ21</f>
        <v>8266.701662186810</v>
      </c>
      <c r="J19" s="81">
        <f>'BA'!AC21</f>
        <v>4183</v>
      </c>
      <c r="K19" s="81">
        <f>'BA'!AD21</f>
        <v>627</v>
      </c>
    </row>
    <row r="20" ht="13" customHeight="1">
      <c r="A20" s="78">
        <f>'BA'!A22</f>
        <v>23894</v>
      </c>
      <c r="B20" s="79">
        <f>'BA'!C22</f>
        <v>279777</v>
      </c>
      <c r="C20" s="80">
        <f>'BA'!D22</f>
        <v>213207</v>
      </c>
      <c r="D20" s="81">
        <f>'BA'!N22</f>
        <v>12360</v>
      </c>
      <c r="E20" s="81">
        <f>'BA'!O22</f>
        <v>23823</v>
      </c>
      <c r="F20" s="81">
        <f>'BA'!W22</f>
        <v>4154</v>
      </c>
      <c r="G20" s="81">
        <f>'BA'!X22</f>
        <v>9937</v>
      </c>
      <c r="H20" s="81">
        <f>'BA'!AI22</f>
        <v>16824</v>
      </c>
      <c r="I20" s="81">
        <f>'BA'!AJ22</f>
        <v>9030</v>
      </c>
      <c r="J20" s="81">
        <f>'BA'!AC22</f>
        <v>4175</v>
      </c>
      <c r="K20" s="81">
        <f>'BA'!AD22</f>
        <v>635</v>
      </c>
    </row>
    <row r="21" ht="13" customHeight="1">
      <c r="A21" s="78">
        <f>'BA'!A23</f>
        <v>24259</v>
      </c>
      <c r="B21" s="79">
        <f>'BA'!C23</f>
        <v>301051</v>
      </c>
      <c r="C21" s="80">
        <f>'BA'!D23</f>
        <v>223066</v>
      </c>
      <c r="D21" s="81">
        <f>'BA'!N23</f>
        <v>13244</v>
      </c>
      <c r="E21" s="81">
        <f>'BA'!O23</f>
        <v>25946</v>
      </c>
      <c r="F21" s="81">
        <f>'BA'!W23</f>
        <v>4545</v>
      </c>
      <c r="G21" s="81">
        <f>'BA'!X23</f>
        <v>10974</v>
      </c>
      <c r="H21" s="81">
        <f>'BA'!AI23</f>
        <v>18829</v>
      </c>
      <c r="I21" s="81">
        <f>'BA'!AJ23</f>
        <v>9941</v>
      </c>
      <c r="J21" s="81">
        <f>'BA'!AC23</f>
        <v>4294</v>
      </c>
      <c r="K21" s="81">
        <f>'BA'!AD23</f>
        <v>730</v>
      </c>
    </row>
    <row r="22" ht="13" customHeight="1">
      <c r="A22" s="78">
        <f>'BA'!A24</f>
        <v>24624</v>
      </c>
      <c r="B22" s="79">
        <f>'BA'!C24</f>
        <v>324236</v>
      </c>
      <c r="C22" s="80">
        <f>'BA'!D24</f>
        <v>238133</v>
      </c>
      <c r="D22" s="81">
        <f>'BA'!N24</f>
        <v>14600</v>
      </c>
      <c r="E22" s="81">
        <f>'BA'!O24</f>
        <v>27830</v>
      </c>
      <c r="F22" s="81">
        <f>'BA'!W24</f>
        <v>4841</v>
      </c>
      <c r="G22" s="81">
        <f>'BA'!X24</f>
        <v>12184</v>
      </c>
      <c r="H22" s="81">
        <f>'BA'!AI24</f>
        <v>20729</v>
      </c>
      <c r="I22" s="81">
        <f>'BA'!AJ24</f>
        <v>11064</v>
      </c>
      <c r="J22" s="81">
        <f>'BA'!AC24</f>
        <v>4601</v>
      </c>
      <c r="K22" s="81">
        <f>'BA'!AD24</f>
        <v>819</v>
      </c>
    </row>
    <row r="23" ht="13" customHeight="1">
      <c r="A23" s="78">
        <f>'BA'!A25</f>
        <v>24990</v>
      </c>
      <c r="B23" s="79">
        <f>'BA'!C25</f>
        <v>359747</v>
      </c>
      <c r="C23" s="80">
        <f>'BA'!D25</f>
        <v>277116</v>
      </c>
      <c r="D23" s="81">
        <f>'BA'!N25</f>
        <v>15735</v>
      </c>
      <c r="E23" s="81">
        <f>'BA'!O25</f>
        <v>32391</v>
      </c>
      <c r="F23" s="81">
        <f>'BA'!W25</f>
        <v>5321</v>
      </c>
      <c r="G23" s="81">
        <f>'BA'!X25</f>
        <v>14201</v>
      </c>
      <c r="H23" s="81">
        <f>'BA'!AI25</f>
        <v>22921</v>
      </c>
      <c r="I23" s="81">
        <f>'BA'!AJ25</f>
        <v>12495</v>
      </c>
      <c r="J23" s="81">
        <f>'BA'!AC25</f>
        <v>4728</v>
      </c>
      <c r="K23" s="81">
        <f>'BA'!AD25</f>
        <v>1040</v>
      </c>
    </row>
    <row r="24" ht="13" customHeight="1">
      <c r="A24" s="78">
        <f>'BA'!A26</f>
        <v>25355</v>
      </c>
      <c r="B24" s="79">
        <f>'BA'!C26</f>
        <v>412865</v>
      </c>
      <c r="C24" s="80">
        <f>'BA'!D26</f>
        <v>321138</v>
      </c>
      <c r="D24" s="81">
        <f>'BA'!N26</f>
        <v>17539</v>
      </c>
      <c r="E24" s="81">
        <f>'BA'!O26</f>
        <v>36820</v>
      </c>
      <c r="F24" s="81">
        <f>'BA'!W26</f>
        <v>5915</v>
      </c>
      <c r="G24" s="81">
        <f>'BA'!X26</f>
        <v>16070</v>
      </c>
      <c r="H24" s="81">
        <f>'BA'!AI26</f>
        <v>26592</v>
      </c>
      <c r="I24" s="81">
        <f>'BA'!AJ26</f>
        <v>14487</v>
      </c>
      <c r="J24" s="81">
        <f>'BA'!AC26</f>
        <v>5026</v>
      </c>
      <c r="K24" s="81">
        <f>'BA'!AD26</f>
        <v>1092</v>
      </c>
    </row>
    <row r="25" ht="13" customHeight="1">
      <c r="A25" s="78">
        <f>'BA'!A27</f>
        <v>26085</v>
      </c>
      <c r="B25" s="79">
        <f>'BA'!C27</f>
        <v>478423</v>
      </c>
      <c r="C25" s="80">
        <f>'BA'!D27</f>
        <v>367687</v>
      </c>
      <c r="D25" s="81">
        <f>'BA'!N27</f>
        <v>22025</v>
      </c>
      <c r="E25" s="81">
        <f>'BA'!O27</f>
        <v>41987</v>
      </c>
      <c r="F25" s="81">
        <f>'BA'!W27</f>
        <v>5581</v>
      </c>
      <c r="G25" s="81">
        <f>'BA'!X27</f>
        <v>15899</v>
      </c>
      <c r="H25" s="81">
        <f>'BA'!AI27</f>
        <v>29182</v>
      </c>
      <c r="I25" s="81">
        <f>'BA'!AJ27</f>
        <v>15749</v>
      </c>
      <c r="J25" s="81">
        <f>'BA'!AC27</f>
        <v>4624</v>
      </c>
      <c r="K25" s="81">
        <f>'BA'!AD27</f>
        <v>1166</v>
      </c>
    </row>
    <row r="26" ht="13" customHeight="1">
      <c r="A26" s="78">
        <f>'BA'!A28</f>
        <v>26451</v>
      </c>
      <c r="B26" s="79">
        <f>'BA'!C28</f>
        <v>503631</v>
      </c>
      <c r="C26" s="80">
        <f>'BA'!D28</f>
        <v>390479</v>
      </c>
      <c r="D26" s="81">
        <f>'BA'!N28</f>
        <v>22606</v>
      </c>
      <c r="E26" s="81">
        <f>'BA'!O28</f>
        <v>41204</v>
      </c>
      <c r="F26" s="81">
        <f>'BA'!W28</f>
        <v>5278</v>
      </c>
      <c r="G26" s="81">
        <f>'BA'!X28</f>
        <v>15127</v>
      </c>
      <c r="H26" s="81">
        <f>'BA'!AI28</f>
        <v>28832</v>
      </c>
      <c r="I26" s="81">
        <f>'BA'!AJ28</f>
        <v>15143</v>
      </c>
      <c r="J26" s="81">
        <f>'BA'!AC28</f>
        <v>4652</v>
      </c>
      <c r="K26" s="81">
        <f>'BA'!AD28</f>
        <v>1301</v>
      </c>
    </row>
    <row r="27" ht="13" customHeight="1">
      <c r="A27" s="78">
        <f>'BA'!A29</f>
        <v>26816</v>
      </c>
      <c r="B27" s="79">
        <f>'BA'!C29</f>
        <v>522482.094882487</v>
      </c>
      <c r="C27" s="80">
        <f>'BA'!D29</f>
        <v>407517.905117514</v>
      </c>
      <c r="D27" s="81">
        <f>'BA'!N29</f>
        <v>22049</v>
      </c>
      <c r="E27" s="81">
        <f>'BA'!O29</f>
        <v>38685</v>
      </c>
      <c r="F27" s="81">
        <f>'BA'!W29</f>
        <v>5193</v>
      </c>
      <c r="G27" s="81">
        <f>'BA'!X29</f>
        <v>15535</v>
      </c>
      <c r="H27" s="81">
        <f>'BA'!AI29</f>
        <v>27121</v>
      </c>
      <c r="I27" s="81">
        <f>'BA'!AJ29</f>
        <v>14102</v>
      </c>
      <c r="J27" s="81">
        <f>'BA'!AC29</f>
        <v>4583</v>
      </c>
      <c r="K27" s="81">
        <f>'BA'!AD29</f>
        <v>1351</v>
      </c>
    </row>
    <row r="28" ht="13" customHeight="1">
      <c r="A28" s="78">
        <f>'BA'!A30</f>
        <v>27546</v>
      </c>
      <c r="B28" s="79">
        <f>'BA'!C30</f>
        <v>508424</v>
      </c>
      <c r="C28" s="80">
        <f>'BA'!D30</f>
        <v>423239</v>
      </c>
      <c r="D28" s="81">
        <f>'BA'!N30</f>
        <v>17714</v>
      </c>
      <c r="E28" s="81">
        <f>'BA'!O30</f>
        <v>29434</v>
      </c>
      <c r="F28" s="81">
        <f>'BA'!W30</f>
        <v>4785</v>
      </c>
      <c r="G28" s="81">
        <f>'BA'!X30</f>
        <v>14890</v>
      </c>
      <c r="H28" s="81">
        <f>'BA'!AI30</f>
        <v>20864</v>
      </c>
      <c r="I28" s="81">
        <f>'BA'!AJ30</f>
        <v>10904</v>
      </c>
      <c r="J28" s="81">
        <f>'BA'!AC30</f>
        <v>4003</v>
      </c>
      <c r="K28" s="81">
        <f>'BA'!AD30</f>
        <v>1345</v>
      </c>
    </row>
    <row r="29" ht="13" customHeight="1">
      <c r="A29" s="78">
        <f>'BA'!A31</f>
        <v>28277</v>
      </c>
      <c r="B29" s="79">
        <f>'BA'!C31</f>
        <v>499121</v>
      </c>
      <c r="C29" s="80">
        <f>'BA'!D31</f>
        <v>429107</v>
      </c>
      <c r="D29" s="81">
        <f>'BA'!N31</f>
        <v>14205</v>
      </c>
      <c r="E29" s="81">
        <f>'BA'!O31</f>
        <v>23540</v>
      </c>
      <c r="F29" s="81">
        <f>'BA'!W31</f>
        <v>4010</v>
      </c>
      <c r="G29" s="81">
        <f>'BA'!X31</f>
        <v>11855</v>
      </c>
      <c r="H29" s="81">
        <f>'BA'!AI31</f>
        <v>16582</v>
      </c>
      <c r="I29" s="81">
        <f>'BA'!AJ31</f>
        <v>9026</v>
      </c>
      <c r="J29" s="81">
        <f>'BA'!AC31</f>
        <v>3325</v>
      </c>
      <c r="K29" s="81">
        <f>'BA'!AD31</f>
        <v>1126</v>
      </c>
    </row>
    <row r="30" ht="13" customHeight="1">
      <c r="A30" s="78">
        <f>'BA'!A32</f>
        <v>28642</v>
      </c>
      <c r="B30" s="79">
        <f>'BA'!C32</f>
        <v>491066</v>
      </c>
      <c r="C30" s="80">
        <f>'BA'!D32</f>
        <v>439135</v>
      </c>
      <c r="D30" s="81">
        <f>'BA'!N32</f>
        <v>13057</v>
      </c>
      <c r="E30" s="81">
        <f>'BA'!O32</f>
        <v>22117</v>
      </c>
      <c r="F30" s="81">
        <f>'BA'!W32</f>
        <v>3715</v>
      </c>
      <c r="G30" s="81">
        <f>'BA'!X32</f>
        <v>10899</v>
      </c>
      <c r="H30" s="81">
        <f>'BA'!AI32</f>
        <v>14824</v>
      </c>
      <c r="I30" s="81">
        <f>'BA'!AJ32</f>
        <v>8321</v>
      </c>
      <c r="J30" s="81">
        <f>'BA'!AC32</f>
        <v>2955</v>
      </c>
      <c r="K30" s="81">
        <f>'BA'!AD32</f>
        <v>1080</v>
      </c>
    </row>
    <row r="31" ht="13" customHeight="1">
      <c r="A31" s="78">
        <f>'BA'!A33</f>
        <v>29373</v>
      </c>
      <c r="B31" s="79">
        <f>'BA'!C33</f>
        <v>477750</v>
      </c>
      <c r="C31" s="80">
        <f>'BA'!D33</f>
        <v>462501</v>
      </c>
      <c r="D31" s="81">
        <f>'BA'!N33</f>
        <v>11268</v>
      </c>
      <c r="E31" s="81">
        <f>'BA'!O33</f>
        <v>21113</v>
      </c>
      <c r="F31" s="81">
        <f>'BA'!W33</f>
        <v>3254</v>
      </c>
      <c r="G31" s="81">
        <f>'BA'!X33</f>
        <v>9421</v>
      </c>
      <c r="H31" s="81">
        <f>'BA'!AI33</f>
        <v>12121</v>
      </c>
      <c r="I31" s="81">
        <f>'BA'!AJ33</f>
        <v>7293</v>
      </c>
      <c r="J31" s="81">
        <f>'BA'!AC33</f>
        <v>2666</v>
      </c>
      <c r="K31" s="81">
        <f>'BA'!AD33</f>
        <v>1050</v>
      </c>
    </row>
    <row r="32" ht="13" customHeight="1">
      <c r="A32" s="78">
        <f>'BA'!A34</f>
        <v>29738</v>
      </c>
      <c r="B32" s="79">
        <f>'BA'!C34</f>
        <v>474336</v>
      </c>
      <c r="C32" s="80">
        <f>'BA'!D34</f>
        <v>472541</v>
      </c>
      <c r="D32" s="81">
        <f>'BA'!N34</f>
        <v>11114</v>
      </c>
      <c r="E32" s="81">
        <f>'BA'!O34</f>
        <v>20943</v>
      </c>
      <c r="F32" s="81">
        <f>'BA'!W34</f>
        <v>3046</v>
      </c>
      <c r="G32" s="81">
        <f>'BA'!X34</f>
        <v>8831</v>
      </c>
      <c r="H32" s="81">
        <f>'BA'!AI34</f>
        <v>11418</v>
      </c>
      <c r="I32" s="81">
        <f>'BA'!AJ34</f>
        <v>6995</v>
      </c>
      <c r="J32" s="81">
        <f>'BA'!AC34</f>
        <v>2599</v>
      </c>
      <c r="K32" s="81">
        <f>'BA'!AD34</f>
        <v>1064</v>
      </c>
    </row>
    <row r="33" ht="13" customHeight="1">
      <c r="A33" s="78">
        <f>'BA'!A35</f>
        <v>30103</v>
      </c>
      <c r="B33" s="79">
        <f>'BA'!C35</f>
        <v>477543</v>
      </c>
      <c r="C33" s="80">
        <f>'BA'!D35</f>
        <v>486500</v>
      </c>
      <c r="D33" s="81">
        <f>'BA'!N35</f>
        <v>11346</v>
      </c>
      <c r="E33" s="81">
        <f>'BA'!O35</f>
        <v>21888</v>
      </c>
      <c r="F33" s="81">
        <f>'BA'!W35</f>
        <v>2960</v>
      </c>
      <c r="G33" s="81">
        <f>'BA'!X35</f>
        <v>8412</v>
      </c>
      <c r="H33" s="81">
        <f>'BA'!AI35</f>
        <v>10754</v>
      </c>
      <c r="I33" s="81">
        <f>'BA'!AJ35</f>
        <v>6492</v>
      </c>
      <c r="J33" s="81">
        <f>'BA'!AC35</f>
        <v>2429</v>
      </c>
      <c r="K33" s="81">
        <f>'BA'!AD35</f>
        <v>988</v>
      </c>
    </row>
    <row r="34" ht="13" customHeight="1">
      <c r="A34" s="78">
        <f>'BA'!A36</f>
        <v>30834</v>
      </c>
      <c r="B34" s="79">
        <f>'BA'!C36</f>
        <v>488106.477513807</v>
      </c>
      <c r="C34" s="80">
        <f>'BA'!D36</f>
        <v>497893.5224861928</v>
      </c>
      <c r="D34" s="81">
        <f>'BA'!N36</f>
        <v>11029</v>
      </c>
      <c r="E34" s="81">
        <f>'BA'!O36</f>
        <v>21381</v>
      </c>
      <c r="F34" s="81">
        <f>'BA'!W36</f>
        <v>3199</v>
      </c>
      <c r="G34" s="81">
        <f>'BA'!X36</f>
        <v>8047</v>
      </c>
      <c r="H34" s="81">
        <f>'BA'!AI36</f>
        <v>10400</v>
      </c>
      <c r="I34" s="81">
        <f>'BA'!AJ36</f>
        <v>6337</v>
      </c>
      <c r="J34" s="81">
        <f>'BA'!AC36</f>
        <v>2321</v>
      </c>
      <c r="K34" s="81">
        <f>'BA'!AD36</f>
        <v>998</v>
      </c>
    </row>
    <row r="35" ht="13" customHeight="1">
      <c r="A35" s="78">
        <f>'BA'!A37</f>
        <v>31199</v>
      </c>
      <c r="B35" s="79">
        <f>'BA'!C37</f>
        <v>488204.672493586</v>
      </c>
      <c r="C35" s="80">
        <f>'BA'!D37</f>
        <v>502795.3275064141</v>
      </c>
      <c r="D35" s="81">
        <f>'BA'!N37</f>
        <v>11199</v>
      </c>
      <c r="E35" s="81">
        <f>'BA'!O37</f>
        <v>21548</v>
      </c>
      <c r="F35" s="81">
        <f>'BA'!W37</f>
        <v>3213</v>
      </c>
      <c r="G35" s="81">
        <f>'BA'!X37</f>
        <v>8364</v>
      </c>
      <c r="H35" s="81">
        <f>'BA'!AI37</f>
        <v>10115</v>
      </c>
      <c r="I35" s="81">
        <f>'BA'!AJ37</f>
        <v>6028</v>
      </c>
      <c r="J35" s="81">
        <f>'BA'!AC37</f>
        <v>2290</v>
      </c>
      <c r="K35" s="81">
        <f>'BA'!AD37</f>
        <v>1087</v>
      </c>
    </row>
    <row r="36" ht="13" customHeight="1">
      <c r="A36" s="78">
        <f>'BA'!A38</f>
        <v>31564</v>
      </c>
      <c r="B36" s="79">
        <f>'BA'!C38</f>
        <v>490143</v>
      </c>
      <c r="C36" s="80">
        <f>'BA'!D38</f>
        <v>510061</v>
      </c>
      <c r="D36" s="81">
        <f>'BA'!N38</f>
        <v>11719</v>
      </c>
      <c r="E36" s="81">
        <f>'BA'!O38</f>
        <v>22542</v>
      </c>
      <c r="F36" s="81">
        <f>'BA'!W38</f>
        <v>3389</v>
      </c>
      <c r="G36" s="81">
        <f>'BA'!X38</f>
        <v>8234</v>
      </c>
      <c r="H36" s="81">
        <f>'BA'!AI38</f>
        <v>10451</v>
      </c>
      <c r="I36" s="81">
        <f>'BA'!AJ38</f>
        <v>6048</v>
      </c>
      <c r="J36" s="81">
        <f>'BA'!AC38</f>
        <v>2210</v>
      </c>
      <c r="K36" s="81">
        <f>'BA'!AD38</f>
        <v>1077</v>
      </c>
    </row>
    <row r="37" ht="13" customHeight="1">
      <c r="A37" s="78">
        <f>'BA'!A39</f>
        <v>31929</v>
      </c>
      <c r="B37" s="79">
        <f>'BA'!C39</f>
        <v>485823</v>
      </c>
      <c r="C37" s="80">
        <f>'BA'!D39</f>
        <v>519198</v>
      </c>
      <c r="D37" s="81">
        <f>'BA'!N39</f>
        <v>11719</v>
      </c>
      <c r="E37" s="81">
        <f>'BA'!O39</f>
        <v>23501</v>
      </c>
      <c r="F37" s="81">
        <f>'BA'!W39</f>
        <v>3389</v>
      </c>
      <c r="G37" s="81">
        <f>'BA'!X39</f>
        <v>8370</v>
      </c>
      <c r="H37" s="81">
        <f>'BA'!AI39</f>
        <v>10451</v>
      </c>
      <c r="I37" s="81">
        <f>'BA'!AJ39</f>
        <v>6425</v>
      </c>
      <c r="J37" s="81">
        <f>'BA'!AC39</f>
        <v>2210</v>
      </c>
      <c r="K37" s="81">
        <f>'BA'!AD39</f>
        <v>1075</v>
      </c>
    </row>
    <row r="38" ht="13" customHeight="1">
      <c r="A38" s="78">
        <f>'BA'!A40</f>
        <v>32295</v>
      </c>
      <c r="B38" s="79">
        <f>'BA'!C40</f>
        <v>483580</v>
      </c>
      <c r="C38" s="80">
        <f>'BA'!D40</f>
        <v>525643</v>
      </c>
      <c r="D38" s="81">
        <f>'BA'!N40</f>
        <v>12659</v>
      </c>
      <c r="E38" s="81">
        <f>'BA'!O40</f>
        <v>25338</v>
      </c>
      <c r="F38" s="81">
        <f>'BA'!W40</f>
        <v>3239</v>
      </c>
      <c r="G38" s="81">
        <f>'BA'!X40</f>
        <v>8324</v>
      </c>
      <c r="H38" s="81">
        <f>'BA'!AI40</f>
        <v>11424</v>
      </c>
      <c r="I38" s="81">
        <f>'BA'!AJ40</f>
        <v>6821</v>
      </c>
      <c r="J38" s="81">
        <f>'BA'!AC40</f>
        <v>2438</v>
      </c>
      <c r="K38" s="81">
        <f>'BA'!AD40</f>
        <v>1151</v>
      </c>
    </row>
    <row r="39" ht="13" customHeight="1">
      <c r="A39" s="78">
        <f>'BA'!A41</f>
        <v>32660</v>
      </c>
      <c r="B39" s="79">
        <f>'BA'!C41</f>
        <v>488681.16475502</v>
      </c>
      <c r="C39" s="80">
        <f>'BA'!D41</f>
        <v>541318.8352449804</v>
      </c>
      <c r="D39" s="81">
        <f>'BA'!N41</f>
        <v>13665</v>
      </c>
      <c r="E39" s="81">
        <f>'BA'!O41</f>
        <v>27966</v>
      </c>
      <c r="F39" s="81">
        <f>'BA'!W41</f>
        <v>3454</v>
      </c>
      <c r="G39" s="81">
        <f>'BA'!X41</f>
        <v>9015</v>
      </c>
      <c r="H39" s="81">
        <f>'BA'!AI41</f>
        <v>12496</v>
      </c>
      <c r="I39" s="81">
        <f>'BA'!AJ41</f>
        <v>7640</v>
      </c>
      <c r="J39" s="81">
        <f>'BA'!AC41</f>
        <v>2651</v>
      </c>
      <c r="K39" s="81">
        <f>'BA'!AD41</f>
        <v>1222</v>
      </c>
    </row>
    <row r="40" ht="13" customHeight="1">
      <c r="A40" s="78">
        <f>'BA'!A42</f>
        <v>33025</v>
      </c>
      <c r="B40" s="79">
        <f>'BA'!C42</f>
        <v>497267.4464134475</v>
      </c>
      <c r="C40" s="80">
        <f>'BA'!D42</f>
        <v>564732.5535865526</v>
      </c>
      <c r="D40" s="81">
        <f>'BA'!N42</f>
        <v>15259</v>
      </c>
      <c r="E40" s="81">
        <f>'BA'!O42</f>
        <v>31027</v>
      </c>
      <c r="F40" s="81">
        <f>'BA'!W42</f>
        <v>3620</v>
      </c>
      <c r="G40" s="81">
        <f>'BA'!X42</f>
        <v>9482</v>
      </c>
      <c r="H40" s="81">
        <f>'BA'!AI42</f>
        <v>13921</v>
      </c>
      <c r="I40" s="81">
        <f>'BA'!AJ42</f>
        <v>8345</v>
      </c>
      <c r="J40" s="81">
        <f>'BA'!AC42</f>
        <v>2918</v>
      </c>
      <c r="K40" s="81">
        <f>'BA'!AD42</f>
        <v>1369</v>
      </c>
    </row>
    <row r="41" ht="13" customHeight="1">
      <c r="A41" s="78">
        <f>'BA'!A43</f>
        <v>33390</v>
      </c>
      <c r="B41" s="79">
        <f>'BA'!C43</f>
        <v>510244.377079645</v>
      </c>
      <c r="C41" s="80">
        <f>'BA'!D43</f>
        <v>597755.6229203554</v>
      </c>
      <c r="D41" s="81">
        <f>'BA'!N43</f>
        <v>16866</v>
      </c>
      <c r="E41" s="81">
        <f>'BA'!O43</f>
        <v>34133</v>
      </c>
      <c r="F41" s="81">
        <f>'BA'!W43</f>
        <v>4016</v>
      </c>
      <c r="G41" s="81">
        <f>'BA'!X43</f>
        <v>9948</v>
      </c>
      <c r="H41" s="81">
        <f>'BA'!AI43</f>
        <v>15165</v>
      </c>
      <c r="I41" s="81">
        <f>'BA'!AJ43</f>
        <v>9428</v>
      </c>
      <c r="J41" s="81">
        <f>'BA'!AC43</f>
        <v>3086</v>
      </c>
      <c r="K41" s="81">
        <f>'BA'!AD43</f>
        <v>1516</v>
      </c>
    </row>
    <row r="42" ht="13" customHeight="1">
      <c r="A42" s="78">
        <f>'BA'!A44</f>
        <v>33756</v>
      </c>
      <c r="B42" s="79">
        <f>'BA'!C44</f>
        <v>526972.9172330723</v>
      </c>
      <c r="C42" s="80">
        <f>'BA'!D44</f>
        <v>623027.0827669278</v>
      </c>
      <c r="D42" s="81">
        <f>'BA'!N44</f>
        <v>18287</v>
      </c>
      <c r="E42" s="81">
        <f>'BA'!O44</f>
        <v>35908</v>
      </c>
      <c r="F42" s="81">
        <f>'BA'!W44</f>
        <v>4239</v>
      </c>
      <c r="G42" s="81">
        <f>'BA'!X44</f>
        <v>10466</v>
      </c>
      <c r="H42" s="81">
        <f>'BA'!AI44</f>
        <v>16466</v>
      </c>
      <c r="I42" s="81">
        <f>'BA'!AJ44</f>
        <v>10561</v>
      </c>
      <c r="J42" s="81">
        <f>'BA'!AC44</f>
        <v>3310</v>
      </c>
      <c r="K42" s="81">
        <f>'BA'!AD44</f>
        <v>1560</v>
      </c>
    </row>
    <row r="43" ht="13" customHeight="1">
      <c r="A43" s="78">
        <f>'BA'!A45</f>
        <v>34121</v>
      </c>
      <c r="B43" s="79">
        <f>'BA'!C45</f>
        <v>539202.335608808</v>
      </c>
      <c r="C43" s="80">
        <f>'BA'!D45</f>
        <v>639797.6643911917</v>
      </c>
      <c r="D43" s="81">
        <f>'BA'!N45</f>
        <v>18978</v>
      </c>
      <c r="E43" s="81">
        <f>'BA'!O45</f>
        <v>36277</v>
      </c>
      <c r="F43" s="81">
        <f>'BA'!W45</f>
        <v>4454</v>
      </c>
      <c r="G43" s="81">
        <f>'BA'!X45</f>
        <v>10929</v>
      </c>
      <c r="H43" s="81">
        <f>'BA'!AI45</f>
        <v>17234</v>
      </c>
      <c r="I43" s="81">
        <f>'BA'!AJ45</f>
        <v>10587</v>
      </c>
      <c r="J43" s="81">
        <f>'BA'!AC45</f>
        <v>3332</v>
      </c>
      <c r="K43" s="81">
        <f>'BA'!AD45</f>
        <v>1533</v>
      </c>
    </row>
    <row r="44" ht="13" customHeight="1">
      <c r="A44" s="78">
        <f>'BA'!A46</f>
        <v>34486</v>
      </c>
      <c r="B44" s="79">
        <f>'BA'!C46</f>
        <v>541028</v>
      </c>
      <c r="C44" s="80">
        <f>'BA'!D46</f>
        <v>650111</v>
      </c>
      <c r="D44" s="81">
        <f>'BA'!N46</f>
        <v>18180</v>
      </c>
      <c r="E44" s="81">
        <f>'BA'!O46</f>
        <v>34899</v>
      </c>
      <c r="F44" s="81">
        <f>'BA'!W46</f>
        <v>4586</v>
      </c>
      <c r="G44" s="81">
        <f>'BA'!X46</f>
        <v>10718</v>
      </c>
      <c r="H44" s="81">
        <f>'BA'!AI46</f>
        <v>17291</v>
      </c>
      <c r="I44" s="81">
        <f>'BA'!AJ46</f>
        <v>10270</v>
      </c>
      <c r="J44" s="81">
        <f>'BA'!AC46</f>
        <v>3234</v>
      </c>
      <c r="K44" s="81">
        <f>'BA'!AD46</f>
        <v>1483</v>
      </c>
    </row>
    <row r="45" ht="13" customHeight="1">
      <c r="A45" s="78">
        <f>'BA'!A47</f>
        <v>34851</v>
      </c>
      <c r="B45" s="79">
        <f>'BA'!C47</f>
        <v>535370</v>
      </c>
      <c r="C45" s="80">
        <f>'BA'!D47</f>
        <v>647410</v>
      </c>
      <c r="D45" s="81">
        <f>'BA'!N47</f>
        <v>17539</v>
      </c>
      <c r="E45" s="81">
        <f>'BA'!O47</f>
        <v>33517</v>
      </c>
      <c r="F45" s="81">
        <f>'BA'!W47</f>
        <v>4517</v>
      </c>
      <c r="G45" s="81">
        <f>'BA'!X47</f>
        <v>10141</v>
      </c>
      <c r="H45" s="81">
        <f>'BA'!AI47</f>
        <v>16618</v>
      </c>
      <c r="I45" s="81">
        <f>'BA'!AJ47</f>
        <v>10025</v>
      </c>
      <c r="J45" s="81">
        <f>'BA'!AC47</f>
        <v>3035</v>
      </c>
      <c r="K45" s="81">
        <f>'BA'!AD47</f>
        <v>1426</v>
      </c>
    </row>
    <row r="46" ht="13" customHeight="1">
      <c r="A46" s="78">
        <f>'BA'!A48</f>
        <v>35217</v>
      </c>
      <c r="B46" s="79">
        <f>'BA'!C48</f>
        <v>528791</v>
      </c>
      <c r="C46" s="80">
        <f>'BA'!D48</f>
        <v>652846</v>
      </c>
      <c r="D46" s="81">
        <f>'BA'!N48</f>
        <v>16982</v>
      </c>
      <c r="E46" s="81">
        <f>'BA'!O48</f>
        <v>32861</v>
      </c>
      <c r="F46" s="81">
        <f>'BA'!W48</f>
        <v>4532</v>
      </c>
      <c r="G46" s="81">
        <f>'BA'!X48</f>
        <v>10405</v>
      </c>
      <c r="H46" s="81">
        <f>'BA'!AI48</f>
        <v>15957</v>
      </c>
      <c r="I46" s="81">
        <f>'BA'!AJ48</f>
        <v>10107</v>
      </c>
      <c r="J46" s="81">
        <f>'BA'!AC48</f>
        <v>3224</v>
      </c>
      <c r="K46" s="81">
        <f>'BA'!AD48</f>
        <v>1363</v>
      </c>
    </row>
    <row r="47" ht="13" customHeight="1">
      <c r="A47" s="78">
        <f>'BA'!A49</f>
        <v>35582</v>
      </c>
      <c r="B47" s="79">
        <f>'BA'!C49</f>
        <v>526047</v>
      </c>
      <c r="C47" s="80">
        <f>'BA'!D49</f>
        <v>662338</v>
      </c>
      <c r="D47" s="81">
        <f>'BA'!N49</f>
        <v>16290</v>
      </c>
      <c r="E47" s="81">
        <f>'BA'!O49</f>
        <v>32236</v>
      </c>
      <c r="F47" s="81">
        <f>'BA'!W49</f>
        <v>4405</v>
      </c>
      <c r="G47" s="81">
        <f>'BA'!X49</f>
        <v>10157</v>
      </c>
      <c r="H47" s="81">
        <f>'BA'!AI49</f>
        <v>15564</v>
      </c>
      <c r="I47" s="81">
        <f>'BA'!AJ49</f>
        <v>9712</v>
      </c>
      <c r="J47" s="81">
        <f>'BA'!AC49</f>
        <v>3142</v>
      </c>
      <c r="K47" s="81">
        <f>'BA'!AD49</f>
        <v>1396</v>
      </c>
    </row>
    <row r="48" ht="13" customHeight="1">
      <c r="A48" s="78">
        <f>'BA'!A50</f>
        <v>35947</v>
      </c>
      <c r="B48" s="79">
        <f>'BA'!C50</f>
        <v>527779</v>
      </c>
      <c r="C48" s="80">
        <f>'BA'!D50</f>
        <v>676048</v>
      </c>
      <c r="D48" s="81">
        <f>'BA'!N50</f>
        <v>16223</v>
      </c>
      <c r="E48" s="81">
        <f>'BA'!O50</f>
        <v>32638</v>
      </c>
      <c r="F48" s="81">
        <f>'BA'!W50</f>
        <v>4594</v>
      </c>
      <c r="G48" s="81">
        <f>'BA'!X50</f>
        <v>10725</v>
      </c>
      <c r="H48" s="81">
        <f>'BA'!AI50</f>
        <v>15701</v>
      </c>
      <c r="I48" s="81">
        <f>'BA'!AJ50</f>
        <v>10096</v>
      </c>
      <c r="J48" s="81">
        <f>'BA'!AC50</f>
        <v>3342</v>
      </c>
      <c r="K48" s="81">
        <f>'BA'!AD50</f>
        <v>1529</v>
      </c>
    </row>
    <row r="49" ht="13" customHeight="1">
      <c r="A49" s="78">
        <f>'BA'!A51</f>
        <v>36678</v>
      </c>
      <c r="B49" s="79">
        <f>'BA'!C51</f>
        <v>538795</v>
      </c>
      <c r="C49" s="80">
        <f>'BA'!D51</f>
        <v>720436</v>
      </c>
      <c r="D49" s="81">
        <f>'BA'!N51</f>
        <v>16072</v>
      </c>
      <c r="E49" s="81">
        <f>'BA'!O51</f>
        <v>33840</v>
      </c>
      <c r="F49" s="81">
        <f>'BA'!W51</f>
        <v>4632</v>
      </c>
      <c r="G49" s="81">
        <f>'BA'!X51</f>
        <v>11373</v>
      </c>
      <c r="H49" s="81">
        <f>'BA'!AI51</f>
        <v>14911</v>
      </c>
      <c r="I49" s="81">
        <f>'BA'!AJ51</f>
        <v>10413</v>
      </c>
      <c r="J49" s="81">
        <f>'BA'!AC51</f>
        <v>3296</v>
      </c>
      <c r="K49" s="81">
        <f>'BA'!AD51</f>
        <v>1511</v>
      </c>
    </row>
    <row r="50" ht="13" customHeight="1">
      <c r="A50" s="78">
        <f>'BA'!A52</f>
        <v>37043</v>
      </c>
      <c r="B50" s="79">
        <f>'BA'!C52</f>
        <v>562595</v>
      </c>
      <c r="C50" s="80">
        <f>'BA'!D52</f>
        <v>756638</v>
      </c>
      <c r="D50" s="81">
        <f>'BA'!N52</f>
        <v>16791</v>
      </c>
      <c r="E50" s="81">
        <f>'BA'!O52</f>
        <v>36351</v>
      </c>
      <c r="F50" s="81">
        <f>'BA'!W52</f>
        <v>5935</v>
      </c>
      <c r="G50" s="81">
        <f>'BA'!X52</f>
        <v>14875</v>
      </c>
      <c r="H50" s="81">
        <f>'BA'!AI52</f>
        <v>15801</v>
      </c>
      <c r="I50" s="81">
        <f>'BA'!AJ52</f>
        <v>11435</v>
      </c>
      <c r="J50" s="81">
        <f>'BA'!AC52</f>
        <v>4000</v>
      </c>
      <c r="K50" s="81">
        <f>'BA'!AD52</f>
        <v>1882</v>
      </c>
    </row>
    <row r="51" ht="13" customHeight="1">
      <c r="A51" s="78">
        <f>'BA'!A53</f>
        <v>37408</v>
      </c>
      <c r="B51" s="79">
        <f>'BA'!C53</f>
        <v>583766</v>
      </c>
      <c r="C51" s="80">
        <f>'BA'!D53</f>
        <v>791260</v>
      </c>
      <c r="D51" s="81">
        <f>'BA'!N53</f>
        <v>17331</v>
      </c>
      <c r="E51" s="81">
        <f>'BA'!O53</f>
        <v>37817</v>
      </c>
      <c r="F51" s="81">
        <f>'BA'!W53</f>
        <v>6169</v>
      </c>
      <c r="G51" s="81">
        <f>'BA'!X53</f>
        <v>15590</v>
      </c>
      <c r="H51" s="81">
        <f>'BA'!AI53</f>
        <v>16568</v>
      </c>
      <c r="I51" s="81">
        <f>'BA'!AJ53</f>
        <v>11899</v>
      </c>
      <c r="J51" s="81">
        <f>'BA'!AC53</f>
        <v>4411</v>
      </c>
      <c r="K51" s="81">
        <f>'BA'!AD53</f>
        <v>2180</v>
      </c>
    </row>
  </sheetData>
  <mergeCells count="1">
    <mergeCell ref="A1:K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K45"/>
  <sheetViews>
    <sheetView workbookViewId="0" showGridLines="0" defaultGridColor="1"/>
  </sheetViews>
  <sheetFormatPr defaultColWidth="8.83333" defaultRowHeight="12" customHeight="1" outlineLevelRow="0" outlineLevelCol="0"/>
  <cols>
    <col min="1" max="1" width="9.17188" style="82" customWidth="1"/>
    <col min="2" max="2" width="10.5" style="82" customWidth="1"/>
    <col min="3" max="3" width="13.5" style="82" customWidth="1"/>
    <col min="4" max="4" width="11.5" style="82" customWidth="1"/>
    <col min="5" max="5" width="9.17188" style="82" customWidth="1"/>
    <col min="6" max="6" width="8.85156" style="82" customWidth="1"/>
    <col min="7" max="7" width="13.3516" style="82" customWidth="1"/>
    <col min="8" max="8" width="13.3516" style="82" customWidth="1"/>
    <col min="9" max="9" width="9.35156" style="82" customWidth="1"/>
    <col min="10" max="10" width="9.17188" style="82" customWidth="1"/>
    <col min="11" max="11" width="9.17188" style="82" customWidth="1"/>
    <col min="12" max="256" width="8.85156" style="82" customWidth="1"/>
  </cols>
  <sheetData>
    <row r="1" ht="44.25" customHeight="1">
      <c r="A1" t="s" s="83">
        <f>'Data- Core Humanities over Time'!A2</f>
        <v>34</v>
      </c>
      <c r="B1" t="s" s="83">
        <f>'Data- Core Humanities over Time'!D2</f>
        <v>35</v>
      </c>
      <c r="C1" t="s" s="83">
        <v>36</v>
      </c>
      <c r="D1" t="s" s="83">
        <v>37</v>
      </c>
      <c r="E1" t="s" s="83">
        <v>38</v>
      </c>
      <c r="F1" t="s" s="83">
        <v>39</v>
      </c>
      <c r="G1" t="s" s="83">
        <v>40</v>
      </c>
      <c r="H1" s="84"/>
      <c r="I1" t="s" s="83">
        <v>41</v>
      </c>
      <c r="J1" t="s" s="83">
        <v>42</v>
      </c>
      <c r="K1" t="s" s="83">
        <v>43</v>
      </c>
    </row>
    <row r="2" ht="13.65" customHeight="1">
      <c r="A2" s="85">
        <f>'Data- Core Humanities over Time'!A3</f>
        <v>17685</v>
      </c>
      <c r="B2" s="86">
        <f>'Data- Core Humanities over Time'!D3</f>
        <v>237937.324</v>
      </c>
      <c r="C2" s="87">
        <f>'Data- Core Humanities over Time'!H3</f>
        <v>27826</v>
      </c>
      <c r="D2" s="88">
        <f>'Data- Core Humanities over Time'!AA3</f>
        <v>0</v>
      </c>
      <c r="E2" s="89">
        <f>C2/B2</f>
        <v>0.1169467636779844</v>
      </c>
      <c r="F2" s="84"/>
      <c r="G2" s="84"/>
      <c r="H2" s="84"/>
      <c r="I2" s="84"/>
      <c r="J2" s="84"/>
      <c r="K2" s="84"/>
    </row>
    <row r="3" ht="13.65" customHeight="1">
      <c r="A3" s="85">
        <f>'Data- Core Humanities over Time'!A4</f>
        <v>18050</v>
      </c>
      <c r="B3" s="86">
        <f>'Data- Core Humanities over Time'!D4</f>
        <v>331685.296</v>
      </c>
      <c r="C3" s="87">
        <f>'Data- Core Humanities over Time'!H4</f>
        <v>32244</v>
      </c>
      <c r="D3" s="88">
        <f>'Data- Core Humanities over Time'!AA4</f>
        <v>0</v>
      </c>
      <c r="E3" s="89">
        <f>C3/B3</f>
        <v>0.09721263013118313</v>
      </c>
      <c r="F3" s="84"/>
      <c r="G3" s="84"/>
      <c r="H3" s="84"/>
      <c r="I3" s="89">
        <f>(B3-B2)/B2</f>
        <v>0.394002800502203</v>
      </c>
      <c r="J3" s="89">
        <f>(C3-C2)/C2</f>
        <v>0.1587723711636599</v>
      </c>
      <c r="K3" s="89">
        <f>(E3*100-E2*100)/100/E2</f>
        <v>-0.1687445887869085</v>
      </c>
    </row>
    <row r="4" ht="13.65" customHeight="1">
      <c r="A4" s="85">
        <f>'Data- Core Humanities over Time'!A5</f>
        <v>18415</v>
      </c>
      <c r="B4" s="86">
        <f>'Data- Core Humanities over Time'!D5</f>
        <v>396666.452</v>
      </c>
      <c r="C4" s="87">
        <f>'Data- Core Humanities over Time'!H5</f>
        <v>38808</v>
      </c>
      <c r="D4" s="88">
        <f>'Data- Core Humanities over Time'!AA5</f>
        <v>0</v>
      </c>
      <c r="E4" s="89">
        <f>C4/B4</f>
        <v>0.09783534706383488</v>
      </c>
      <c r="F4" s="84"/>
      <c r="G4" s="84"/>
      <c r="H4" s="84"/>
      <c r="I4" s="89">
        <f>(B4-B3)/B3</f>
        <v>0.1959120792620242</v>
      </c>
      <c r="J4" s="89">
        <f>(C4-C3)/C3</f>
        <v>0.203572757722367</v>
      </c>
      <c r="K4" s="89">
        <f>(E4*100-E3*100)/100/E3</f>
        <v>0.006405720448170536</v>
      </c>
    </row>
    <row r="5" ht="13.65" customHeight="1">
      <c r="A5" s="85">
        <f>'Data- Core Humanities over Time'!A6</f>
        <v>18780</v>
      </c>
      <c r="B5" s="86">
        <f>'Data- Core Humanities over Time'!D6</f>
        <v>346652.016</v>
      </c>
      <c r="C5" s="87">
        <f>'Data- Core Humanities over Time'!H6</f>
        <v>35416</v>
      </c>
      <c r="D5" s="88">
        <f>'Data- Core Humanities over Time'!AA6</f>
        <v>0</v>
      </c>
      <c r="E5" s="89">
        <f>C5/B5</f>
        <v>0.1021658561477975</v>
      </c>
      <c r="F5" s="84"/>
      <c r="G5" s="84"/>
      <c r="H5" s="84"/>
      <c r="I5" s="89">
        <f>(B5-B3)/B3</f>
        <v>0.04512325442367505</v>
      </c>
      <c r="J5" s="89">
        <f>(C5-C3)/C3</f>
        <v>0.09837489145267336</v>
      </c>
      <c r="K5" s="89">
        <f>(E5*100-E3*100)/100/E3</f>
        <v>0.05095249464941211</v>
      </c>
    </row>
    <row r="6" ht="13.65" customHeight="1">
      <c r="A6" s="85">
        <f>'Data- Core Humanities over Time'!A7</f>
        <v>19146</v>
      </c>
      <c r="B6" s="86">
        <f>'Data- Core Humanities over Time'!D7</f>
        <v>295693.26</v>
      </c>
      <c r="C6" s="87">
        <f>'Data- Core Humanities over Time'!H7</f>
        <v>31142</v>
      </c>
      <c r="D6" s="88">
        <f>'Data- Core Humanities over Time'!AA7</f>
        <v>0</v>
      </c>
      <c r="E6" s="89">
        <f>C6/B6</f>
        <v>0.1053185994161653</v>
      </c>
      <c r="F6" s="84"/>
      <c r="G6" s="84"/>
      <c r="H6" s="84"/>
      <c r="I6" s="89">
        <f>(B6-B5)/B5</f>
        <v>-0.1470026240955137</v>
      </c>
      <c r="J6" s="89">
        <f>(C6-C5)/C5</f>
        <v>-0.1206799186808222</v>
      </c>
      <c r="K6" s="89">
        <f>(E6*100-E5*100)/100/E5</f>
        <v>0.03085906962700784</v>
      </c>
    </row>
    <row r="7" ht="13.65" customHeight="1">
      <c r="A7" s="85">
        <f>'Data- Core Humanities over Time'!A8</f>
        <v>19511</v>
      </c>
      <c r="B7" s="86">
        <f>'Data- Core Humanities over Time'!D8</f>
        <v>269540.432</v>
      </c>
      <c r="C7" s="87">
        <f>'Data- Core Humanities over Time'!H8</f>
        <v>28871</v>
      </c>
      <c r="D7" s="88">
        <f>'Data- Core Humanities over Time'!AA8</f>
        <v>0</v>
      </c>
      <c r="E7" s="89">
        <f>C7/B7</f>
        <v>0.1071119452683818</v>
      </c>
      <c r="F7" s="84"/>
      <c r="G7" s="84"/>
      <c r="H7" s="84"/>
      <c r="I7" s="89">
        <f>(B7-B6)/B6</f>
        <v>-0.08844580360066367</v>
      </c>
      <c r="J7" s="89">
        <f>(C7-C6)/C6</f>
        <v>-0.07292402543189262</v>
      </c>
      <c r="K7" s="89">
        <f>(E7*100-E6*100)/100/E6</f>
        <v>0.01702781713921394</v>
      </c>
    </row>
    <row r="8" ht="13.65" customHeight="1">
      <c r="A8" s="85">
        <f>'Data- Core Humanities over Time'!A9</f>
        <v>19876</v>
      </c>
      <c r="B8" s="86">
        <f>'Data- Core Humanities over Time'!D9</f>
        <v>257800.074</v>
      </c>
      <c r="C8" s="87">
        <f>'Data- Core Humanities over Time'!H9</f>
        <v>27589</v>
      </c>
      <c r="D8" s="88">
        <f>'Data- Core Humanities over Time'!AA9</f>
        <v>0</v>
      </c>
      <c r="E8" s="89">
        <f>C8/B8</f>
        <v>0.1070170367755597</v>
      </c>
      <c r="F8" s="84"/>
      <c r="G8" s="84"/>
      <c r="H8" s="84"/>
      <c r="I8" s="89">
        <f>(B8-B7)/B7</f>
        <v>-0.04355694584625458</v>
      </c>
      <c r="J8" s="89">
        <f>(C8-C7)/C7</f>
        <v>-0.0444044196598663</v>
      </c>
      <c r="K8" s="89">
        <f>(E8*100-E7*100)/100/E7</f>
        <v>-0.0008860682399555882</v>
      </c>
    </row>
    <row r="9" ht="13.65" customHeight="1">
      <c r="A9" s="85">
        <f>'Data- Core Humanities over Time'!A10</f>
        <v>20241</v>
      </c>
      <c r="B9" s="86">
        <f>'Data- Core Humanities over Time'!D10</f>
        <v>253689.7</v>
      </c>
      <c r="C9" s="87">
        <f>'Data- Core Humanities over Time'!H10</f>
        <v>27961</v>
      </c>
      <c r="D9" s="88">
        <f>'Data- Core Humanities over Time'!AA10</f>
        <v>0</v>
      </c>
      <c r="E9" s="89">
        <f>C9/B9</f>
        <v>0.1102173245504252</v>
      </c>
      <c r="F9" s="84"/>
      <c r="G9" s="84"/>
      <c r="H9" s="84"/>
      <c r="I9" s="89">
        <f>(B9-B8)/B8</f>
        <v>-0.01594403731629632</v>
      </c>
      <c r="J9" s="89">
        <f>(C9-C8)/C8</f>
        <v>0.01348363478197833</v>
      </c>
      <c r="K9" s="89">
        <f>(E9*100-E8*100)/100/E8</f>
        <v>0.02990447008523768</v>
      </c>
    </row>
    <row r="10" ht="13.65" customHeight="1">
      <c r="A10" s="85">
        <f>'Data- Core Humanities over Time'!A11</f>
        <v>20607</v>
      </c>
      <c r="B10" s="86">
        <f>'Data- Core Humanities over Time'!D11</f>
        <v>278102.6</v>
      </c>
      <c r="C10" s="87">
        <f>'Data- Core Humanities over Time'!H11</f>
        <v>31593</v>
      </c>
      <c r="D10" s="88">
        <f>'Data- Core Humanities over Time'!AA11</f>
        <v>0</v>
      </c>
      <c r="E10" s="89">
        <f>C10/B10</f>
        <v>0.1136019584139091</v>
      </c>
      <c r="F10" s="84"/>
      <c r="G10" s="84"/>
      <c r="H10" s="84"/>
      <c r="I10" s="89">
        <f>(B10-B9)/B9</f>
        <v>0.09623134088612964</v>
      </c>
      <c r="J10" s="89">
        <f>(C10-C9)/C9</f>
        <v>0.1298952111870105</v>
      </c>
      <c r="K10" s="89">
        <f>(E10*100-E9*100)/100/E9</f>
        <v>0.03070872820847187</v>
      </c>
    </row>
    <row r="11" ht="13.65" customHeight="1">
      <c r="A11" s="85">
        <f>'Data- Core Humanities over Time'!A13</f>
        <v>21337</v>
      </c>
      <c r="B11" s="86">
        <f>'Data- Core Humanities over Time'!D13</f>
        <v>330133.932</v>
      </c>
      <c r="C11" s="87">
        <f>'Data- Core Humanities over Time'!H13</f>
        <v>37036</v>
      </c>
      <c r="D11" s="88">
        <f>'Data- Core Humanities over Time'!AA13</f>
        <v>0</v>
      </c>
      <c r="E11" s="89">
        <f>C11/B11</f>
        <v>0.1121847723305219</v>
      </c>
      <c r="F11" s="84"/>
      <c r="G11" s="84"/>
      <c r="H11" s="84"/>
      <c r="I11" s="89">
        <f>(B11-B10)/B10</f>
        <v>0.1870940149426868</v>
      </c>
      <c r="J11" s="89">
        <f>(C11-C10)/C10</f>
        <v>0.1722849998417371</v>
      </c>
      <c r="K11" s="89">
        <f>(E11*100-E10*100)/100/E10</f>
        <v>-0.01247501454353193</v>
      </c>
    </row>
    <row r="12" ht="13.65" customHeight="1">
      <c r="A12" s="85">
        <f>'Data- Core Humanities over Time'!A15</f>
        <v>22068</v>
      </c>
      <c r="B12" s="86">
        <f>'Data- Core Humanities over Time'!D15</f>
        <v>357976.082</v>
      </c>
      <c r="C12" s="87">
        <f>'Data- Core Humanities over Time'!H15</f>
        <v>43931</v>
      </c>
      <c r="D12" s="88">
        <f>'Data- Core Humanities over Time'!AA15</f>
        <v>0</v>
      </c>
      <c r="E12" s="89">
        <f>C12/B12</f>
        <v>0.1227204894655504</v>
      </c>
      <c r="F12" s="84"/>
      <c r="G12" s="84"/>
      <c r="H12" s="84"/>
      <c r="I12" s="89">
        <f>(B12-B11)/B11</f>
        <v>0.08433592339729551</v>
      </c>
      <c r="J12" s="89">
        <f>(C12-C11)/C11</f>
        <v>0.1861702127659574</v>
      </c>
      <c r="K12" s="89">
        <f>(E12*100-E11*100)/100/E11</f>
        <v>0.09391396814522984</v>
      </c>
    </row>
    <row r="13" ht="13.65" customHeight="1">
      <c r="A13" s="85">
        <f>'Data- Core Humanities over Time'!A17</f>
        <v>22798</v>
      </c>
      <c r="B13" s="86">
        <f>'Data- Core Humanities over Time'!D17</f>
        <v>382822</v>
      </c>
      <c r="C13" s="87">
        <f>'Data- Core Humanities over Time'!H17</f>
        <v>53574</v>
      </c>
      <c r="D13" s="88">
        <f>'Data- Core Humanities over Time'!AA17</f>
        <v>0</v>
      </c>
      <c r="E13" s="89">
        <f>C13/B13</f>
        <v>0.139944935244056</v>
      </c>
      <c r="F13" s="84"/>
      <c r="G13" s="84"/>
      <c r="H13" s="84"/>
      <c r="I13" s="89">
        <f>(B13-B12)/B12</f>
        <v>0.06940664264826499</v>
      </c>
      <c r="J13" s="89">
        <f>(C13-C12)/C12</f>
        <v>0.2195033120120188</v>
      </c>
      <c r="K13" s="89">
        <f>(E13*100-E12*100)/100/E12</f>
        <v>0.1403550935423932</v>
      </c>
    </row>
    <row r="14" ht="13.65" customHeight="1">
      <c r="A14" s="85">
        <f>'Data- Core Humanities over Time'!A18</f>
        <v>23163</v>
      </c>
      <c r="B14" s="86">
        <f>'Data- Core Humanities over Time'!D18</f>
        <v>410421</v>
      </c>
      <c r="C14" s="87">
        <f>'Data- Core Humanities over Time'!H18</f>
        <v>62105</v>
      </c>
      <c r="D14" s="88">
        <f>'Data- Core Humanities over Time'!AA18</f>
        <v>0</v>
      </c>
      <c r="E14" s="89">
        <f>C14/B14</f>
        <v>0.1513202297153411</v>
      </c>
      <c r="F14" s="84"/>
      <c r="G14" s="84"/>
      <c r="H14" s="84"/>
      <c r="I14" s="89">
        <f>(B14-B13)/B13</f>
        <v>0.07209355784150336</v>
      </c>
      <c r="J14" s="89">
        <f>(C14-C13)/C13</f>
        <v>0.159237689924217</v>
      </c>
      <c r="K14" s="89">
        <f>(E14*100-E13*100)/100/E13</f>
        <v>0.08128407399272583</v>
      </c>
    </row>
    <row r="15" ht="13.65" customHeight="1">
      <c r="A15" s="85">
        <f>'Data- Core Humanities over Time'!A20</f>
        <v>23894</v>
      </c>
      <c r="B15" s="86">
        <f>'Data- Core Humanities over Time'!D20</f>
        <v>492984</v>
      </c>
      <c r="C15" s="87">
        <f>'Data- Core Humanities over Time'!H20</f>
        <v>80938</v>
      </c>
      <c r="D15" s="88">
        <f>'Data- Core Humanities over Time'!AA20</f>
        <v>0</v>
      </c>
      <c r="E15" s="89">
        <f>C15/B15</f>
        <v>0.1641797705402204</v>
      </c>
      <c r="F15" s="84"/>
      <c r="G15" s="84"/>
      <c r="H15" s="84"/>
      <c r="I15" s="89">
        <f>(B15-B14)/B14</f>
        <v>0.2011666069718655</v>
      </c>
      <c r="J15" s="89">
        <f>(C15-C14)/C14</f>
        <v>0.3032445052733274</v>
      </c>
      <c r="K15" s="89">
        <f>(E15*100-E14*100)/100/E14</f>
        <v>0.08498229780030273</v>
      </c>
    </row>
    <row r="16" ht="13.65" customHeight="1">
      <c r="A16" s="85">
        <f>'Data- Core Humanities over Time'!A21</f>
        <v>24259</v>
      </c>
      <c r="B16" s="86">
        <f>'Data- Core Humanities over Time'!D21</f>
        <v>524117</v>
      </c>
      <c r="C16" s="87">
        <f>'Data- Core Humanities over Time'!H21</f>
        <v>88503</v>
      </c>
      <c r="D16" s="88">
        <f>'Data- Core Humanities over Time'!AA21</f>
        <v>0</v>
      </c>
      <c r="E16" s="89">
        <f>C16/B16</f>
        <v>0.1688611512314998</v>
      </c>
      <c r="F16" s="84"/>
      <c r="G16" s="84"/>
      <c r="H16" s="84"/>
      <c r="I16" s="89">
        <f>(B16-B15)/B15</f>
        <v>0.06315215098258767</v>
      </c>
      <c r="J16" s="89">
        <f>(C16-C15)/C15</f>
        <v>0.09346660406731078</v>
      </c>
      <c r="K16" s="89">
        <f>(E16*100-E15*100)/100/E15</f>
        <v>0.02851374853232983</v>
      </c>
    </row>
    <row r="17" ht="13.65" customHeight="1">
      <c r="A17" s="85">
        <f>'Data- Core Humanities over Time'!A23</f>
        <v>24990</v>
      </c>
      <c r="B17" s="86">
        <f>'Data- Core Humanities over Time'!D23</f>
        <v>636863</v>
      </c>
      <c r="C17" s="87">
        <f>'Data- Core Humanities over Time'!H23</f>
        <v>108832</v>
      </c>
      <c r="D17" s="88">
        <f>'Data- Core Humanities over Time'!AA23</f>
        <v>111005</v>
      </c>
      <c r="E17" s="89">
        <f>C17/B17</f>
        <v>0.170887616331927</v>
      </c>
      <c r="F17" s="89">
        <f>C17/D17</f>
        <v>0.9804243052114769</v>
      </c>
      <c r="G17" s="89"/>
      <c r="H17" s="89"/>
      <c r="I17" s="89">
        <f>(B17-B16)/B16</f>
        <v>0.2151160904912453</v>
      </c>
      <c r="J17" s="89">
        <f>(C17-C16)/C16</f>
        <v>0.2296984283018655</v>
      </c>
      <c r="K17" s="89">
        <f>(E17*100-E16*100)/100/E16</f>
        <v>0.01200077747692801</v>
      </c>
    </row>
    <row r="18" ht="13.65" customHeight="1">
      <c r="A18" s="85">
        <f>'Data- Core Humanities over Time'!A24</f>
        <v>25355</v>
      </c>
      <c r="B18" s="86">
        <f>'Data- Core Humanities over Time'!D24</f>
        <v>734003</v>
      </c>
      <c r="C18" s="87">
        <f>'Data- Core Humanities over Time'!H24</f>
        <v>123541</v>
      </c>
      <c r="D18" s="88">
        <f>'Data- Core Humanities over Time'!AA24</f>
        <v>126461</v>
      </c>
      <c r="E18" s="89">
        <f>C18/B18</f>
        <v>0.1683113011799679</v>
      </c>
      <c r="F18" s="89">
        <f>C18/D18</f>
        <v>0.9769098773534923</v>
      </c>
      <c r="G18" s="84"/>
      <c r="H18" s="84"/>
      <c r="I18" s="89">
        <f>(B18-B17)/B17</f>
        <v>0.1525288798375789</v>
      </c>
      <c r="J18" s="89">
        <f>(C18-C17)/C17</f>
        <v>0.1351532637459571</v>
      </c>
      <c r="K18" s="89">
        <f>(E18*100-E17*100)/100/E17</f>
        <v>-0.01507607869580719</v>
      </c>
    </row>
    <row r="19" ht="13.65" customHeight="1">
      <c r="A19" s="85">
        <f>'Data- Core Humanities over Time'!A25</f>
        <v>26085</v>
      </c>
      <c r="B19" s="86">
        <f>'Data- Core Humanities over Time'!D25</f>
        <v>846110</v>
      </c>
      <c r="C19" s="87">
        <f>'Data- Core Humanities over Time'!H25</f>
        <v>136213</v>
      </c>
      <c r="D19" s="88">
        <f>'Data- Core Humanities over Time'!AA25</f>
        <v>146884</v>
      </c>
      <c r="E19" s="89">
        <f>C19/B19</f>
        <v>0.1609873420713619</v>
      </c>
      <c r="F19" s="89">
        <f>C19/D19</f>
        <v>0.9273508346722584</v>
      </c>
      <c r="G19" s="89">
        <v>0.9036388140161725</v>
      </c>
      <c r="H19" s="84"/>
      <c r="I19" s="89">
        <f>(B19-B18)/B18</f>
        <v>0.1527337081728549</v>
      </c>
      <c r="J19" s="89">
        <f>(C19-C18)/C18</f>
        <v>0.1025732347965453</v>
      </c>
      <c r="K19" s="89">
        <f>(E19*100-E18*100)/100/E18</f>
        <v>-0.04351436330929959</v>
      </c>
    </row>
    <row r="20" ht="13.65" customHeight="1">
      <c r="A20" s="85">
        <f>'Data- Core Humanities over Time'!A26</f>
        <v>26451</v>
      </c>
      <c r="B20" s="86">
        <f>'Data- Core Humanities over Time'!D26</f>
        <v>894110</v>
      </c>
      <c r="C20" s="87">
        <f>'Data- Core Humanities over Time'!H26</f>
        <v>134143</v>
      </c>
      <c r="D20" s="88">
        <f>'Data- Core Humanities over Time'!AA26</f>
        <v>145600</v>
      </c>
      <c r="E20" s="89">
        <f>C20/B20</f>
        <v>0.1500296384113811</v>
      </c>
      <c r="F20" s="89">
        <f>C20/D20</f>
        <v>0.9213118131868132</v>
      </c>
      <c r="G20" s="89">
        <v>0.9018595041322314</v>
      </c>
      <c r="H20" s="84"/>
      <c r="I20" s="89">
        <f>(B20-B19)/B19</f>
        <v>0.05673021238373261</v>
      </c>
      <c r="J20" s="89">
        <f>(C20-C19)/C19</f>
        <v>-0.01519678738446404</v>
      </c>
      <c r="K20" s="89">
        <f>(E20*100-E19*100)/100/E19</f>
        <v>-0.0680656225451776</v>
      </c>
    </row>
    <row r="21" ht="13.65" customHeight="1">
      <c r="A21" s="85">
        <f>'Data- Core Humanities over Time'!A27</f>
        <v>26816</v>
      </c>
      <c r="B21" s="86">
        <f>'Data- Core Humanities over Time'!D27</f>
        <v>930000</v>
      </c>
      <c r="C21" s="87">
        <f>'Data- Core Humanities over Time'!H27</f>
        <v>128619</v>
      </c>
      <c r="D21" s="88">
        <f>'Data- Core Humanities over Time'!AA27</f>
        <v>142382</v>
      </c>
      <c r="E21" s="89">
        <f>C21/B21</f>
        <v>0.1383</v>
      </c>
      <c r="F21" s="89">
        <f>C21/D21</f>
        <v>0.903337500526752</v>
      </c>
      <c r="G21" s="89">
        <v>0.9091435185185185</v>
      </c>
      <c r="H21" s="84"/>
      <c r="I21" s="89">
        <f>(B21-B20)/B20</f>
        <v>0.04014047488564047</v>
      </c>
      <c r="J21" s="89">
        <f>(C21-C20)/C20</f>
        <v>-0.04117993484564979</v>
      </c>
      <c r="K21" s="89">
        <f>(E21*100-E20*100)/100/E20</f>
        <v>-0.07818214144606873</v>
      </c>
    </row>
    <row r="22" ht="13.65" customHeight="1">
      <c r="A22" s="85">
        <f>'Data- Core Humanities over Time'!A28</f>
        <v>27546</v>
      </c>
      <c r="B22" s="86">
        <f>'Data- Core Humanities over Time'!D28</f>
        <v>931663</v>
      </c>
      <c r="C22" s="87">
        <f>'Data- Core Humanities over Time'!H28</f>
        <v>103939</v>
      </c>
      <c r="D22" s="88">
        <f>'Data- Core Humanities over Time'!AA28</f>
        <v>119575</v>
      </c>
      <c r="E22" s="89">
        <f>C22/B22</f>
        <v>0.1115628719826804</v>
      </c>
      <c r="F22" s="89">
        <f>C22/D22</f>
        <v>0.8692368806188585</v>
      </c>
      <c r="G22" s="89">
        <v>0.8818591318591319</v>
      </c>
      <c r="H22" s="84"/>
      <c r="I22" s="89">
        <f>(B22-B21)/B21</f>
        <v>0.001788172043010753</v>
      </c>
      <c r="J22" s="89">
        <f>(C22-C21)/C21</f>
        <v>-0.191884558268996</v>
      </c>
      <c r="K22" s="89">
        <f>(E22*100-E21*100)/100/E21</f>
        <v>-0.1933270283247981</v>
      </c>
    </row>
    <row r="23" ht="13.65" customHeight="1">
      <c r="A23" s="85">
        <f>'Data- Core Humanities over Time'!A29</f>
        <v>28277</v>
      </c>
      <c r="B23" s="86">
        <f>'Data- Core Humanities over Time'!D29</f>
        <v>928228</v>
      </c>
      <c r="C23" s="87">
        <f>'Data- Core Humanities over Time'!H29</f>
        <v>83669</v>
      </c>
      <c r="D23" s="88">
        <f>'Data- Core Humanities over Time'!AA29</f>
        <v>99255</v>
      </c>
      <c r="E23" s="89">
        <f>C23/B23</f>
        <v>0.09013841426890808</v>
      </c>
      <c r="F23" s="89">
        <f>C23/D23</f>
        <v>0.8429701274494987</v>
      </c>
      <c r="G23" s="89">
        <v>0.8766157461809636</v>
      </c>
      <c r="H23" s="84"/>
      <c r="I23" s="89">
        <f>(B23-B22)/B22</f>
        <v>-0.003686955476390068</v>
      </c>
      <c r="J23" s="89">
        <f>(C23-C22)/C22</f>
        <v>-0.195018231847526</v>
      </c>
      <c r="K23" s="89">
        <f>(E23*100-E22*100)/100/E22</f>
        <v>-0.1920393167818267</v>
      </c>
    </row>
    <row r="24" ht="13.65" customHeight="1">
      <c r="A24" s="85">
        <f>'Data- Core Humanities over Time'!A30</f>
        <v>28642</v>
      </c>
      <c r="B24" s="86">
        <f>'Data- Core Humanities over Time'!D30</f>
        <v>930201</v>
      </c>
      <c r="C24" s="87">
        <f>'Data- Core Humanities over Time'!H30</f>
        <v>76968</v>
      </c>
      <c r="D24" s="88">
        <f>'Data- Core Humanities over Time'!AA30</f>
        <v>92334</v>
      </c>
      <c r="E24" s="89">
        <f>C24/B24</f>
        <v>0.08274340707008486</v>
      </c>
      <c r="F24" s="89">
        <f>C24/D24</f>
        <v>0.8335824290077328</v>
      </c>
      <c r="G24" s="89">
        <v>0.855369807497467</v>
      </c>
      <c r="H24" s="84"/>
      <c r="I24" s="89">
        <f>(B24-B23)/B23</f>
        <v>0.002125555359243634</v>
      </c>
      <c r="J24" s="89">
        <f>(C24-C23)/C23</f>
        <v>-0.08008939989721402</v>
      </c>
      <c r="K24" s="89">
        <f>(E24*100-E23*100)/100/E23</f>
        <v>-0.08204057347583073</v>
      </c>
    </row>
    <row r="25" ht="13.65" customHeight="1">
      <c r="A25" s="85">
        <f>'Data- Core Humanities over Time'!A31</f>
        <v>29373</v>
      </c>
      <c r="B25" s="86">
        <f>'Data- Core Humanities over Time'!D31</f>
        <v>940251</v>
      </c>
      <c r="C25" s="87">
        <f>'Data- Core Humanities over Time'!H31</f>
        <v>68186</v>
      </c>
      <c r="D25" s="88">
        <f>'Data- Core Humanities over Time'!AA31</f>
        <v>82031</v>
      </c>
      <c r="E25" s="89">
        <f>C25/B25</f>
        <v>0.07251893377406671</v>
      </c>
      <c r="F25" s="89">
        <f>C25/D25</f>
        <v>0.8312223427728541</v>
      </c>
      <c r="G25" s="89">
        <v>0.8475386779184247</v>
      </c>
      <c r="H25" s="84"/>
      <c r="I25" s="89">
        <f>(B25-B24)/B24</f>
        <v>0.01080411652965327</v>
      </c>
      <c r="J25" s="89">
        <f>(C25-C24)/C24</f>
        <v>-0.1140993659702734</v>
      </c>
      <c r="K25" s="89">
        <f>(E25*100-E24*100)/100/E24</f>
        <v>-0.1235684347316987</v>
      </c>
    </row>
    <row r="26" ht="13.65" customHeight="1">
      <c r="A26" s="85">
        <f>'Data- Core Humanities over Time'!A32</f>
        <v>29738</v>
      </c>
      <c r="B26" s="86">
        <f>'Data- Core Humanities over Time'!D32</f>
        <v>946877</v>
      </c>
      <c r="C26" s="87">
        <f>'Data- Core Humanities over Time'!H32</f>
        <v>66010</v>
      </c>
      <c r="D26" s="88">
        <f>'Data- Core Humanities over Time'!AA32</f>
        <v>79123</v>
      </c>
      <c r="E26" s="89">
        <f>C26/B26</f>
        <v>0.06971338410374314</v>
      </c>
      <c r="F26" s="89">
        <f>C26/D26</f>
        <v>0.8342706924661603</v>
      </c>
      <c r="G26" s="89">
        <v>0.8412652350551364</v>
      </c>
      <c r="H26" s="84"/>
      <c r="I26" s="89">
        <f>(B26-B25)/B25</f>
        <v>0.007047054456735488</v>
      </c>
      <c r="J26" s="89">
        <f>(C26-C25)/C25</f>
        <v>-0.0319127093538263</v>
      </c>
      <c r="K26" s="89">
        <f>(E26*100-E25*100)/100/E25</f>
        <v>-0.03868713347419407</v>
      </c>
    </row>
    <row r="27" ht="13.65" customHeight="1">
      <c r="A27" s="85">
        <f>'Data- Core Humanities over Time'!A33</f>
        <v>30103</v>
      </c>
      <c r="B27" s="86">
        <f>'Data- Core Humanities over Time'!D33</f>
        <v>964043</v>
      </c>
      <c r="C27" s="87">
        <f>'Data- Core Humanities over Time'!H33</f>
        <v>65269</v>
      </c>
      <c r="D27" s="88">
        <f>'Data- Core Humanities over Time'!AA33</f>
        <v>78158</v>
      </c>
      <c r="E27" s="89">
        <f>C27/B27</f>
        <v>0.06770341156981587</v>
      </c>
      <c r="F27" s="89">
        <f>C27/D27</f>
        <v>0.8350904577906293</v>
      </c>
      <c r="G27" s="89">
        <v>0.8428175945862811</v>
      </c>
      <c r="H27" s="84"/>
      <c r="I27" s="89">
        <f>(B27-B26)/B26</f>
        <v>0.0181290706184647</v>
      </c>
      <c r="J27" s="89">
        <f>(C27-C26)/C26</f>
        <v>-0.01122557188304802</v>
      </c>
      <c r="K27" s="89">
        <f>(E27*100-E26*100)/100/E26</f>
        <v>-0.02883194611433806</v>
      </c>
    </row>
    <row r="28" ht="13.65" customHeight="1">
      <c r="A28" s="85">
        <f>'Data- Core Humanities over Time'!A34</f>
        <v>30834</v>
      </c>
      <c r="B28" s="86">
        <f>'Data- Core Humanities over Time'!D34</f>
        <v>986000</v>
      </c>
      <c r="C28" s="87">
        <f>'Data- Core Humanities over Time'!H34</f>
        <v>63712</v>
      </c>
      <c r="D28" s="88">
        <f>'Data- Core Humanities over Time'!AA34</f>
        <v>77966</v>
      </c>
      <c r="E28" s="89">
        <f>C28/B28</f>
        <v>0.06461663286004057</v>
      </c>
      <c r="F28" s="89">
        <f>C28/D28</f>
        <v>0.8171767180565888</v>
      </c>
      <c r="G28" s="89">
        <v>0.7420706163973668</v>
      </c>
      <c r="H28" s="84"/>
      <c r="I28" s="89">
        <f>(B28-B27)/B27</f>
        <v>0.02277595501445475</v>
      </c>
      <c r="J28" s="89">
        <f>(C28-C27)/C27</f>
        <v>-0.02385512264627924</v>
      </c>
      <c r="K28" s="89">
        <f>(E28*100-E27*100)/100/E27</f>
        <v>-0.04559266125891166</v>
      </c>
    </row>
    <row r="29" ht="13.65" customHeight="1">
      <c r="A29" s="85">
        <f>'Data- Core Humanities over Time'!A35</f>
        <v>31199</v>
      </c>
      <c r="B29" s="86">
        <f>'Data- Core Humanities over Time'!D35</f>
        <v>991000</v>
      </c>
      <c r="C29" s="87">
        <f>'Data- Core Humanities over Time'!H35</f>
        <v>63844</v>
      </c>
      <c r="D29" s="88">
        <f>'Data- Core Humanities over Time'!AA35</f>
        <v>77426</v>
      </c>
      <c r="E29" s="89">
        <f>C29/B29</f>
        <v>0.06442381432896065</v>
      </c>
      <c r="F29" s="89">
        <f>C29/D29</f>
        <v>0.8245808901402629</v>
      </c>
      <c r="G29" s="89">
        <v>0.7585877862595419</v>
      </c>
      <c r="H29" s="84"/>
      <c r="I29" s="89">
        <f>(B29-B28)/B28</f>
        <v>0.005070993914807302</v>
      </c>
      <c r="J29" s="89">
        <f>(C29-C28)/C28</f>
        <v>0.002071823204419889</v>
      </c>
      <c r="K29" s="89">
        <f>(E29*100-E28*100)/100/E28</f>
        <v>-0.002984038668458168</v>
      </c>
    </row>
    <row r="30" ht="13.65" customHeight="1">
      <c r="A30" s="85">
        <f>'Data- Core Humanities over Time'!A36</f>
        <v>31564</v>
      </c>
      <c r="B30" s="86">
        <f>'Data- Core Humanities over Time'!D36</f>
        <v>1000204</v>
      </c>
      <c r="C30" s="87">
        <f>'Data- Core Humanities over Time'!H36</f>
        <v>65670</v>
      </c>
      <c r="D30" s="88">
        <f>'Data- Core Humanities over Time'!AA36</f>
        <v>77065</v>
      </c>
      <c r="E30" s="89">
        <f>C30/B30</f>
        <v>0.06565660605236531</v>
      </c>
      <c r="F30" s="89">
        <f>C30/D30</f>
        <v>0.8521378057483943</v>
      </c>
      <c r="G30" s="89">
        <v>0.7744626243182547</v>
      </c>
      <c r="H30" s="84"/>
      <c r="I30" s="89">
        <f>(B30-B29)/B29</f>
        <v>0.009287588294651867</v>
      </c>
      <c r="J30" s="89">
        <f>(C30-C29)/C29</f>
        <v>0.02860096485182633</v>
      </c>
      <c r="K30" s="89">
        <f>(E30*100-E29*100)/100/E29</f>
        <v>0.01913565249505079</v>
      </c>
    </row>
    <row r="31" ht="13.65" customHeight="1">
      <c r="A31" s="85">
        <f>'Data- Core Humanities over Time'!A37</f>
        <v>31929</v>
      </c>
      <c r="B31" s="86">
        <f>'Data- Core Humanities over Time'!D37</f>
        <v>1005021</v>
      </c>
      <c r="C31" s="87">
        <f>'Data- Core Humanities over Time'!H37</f>
        <v>67140</v>
      </c>
      <c r="D31" s="88">
        <f>'Data- Core Humanities over Time'!AA37</f>
        <v>79726</v>
      </c>
      <c r="E31" s="89">
        <f>C31/B31</f>
        <v>0.06680457423277722</v>
      </c>
      <c r="F31" s="89">
        <f>C31/D31</f>
        <v>0.8421343100117904</v>
      </c>
      <c r="G31" s="89">
        <v>0.760738148265988</v>
      </c>
      <c r="H31" s="84"/>
      <c r="I31" s="89">
        <f>(B31-B30)/B30</f>
        <v>0.004816017532423385</v>
      </c>
      <c r="J31" s="89">
        <f>(C31-C30)/C30</f>
        <v>0.02238465052535404</v>
      </c>
      <c r="K31" s="89">
        <f>(E31*100-E30*100)/100/E30</f>
        <v>0.0174844276826665</v>
      </c>
    </row>
    <row r="32" ht="13.65" customHeight="1">
      <c r="A32" s="85">
        <f>'Data- Core Humanities over Time'!A38</f>
        <v>32295</v>
      </c>
      <c r="B32" s="86">
        <f>'Data- Core Humanities over Time'!D38</f>
        <v>1009223</v>
      </c>
      <c r="C32" s="87">
        <f>'Data- Core Humanities over Time'!H38</f>
        <v>71394</v>
      </c>
      <c r="D32" s="88">
        <f>'Data- Core Humanities over Time'!AA38</f>
        <v>84011</v>
      </c>
      <c r="E32" s="89">
        <f>C32/B32</f>
        <v>0.07074155067809593</v>
      </c>
      <c r="F32" s="89">
        <f>C32/D32</f>
        <v>0.8498172858316173</v>
      </c>
      <c r="G32" s="89">
        <v>0.7661659046374918</v>
      </c>
      <c r="H32" s="84"/>
      <c r="I32" s="89">
        <f>(B32-B31)/B31</f>
        <v>0.004181007163034404</v>
      </c>
      <c r="J32" s="89">
        <f>(C32-C31)/C31</f>
        <v>0.06336014298480787</v>
      </c>
      <c r="K32" s="89">
        <f>(E32*100-E31*100)/100/E31</f>
        <v>0.05893273762363205</v>
      </c>
    </row>
    <row r="33" ht="13.65" customHeight="1">
      <c r="A33" s="85">
        <f>'Data- Core Humanities over Time'!A39</f>
        <v>32660</v>
      </c>
      <c r="B33" s="86">
        <f>'Data- Core Humanities over Time'!D39</f>
        <v>1030000</v>
      </c>
      <c r="C33" s="87">
        <f>'Data- Core Humanities over Time'!H39</f>
        <v>78109</v>
      </c>
      <c r="D33" s="88">
        <f>'Data- Core Humanities over Time'!AA39</f>
        <v>91825</v>
      </c>
      <c r="E33" s="89">
        <f>C33/B33</f>
        <v>0.07583398058252427</v>
      </c>
      <c r="F33" s="89">
        <f>C33/D33</f>
        <v>0.8506289136945276</v>
      </c>
      <c r="G33" s="89">
        <v>0.7583807716635041</v>
      </c>
      <c r="H33" s="84"/>
      <c r="I33" s="89">
        <f>(B33-B32)/B32</f>
        <v>0.02058712494661735</v>
      </c>
      <c r="J33" s="89">
        <f>(C33-C32)/C32</f>
        <v>0.09405552287307056</v>
      </c>
      <c r="K33" s="89">
        <f>(E33*100-E32*100)/100/E32</f>
        <v>0.07198640481604743</v>
      </c>
    </row>
    <row r="34" ht="13.65" customHeight="1">
      <c r="A34" s="85">
        <f>'Data- Core Humanities over Time'!A40</f>
        <v>33025</v>
      </c>
      <c r="B34" s="86">
        <f>'Data- Core Humanities over Time'!D40</f>
        <v>1062000</v>
      </c>
      <c r="C34" s="87">
        <f>'Data- Core Humanities over Time'!H40</f>
        <v>85941</v>
      </c>
      <c r="D34" s="88">
        <f>'Data- Core Humanities over Time'!AA40</f>
        <v>100138</v>
      </c>
      <c r="E34" s="89">
        <f>C34/B34</f>
        <v>0.08092372881355932</v>
      </c>
      <c r="F34" s="89">
        <f>C34/D34</f>
        <v>0.8582256486049252</v>
      </c>
      <c r="G34" s="89">
        <v>0.7632508833922261</v>
      </c>
      <c r="H34" s="84"/>
      <c r="I34" s="89">
        <f>(B34-B33)/B33</f>
        <v>0.03106796116504854</v>
      </c>
      <c r="J34" s="89">
        <f>(C34-C33)/C33</f>
        <v>0.1002701353237143</v>
      </c>
      <c r="K34" s="89">
        <f>(E34*100-E33*100)/100/E33</f>
        <v>0.06711698623674722</v>
      </c>
    </row>
    <row r="35" ht="13.65" customHeight="1">
      <c r="A35" s="85">
        <f>'Data- Core Humanities over Time'!A41</f>
        <v>33390</v>
      </c>
      <c r="B35" s="86">
        <f>'Data- Core Humanities over Time'!D41</f>
        <v>1108000</v>
      </c>
      <c r="C35" s="87">
        <f>'Data- Core Humanities over Time'!H41</f>
        <v>94158</v>
      </c>
      <c r="D35" s="88">
        <f>'Data- Core Humanities over Time'!AA41</f>
        <v>109975</v>
      </c>
      <c r="E35" s="89">
        <f>C35/B35</f>
        <v>0.08498014440433213</v>
      </c>
      <c r="F35" s="89">
        <f>C35/D35</f>
        <v>0.85617640372812</v>
      </c>
      <c r="G35" s="89">
        <v>0.781542699724518</v>
      </c>
      <c r="H35" s="84"/>
      <c r="I35" s="89">
        <f>(B35-B34)/B34</f>
        <v>0.04331450094161959</v>
      </c>
      <c r="J35" s="89">
        <f>(C35-C34)/C34</f>
        <v>0.09561210597968374</v>
      </c>
      <c r="K35" s="89">
        <f>(E35*100-E34*100)/100/E34</f>
        <v>0.05012640482890273</v>
      </c>
    </row>
    <row r="36" ht="13.65" customHeight="1">
      <c r="A36" s="85">
        <f>'Data- Core Humanities over Time'!A42</f>
        <v>33756</v>
      </c>
      <c r="B36" s="86">
        <f>'Data- Core Humanities over Time'!D42</f>
        <v>1150000</v>
      </c>
      <c r="C36" s="87">
        <f>'Data- Core Humanities over Time'!H42</f>
        <v>100797</v>
      </c>
      <c r="D36" s="88">
        <f>'Data- Core Humanities over Time'!AA42</f>
        <v>119028</v>
      </c>
      <c r="E36" s="89">
        <f>C36/B36</f>
        <v>0.0876495652173913</v>
      </c>
      <c r="F36" s="89">
        <f>C36/D36</f>
        <v>0.8468343583022482</v>
      </c>
      <c r="G36" s="89">
        <v>0.7891612903225806</v>
      </c>
      <c r="H36" s="84"/>
      <c r="I36" s="89">
        <f>(B36-B35)/B35</f>
        <v>0.03790613718411552</v>
      </c>
      <c r="J36" s="89">
        <f>(C36-C35)/C35</f>
        <v>0.07050914420442235</v>
      </c>
      <c r="K36" s="89">
        <f>(E36*100-E35*100)/100/E35</f>
        <v>0.03141228850304339</v>
      </c>
    </row>
    <row r="37" ht="13.65" customHeight="1">
      <c r="A37" s="85">
        <f>'Data- Core Humanities over Time'!A43</f>
        <v>34121</v>
      </c>
      <c r="B37" s="86">
        <f>'Data- Core Humanities over Time'!D43</f>
        <v>1179000</v>
      </c>
      <c r="C37" s="87">
        <f>'Data- Core Humanities over Time'!H43</f>
        <v>103324</v>
      </c>
      <c r="D37" s="88">
        <f>'Data- Core Humanities over Time'!AA43</f>
        <v>121116</v>
      </c>
      <c r="E37" s="89">
        <f>C37/B37</f>
        <v>0.08763698049194232</v>
      </c>
      <c r="F37" s="89">
        <f>C37/D37</f>
        <v>0.8530995079097724</v>
      </c>
      <c r="G37" s="89">
        <v>0.8027123848515865</v>
      </c>
      <c r="H37" s="84"/>
      <c r="I37" s="89">
        <f>(B37-B36)/B36</f>
        <v>0.02521739130434783</v>
      </c>
      <c r="J37" s="89">
        <f>(C37-C36)/C36</f>
        <v>0.02507019058106888</v>
      </c>
      <c r="K37" s="89">
        <f>(E37*100-E36*100)/100/E36</f>
        <v>-0.0001435800099836332</v>
      </c>
    </row>
    <row r="38" ht="13.65" customHeight="1">
      <c r="A38" s="85">
        <f>'Data- Core Humanities over Time'!A44</f>
        <v>34486</v>
      </c>
      <c r="B38" s="86">
        <f>'Data- Core Humanities over Time'!D44</f>
        <v>1191139</v>
      </c>
      <c r="C38" s="87">
        <f>'Data- Core Humanities over Time'!H44</f>
        <v>100661</v>
      </c>
      <c r="D38" s="88">
        <f>'Data- Core Humanities over Time'!AA44</f>
        <v>117665</v>
      </c>
      <c r="E38" s="89">
        <f>C38/B38</f>
        <v>0.08450818922056956</v>
      </c>
      <c r="F38" s="89">
        <f>C38/D38</f>
        <v>0.8554880380741937</v>
      </c>
      <c r="G38" s="89">
        <v>0.777122641509434</v>
      </c>
      <c r="H38" s="84"/>
      <c r="I38" s="89">
        <f>(B38-B37)/B37</f>
        <v>0.01029601357082273</v>
      </c>
      <c r="J38" s="89">
        <f>(C38-C37)/C37</f>
        <v>-0.02577329565251055</v>
      </c>
      <c r="K38" s="89">
        <f>(E38*100-E37*100)/100/E37</f>
        <v>-0.0357017237906827</v>
      </c>
    </row>
    <row r="39" ht="13.65" customHeight="1">
      <c r="A39" s="85">
        <f>'Data- Core Humanities over Time'!A45</f>
        <v>34851</v>
      </c>
      <c r="B39" s="86">
        <f>'Data- Core Humanities over Time'!D45</f>
        <v>1182780</v>
      </c>
      <c r="C39" s="87">
        <f>'Data- Core Humanities over Time'!H45</f>
        <v>96818</v>
      </c>
      <c r="D39" s="88">
        <f>'Data- Core Humanities over Time'!AA45</f>
        <v>116000</v>
      </c>
      <c r="E39" s="89">
        <f>C39/B39</f>
        <v>0.0818563046382252</v>
      </c>
      <c r="F39" s="89">
        <f>C39/D39</f>
        <v>0.8346379310344828</v>
      </c>
      <c r="G39" s="89">
        <v>0.7879920826918848</v>
      </c>
      <c r="H39" s="84"/>
      <c r="I39" s="89">
        <f>(B39-B38)/B38</f>
        <v>-0.007017652851598344</v>
      </c>
      <c r="J39" s="89">
        <f>(C39-C38)/C38</f>
        <v>-0.03817764576151637</v>
      </c>
      <c r="K39" s="89">
        <f>(E39*100-E38*100)/100/E38</f>
        <v>-0.03138020831830671</v>
      </c>
    </row>
    <row r="40" ht="13.65" customHeight="1">
      <c r="A40" s="85">
        <f>'Data- Core Humanities over Time'!A46</f>
        <v>35217</v>
      </c>
      <c r="B40" s="86">
        <f>'Data- Core Humanities over Time'!D46</f>
        <v>1181637</v>
      </c>
      <c r="C40" s="87">
        <f>'Data- Core Humanities over Time'!H46</f>
        <v>95431</v>
      </c>
      <c r="D40" s="88">
        <f>'Data- Core Humanities over Time'!AA46</f>
        <v>114952</v>
      </c>
      <c r="E40" s="89">
        <f>C40/B40</f>
        <v>0.08076168908048749</v>
      </c>
      <c r="F40" s="89">
        <f>C40/D40</f>
        <v>0.8301812930614517</v>
      </c>
      <c r="G40" s="89">
        <v>0.787475016655563</v>
      </c>
      <c r="H40" s="84"/>
      <c r="I40" s="89">
        <f>(B40-B39)/B39</f>
        <v>-0.0009663673717851165</v>
      </c>
      <c r="J40" s="89">
        <f>(C40-C39)/C39</f>
        <v>-0.01432584849924601</v>
      </c>
      <c r="K40" s="89">
        <f>(E40*100-E39*100)/100/E39</f>
        <v>-0.01337240378215842</v>
      </c>
    </row>
    <row r="41" ht="13.65" customHeight="1">
      <c r="A41" s="85">
        <f>'Data- Core Humanities over Time'!A47</f>
        <v>35582</v>
      </c>
      <c r="B41" s="86">
        <f>'Data- Core Humanities over Time'!D47</f>
        <v>1188385</v>
      </c>
      <c r="C41" s="87">
        <f>'Data- Core Humanities over Time'!H47</f>
        <v>92902</v>
      </c>
      <c r="D41" s="88">
        <f>'Data- Core Humanities over Time'!AA47</f>
        <v>112290</v>
      </c>
      <c r="E41" s="89">
        <f>C41/B41</f>
        <v>0.07817500220888011</v>
      </c>
      <c r="F41" s="89">
        <f>C41/D41</f>
        <v>0.8273399234125924</v>
      </c>
      <c r="G41" s="89">
        <v>0.7968850010667805</v>
      </c>
      <c r="H41" s="84"/>
      <c r="I41" s="89">
        <f>(B41-B40)/B40</f>
        <v>0.005710721651403942</v>
      </c>
      <c r="J41" s="89">
        <f>(C41-C40)/C40</f>
        <v>-0.0265008225838564</v>
      </c>
      <c r="K41" s="89">
        <f>(E41*100-E40*100)/100/E40</f>
        <v>-0.03202863760104695</v>
      </c>
    </row>
    <row r="42" ht="13.65" customHeight="1">
      <c r="A42" s="85">
        <f>'Data- Core Humanities over Time'!A48</f>
        <v>35947</v>
      </c>
      <c r="B42" s="86">
        <f>'Data- Core Humanities over Time'!D48</f>
        <v>1203827</v>
      </c>
      <c r="C42" s="87">
        <f>'Data- Core Humanities over Time'!H48</f>
        <v>94848</v>
      </c>
      <c r="D42" s="88">
        <f>'Data- Core Humanities over Time'!AA48</f>
        <v>114919</v>
      </c>
      <c r="E42" s="89">
        <f>C42/B42</f>
        <v>0.07878872960981935</v>
      </c>
      <c r="F42" s="89">
        <f>C42/D42</f>
        <v>0.8253465484384653</v>
      </c>
      <c r="G42" s="89">
        <v>0.7984480294057587</v>
      </c>
      <c r="H42" s="84"/>
      <c r="I42" s="89">
        <f>(B42-B41)/B41</f>
        <v>0.01299410544562579</v>
      </c>
      <c r="J42" s="89">
        <f>(C42-C41)/C41</f>
        <v>0.02094680415922155</v>
      </c>
      <c r="K42" s="89">
        <f>(E42*100-E41*100)/100/E41</f>
        <v>0.007850686070969112</v>
      </c>
    </row>
    <row r="43" ht="13.65" customHeight="1">
      <c r="A43" s="85">
        <f>'Data- Core Humanities over Time'!A49</f>
        <v>36678</v>
      </c>
      <c r="B43" s="86">
        <f>'Data- Core Humanities over Time'!D49</f>
        <v>1259231</v>
      </c>
      <c r="C43" s="87">
        <f>'Data- Core Humanities over Time'!H49</f>
        <v>96048</v>
      </c>
      <c r="D43" s="88">
        <f>'Data- Core Humanities over Time'!AA49</f>
        <v>115504</v>
      </c>
      <c r="E43" s="89">
        <f>C43/B43</f>
        <v>0.07627512346821194</v>
      </c>
      <c r="F43" s="89">
        <f>C43/D43</f>
        <v>0.831555617121485</v>
      </c>
      <c r="G43" s="89">
        <v>0.7925986173241155</v>
      </c>
      <c r="H43" s="84"/>
      <c r="I43" s="89">
        <f>(B43-B42)/B42</f>
        <v>0.04602322426727429</v>
      </c>
      <c r="J43" s="89">
        <f>(C43-C42)/C42</f>
        <v>0.01265182186234818</v>
      </c>
      <c r="K43" s="89">
        <f>(E43*100-E42*100)/100/E42</f>
        <v>-0.03190311804816995</v>
      </c>
    </row>
    <row r="44" ht="13.65" customHeight="1">
      <c r="A44" s="85">
        <f>'Data- Core Humanities over Time'!A50</f>
        <v>37043</v>
      </c>
      <c r="B44" s="86">
        <f>'Data- Core Humanities over Time'!D50</f>
        <v>1319233</v>
      </c>
      <c r="C44" s="87">
        <f>'Data- Core Humanities over Time'!H50</f>
        <v>107070</v>
      </c>
      <c r="D44" s="88">
        <f>'Data- Core Humanities over Time'!AA50</f>
        <v>129863</v>
      </c>
      <c r="E44" s="89">
        <f>C44/B44</f>
        <v>0.08116079570477694</v>
      </c>
      <c r="F44" s="89">
        <f>C44/D44</f>
        <v>0.8244842641861038</v>
      </c>
      <c r="G44" s="89">
        <v>0.7672044108637942</v>
      </c>
      <c r="H44" s="84"/>
      <c r="I44" s="89">
        <f>(B44-B43)/B43</f>
        <v>0.04764971637451746</v>
      </c>
      <c r="J44" s="89">
        <f>(C44-C43)/C43</f>
        <v>0.1147551224387806</v>
      </c>
      <c r="K44" s="89">
        <f>(E44*100-E43*100)/100/E43</f>
        <v>0.06405328519200799</v>
      </c>
    </row>
    <row r="45" ht="13.65" customHeight="1">
      <c r="A45" s="85">
        <f>'Data- Core Humanities over Time'!A51</f>
        <v>37408</v>
      </c>
      <c r="B45" s="86">
        <f>'Data- Core Humanities over Time'!D51</f>
        <v>1375026</v>
      </c>
      <c r="C45" s="87">
        <f>'Data- Core Humanities over Time'!H51</f>
        <v>111965</v>
      </c>
      <c r="D45" s="88">
        <f>'Data- Core Humanities over Time'!AA51</f>
        <v>136114</v>
      </c>
      <c r="E45" s="89">
        <f>C45/B45</f>
        <v>0.08142755118812299</v>
      </c>
      <c r="F45" s="89">
        <f>C45/D45</f>
        <v>0.82258254110525</v>
      </c>
      <c r="G45" s="89">
        <v>0.7547974413646056</v>
      </c>
      <c r="H45" s="84"/>
      <c r="I45" s="89">
        <f>(B45-B44)/B44</f>
        <v>0.042291998456679</v>
      </c>
      <c r="J45" s="89">
        <f>(C45-C44)/C44</f>
        <v>0.04571775473988979</v>
      </c>
      <c r="K45" s="89">
        <f>(E45*100-E44*100)/100/E44</f>
        <v>0.003286752933231188</v>
      </c>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AF66"/>
  <sheetViews>
    <sheetView workbookViewId="0" showGridLines="0" defaultGridColor="1"/>
  </sheetViews>
  <sheetFormatPr defaultColWidth="8.83333" defaultRowHeight="12" customHeight="1" outlineLevelRow="0" outlineLevelCol="0"/>
  <cols>
    <col min="1" max="1" width="9.17188" style="90" customWidth="1"/>
    <col min="2" max="2" width="9.17188" style="90" customWidth="1"/>
    <col min="3" max="3" width="8.85156" style="90" customWidth="1"/>
    <col min="4" max="4" width="8.85156" style="90" customWidth="1"/>
    <col min="5" max="5" width="9.17188" style="90" customWidth="1"/>
    <col min="6" max="6" width="8.85156" style="90" customWidth="1"/>
    <col min="7" max="7" width="9.67188" style="90" customWidth="1"/>
    <col min="8" max="8" width="9.67188" style="90" customWidth="1"/>
    <col min="9" max="9" width="8.85156" style="90" customWidth="1"/>
    <col min="10" max="10" width="7.17188" style="90" customWidth="1"/>
    <col min="11" max="11" width="7.85156" style="90" customWidth="1"/>
    <col min="12" max="12" width="5.85156" style="90" customWidth="1"/>
    <col min="13" max="13" width="5.85156" style="90" customWidth="1"/>
    <col min="14" max="14" width="5.85156" style="90" customWidth="1"/>
    <col min="15" max="15" width="5.85156" style="90" customWidth="1"/>
    <col min="16" max="16" width="7.17188" style="90" customWidth="1"/>
    <col min="17" max="17" width="7.5" style="90" customWidth="1"/>
    <col min="18" max="18" width="7.17188" style="90" customWidth="1"/>
    <col min="19" max="19" width="6.5" style="90" customWidth="1"/>
    <col min="20" max="20" width="5.85156" style="90" customWidth="1"/>
    <col min="21" max="21" width="8" style="90" customWidth="1"/>
    <col min="22" max="22" width="9.35156" style="90" customWidth="1"/>
    <col min="23" max="23" width="7" style="90" customWidth="1"/>
    <col min="24" max="24" width="6.5" style="90" customWidth="1"/>
    <col min="25" max="25" width="6.5" style="90" customWidth="1"/>
    <col min="26" max="26" width="6.5" style="90" customWidth="1"/>
    <col min="27" max="27" width="6.5" style="90" customWidth="1"/>
    <col min="28" max="28" width="6.5" style="90" customWidth="1"/>
    <col min="29" max="29" width="6.5" style="90" customWidth="1"/>
    <col min="30" max="30" width="6.5" style="90" customWidth="1"/>
    <col min="31" max="31" width="6.5" style="90" customWidth="1"/>
    <col min="32" max="32" width="6.5" style="90" customWidth="1"/>
    <col min="33" max="256" width="8.85156" style="90" customWidth="1"/>
  </cols>
  <sheetData>
    <row r="1" ht="13.65" customHeight="1">
      <c r="A1" s="84"/>
      <c r="B1" s="84"/>
      <c r="C1" s="84"/>
      <c r="D1" s="84"/>
      <c r="E1" s="84"/>
      <c r="F1" s="84"/>
      <c r="G1" s="84"/>
      <c r="H1" s="84"/>
      <c r="I1" s="84"/>
      <c r="J1" s="84"/>
      <c r="K1" s="84"/>
      <c r="L1" s="84"/>
      <c r="M1" s="84"/>
      <c r="N1" s="84"/>
      <c r="O1" s="84"/>
      <c r="P1" t="s" s="83">
        <v>44</v>
      </c>
      <c r="Q1" s="84"/>
      <c r="R1" s="84"/>
      <c r="S1" s="84"/>
      <c r="T1" s="84"/>
      <c r="U1" t="s" s="83">
        <v>45</v>
      </c>
      <c r="V1" s="84"/>
      <c r="W1" s="84"/>
      <c r="X1" s="84"/>
      <c r="Y1" s="84"/>
      <c r="Z1" t="s" s="83">
        <v>37</v>
      </c>
      <c r="AA1" s="84"/>
      <c r="AB1" s="84"/>
      <c r="AC1" s="89"/>
      <c r="AD1" s="84"/>
      <c r="AE1" t="s" s="83">
        <v>46</v>
      </c>
      <c r="AF1" s="84"/>
    </row>
    <row r="2" ht="13.65" customHeight="1">
      <c r="A2" t="s" s="83">
        <v>34</v>
      </c>
      <c r="B2" t="s" s="83">
        <v>47</v>
      </c>
      <c r="C2" t="s" s="83">
        <v>1</v>
      </c>
      <c r="D2" t="s" s="91">
        <v>35</v>
      </c>
      <c r="E2" s="92"/>
      <c r="F2" s="92"/>
      <c r="G2" t="s" s="83">
        <v>48</v>
      </c>
      <c r="H2" t="s" s="83">
        <v>49</v>
      </c>
      <c r="I2" t="s" s="83">
        <v>50</v>
      </c>
      <c r="J2" t="s" s="83">
        <v>51</v>
      </c>
      <c r="K2" t="s" s="83">
        <v>4</v>
      </c>
      <c r="L2" t="s" s="83">
        <v>11</v>
      </c>
      <c r="M2" t="s" s="83">
        <v>52</v>
      </c>
      <c r="N2" t="s" s="83">
        <v>9</v>
      </c>
      <c r="O2" s="84"/>
      <c r="P2" t="s" s="83">
        <v>4</v>
      </c>
      <c r="Q2" t="s" s="83">
        <v>11</v>
      </c>
      <c r="R2" t="s" s="83">
        <v>52</v>
      </c>
      <c r="S2" t="s" s="83">
        <v>9</v>
      </c>
      <c r="T2" s="84"/>
      <c r="U2" t="s" s="83">
        <v>4</v>
      </c>
      <c r="V2" t="s" s="83">
        <v>11</v>
      </c>
      <c r="W2" t="s" s="83">
        <v>52</v>
      </c>
      <c r="X2" t="s" s="83">
        <v>9</v>
      </c>
      <c r="Y2" s="84"/>
      <c r="Z2" t="s" s="83">
        <v>53</v>
      </c>
      <c r="AA2" t="s" s="83">
        <v>54</v>
      </c>
      <c r="AB2" t="s" s="83">
        <v>19</v>
      </c>
      <c r="AC2" s="89"/>
      <c r="AD2" s="84"/>
      <c r="AE2" s="89"/>
      <c r="AF2" s="84"/>
    </row>
    <row r="3" ht="13.65" customHeight="1">
      <c r="A3" s="85">
        <f>'BA'!A5</f>
        <v>17685</v>
      </c>
      <c r="B3" s="86">
        <v>1948</v>
      </c>
      <c r="C3" s="93">
        <f>'BA'!B5</f>
        <v>272144</v>
      </c>
      <c r="D3" s="94">
        <v>237937.324</v>
      </c>
      <c r="E3" s="95">
        <f>D3/C3</f>
        <v>0.8743067052736786</v>
      </c>
      <c r="F3" s="96"/>
      <c r="G3" s="97">
        <v>12004</v>
      </c>
      <c r="H3" s="98">
        <f>G3*1000/5</f>
        <v>2400800</v>
      </c>
      <c r="I3" s="87">
        <f>K3+L3+M3+N3</f>
        <v>27826</v>
      </c>
      <c r="J3" s="89">
        <f>I3/H3</f>
        <v>0.01159030323225591</v>
      </c>
      <c r="K3" s="87">
        <f>'BA'!M5</f>
        <v>12614</v>
      </c>
      <c r="L3" s="87">
        <f>'BA'!AH5</f>
        <v>9245</v>
      </c>
      <c r="M3" s="87">
        <f>'BA'!V5</f>
        <v>4241</v>
      </c>
      <c r="N3" s="87">
        <f>'BA'!AB5</f>
        <v>1726</v>
      </c>
      <c r="O3" s="87"/>
      <c r="P3" s="89">
        <f>K3/$D3</f>
        <v>0.05301396093704071</v>
      </c>
      <c r="Q3" s="89">
        <f>L3/$D3</f>
        <v>0.03885477000657535</v>
      </c>
      <c r="R3" s="89">
        <f>M3/$D3</f>
        <v>0.01782402158982001</v>
      </c>
      <c r="S3" s="89">
        <f>N3/$D3</f>
        <v>0.007254011144548302</v>
      </c>
      <c r="T3" s="87"/>
      <c r="U3" s="89">
        <f>K3/$I3</f>
        <v>0.453317041615755</v>
      </c>
      <c r="V3" s="89">
        <f>L3/$I3</f>
        <v>0.3322432257600805</v>
      </c>
      <c r="W3" s="89">
        <f>M3/$I3</f>
        <v>0.1524114137856681</v>
      </c>
      <c r="X3" s="89">
        <f>N3/$I3</f>
        <v>0.06202831883849637</v>
      </c>
      <c r="Y3" s="84"/>
      <c r="Z3" s="84"/>
      <c r="AA3" s="84"/>
      <c r="AB3" s="84"/>
      <c r="AC3" s="89"/>
      <c r="AD3" s="84"/>
      <c r="AE3" s="84"/>
      <c r="AF3" s="84"/>
    </row>
    <row r="4" ht="13.65" customHeight="1">
      <c r="A4" s="85">
        <f>'BA'!A6</f>
        <v>18050</v>
      </c>
      <c r="B4" s="86">
        <v>1949</v>
      </c>
      <c r="C4" s="93">
        <f>'BA'!B6</f>
        <v>366634</v>
      </c>
      <c r="D4" s="94">
        <v>331685.296</v>
      </c>
      <c r="E4" s="95">
        <f>D4/C4</f>
        <v>0.9046768603020997</v>
      </c>
      <c r="F4" s="96"/>
      <c r="G4" s="97">
        <v>11814</v>
      </c>
      <c r="H4" s="98">
        <f>G4*1000/5</f>
        <v>2362800</v>
      </c>
      <c r="I4" s="87">
        <f>K4+L4+M4+N4</f>
        <v>32244</v>
      </c>
      <c r="J4" s="89">
        <f>I4/H4</f>
        <v>0.01364652107668867</v>
      </c>
      <c r="K4" s="87">
        <f>'BA'!M6</f>
        <v>14926</v>
      </c>
      <c r="L4" s="87">
        <f>'BA'!AH6</f>
        <v>10491</v>
      </c>
      <c r="M4" s="87">
        <f>'BA'!V6</f>
        <v>4681</v>
      </c>
      <c r="N4" s="87">
        <f>'BA'!AB6</f>
        <v>2146</v>
      </c>
      <c r="O4" s="87"/>
      <c r="P4" s="89">
        <f>K4/$D4</f>
        <v>0.04500048745000743</v>
      </c>
      <c r="Q4" s="89">
        <f>L4/$D4</f>
        <v>0.03162937919322176</v>
      </c>
      <c r="R4" s="89">
        <f>M4/$D4</f>
        <v>0.01411277514092756</v>
      </c>
      <c r="S4" s="89">
        <f>N4/$D4</f>
        <v>0.006469988347026393</v>
      </c>
      <c r="T4" s="87"/>
      <c r="U4" s="89">
        <f>K4/$I4</f>
        <v>0.4629078278129264</v>
      </c>
      <c r="V4" s="89">
        <f>L4/$I4</f>
        <v>0.3253628582061779</v>
      </c>
      <c r="W4" s="89">
        <f>M4/$I4</f>
        <v>0.145174295993053</v>
      </c>
      <c r="X4" s="89">
        <f>N4/$I4</f>
        <v>0.0665550179878427</v>
      </c>
      <c r="Y4" s="84"/>
      <c r="Z4" s="84"/>
      <c r="AA4" s="84"/>
      <c r="AB4" s="84"/>
      <c r="AC4" s="89"/>
      <c r="AD4" s="84"/>
      <c r="AE4" s="84"/>
      <c r="AF4" s="84"/>
    </row>
    <row r="5" ht="13.65" customHeight="1">
      <c r="A5" s="85">
        <f>'BA'!A7</f>
        <v>18415</v>
      </c>
      <c r="B5" s="86">
        <v>1950</v>
      </c>
      <c r="C5" s="93">
        <f>'BA'!B7</f>
        <v>433734</v>
      </c>
      <c r="D5" s="94">
        <v>396666.452</v>
      </c>
      <c r="E5" s="95">
        <f>D5/C5</f>
        <v>0.9145385236112455</v>
      </c>
      <c r="F5" s="96"/>
      <c r="G5" s="97">
        <v>11794</v>
      </c>
      <c r="H5" s="98">
        <f>G5*1000/5</f>
        <v>2358800</v>
      </c>
      <c r="I5" s="87">
        <f>K5+L5+M5+N5</f>
        <v>38808</v>
      </c>
      <c r="J5" s="89">
        <f>I5/H5</f>
        <v>0.01645243344073257</v>
      </c>
      <c r="K5" s="87">
        <f>'BA'!M7</f>
        <v>17246</v>
      </c>
      <c r="L5" s="87">
        <f>'BA'!AH7</f>
        <v>13567</v>
      </c>
      <c r="M5" s="87">
        <f>'BA'!V7</f>
        <v>5160</v>
      </c>
      <c r="N5" s="87">
        <f>'BA'!AB7</f>
        <v>2835</v>
      </c>
      <c r="O5" s="87"/>
      <c r="P5" s="89">
        <f>K5/$D5</f>
        <v>0.04347733445328016</v>
      </c>
      <c r="Q5" s="89">
        <f>L5/$D5</f>
        <v>0.03420253951801298</v>
      </c>
      <c r="R5" s="89">
        <f>M5/$D5</f>
        <v>0.01300841040119017</v>
      </c>
      <c r="S5" s="89">
        <f>N5/$D5</f>
        <v>0.007147062691351574</v>
      </c>
      <c r="T5" s="87"/>
      <c r="U5" s="89">
        <f>K5/$I5</f>
        <v>0.444392908678623</v>
      </c>
      <c r="V5" s="89">
        <f>L5/$I5</f>
        <v>0.3495928674500103</v>
      </c>
      <c r="W5" s="89">
        <f>M5/$I5</f>
        <v>0.1329622758194187</v>
      </c>
      <c r="X5" s="89">
        <f>N5/$I5</f>
        <v>0.07305194805194805</v>
      </c>
      <c r="Y5" s="84"/>
      <c r="Z5" s="84"/>
      <c r="AA5" s="84"/>
      <c r="AB5" s="84"/>
      <c r="AC5" s="89"/>
      <c r="AD5" s="84"/>
      <c r="AE5" s="84"/>
      <c r="AF5" s="84"/>
    </row>
    <row r="6" ht="13.65" customHeight="1">
      <c r="A6" s="85">
        <f>'BA'!A8</f>
        <v>18780</v>
      </c>
      <c r="B6" s="86">
        <v>1951</v>
      </c>
      <c r="C6" s="93">
        <f>'BA'!B8</f>
        <v>384352</v>
      </c>
      <c r="D6" s="94">
        <v>346652.016</v>
      </c>
      <c r="E6" s="95">
        <f>D6/C6</f>
        <v>0.9019128715344268</v>
      </c>
      <c r="F6" s="96"/>
      <c r="G6" s="97">
        <v>11700</v>
      </c>
      <c r="H6" s="98">
        <f>G6*1000/5</f>
        <v>2340000</v>
      </c>
      <c r="I6" s="87">
        <f>K6+L6+M6+N6</f>
        <v>35416</v>
      </c>
      <c r="J6" s="89">
        <f>I6/H6</f>
        <v>0.01513504273504273</v>
      </c>
      <c r="K6" s="87">
        <f>'BA'!M8</f>
        <v>15505</v>
      </c>
      <c r="L6" s="87">
        <f>'BA'!AH8</f>
        <v>12321</v>
      </c>
      <c r="M6" s="87">
        <f>'BA'!V8</f>
        <v>4936</v>
      </c>
      <c r="N6" s="87">
        <f>'BA'!AB8</f>
        <v>2654</v>
      </c>
      <c r="O6" s="87"/>
      <c r="P6" s="89">
        <f>K6/$D6</f>
        <v>0.04472785180629095</v>
      </c>
      <c r="Q6" s="89">
        <f>L6/$D6</f>
        <v>0.03554284824929448</v>
      </c>
      <c r="R6" s="89">
        <f>M6/$D6</f>
        <v>0.01423906330318298</v>
      </c>
      <c r="S6" s="89">
        <f>N6/$D6</f>
        <v>0.0076560927890291</v>
      </c>
      <c r="T6" s="87"/>
      <c r="U6" s="89">
        <f>K6/$I6</f>
        <v>0.4377964761689632</v>
      </c>
      <c r="V6" s="89">
        <f>L6/$I6</f>
        <v>0.3478936074090807</v>
      </c>
      <c r="W6" s="89">
        <f>M6/$I6</f>
        <v>0.1393720352383104</v>
      </c>
      <c r="X6" s="89">
        <f>N6/$I6</f>
        <v>0.0749378811836458</v>
      </c>
      <c r="Y6" s="84"/>
      <c r="Z6" s="84"/>
      <c r="AA6" s="84"/>
      <c r="AB6" s="84"/>
      <c r="AC6" s="89"/>
      <c r="AD6" s="84"/>
      <c r="AE6" s="84"/>
      <c r="AF6" s="84"/>
    </row>
    <row r="7" ht="13.65" customHeight="1">
      <c r="A7" s="85">
        <f>'BA'!A9</f>
        <v>19146</v>
      </c>
      <c r="B7" s="86">
        <v>1952</v>
      </c>
      <c r="C7" s="93">
        <f>'BA'!B9</f>
        <v>331924</v>
      </c>
      <c r="D7" s="94">
        <v>295693.26</v>
      </c>
      <c r="E7" s="95">
        <f>D7/C7</f>
        <v>0.8908462780636531</v>
      </c>
      <c r="F7" s="96"/>
      <c r="G7" s="97">
        <v>11680</v>
      </c>
      <c r="H7" s="98">
        <f>G7*1000/5</f>
        <v>2336000</v>
      </c>
      <c r="I7" s="87">
        <f>K7+L7+M7+N7</f>
        <v>31142</v>
      </c>
      <c r="J7" s="89">
        <f>I7/H7</f>
        <v>0.01333133561643836</v>
      </c>
      <c r="K7" s="87">
        <f>'BA'!M9</f>
        <v>14087</v>
      </c>
      <c r="L7" s="87">
        <f>'BA'!AH9</f>
        <v>10216</v>
      </c>
      <c r="M7" s="87">
        <f>'BA'!V9</f>
        <v>4418</v>
      </c>
      <c r="N7" s="87">
        <f>'BA'!AB9</f>
        <v>2421</v>
      </c>
      <c r="O7" s="87"/>
      <c r="P7" s="89">
        <f>K7/$D7</f>
        <v>0.04764058538229786</v>
      </c>
      <c r="Q7" s="89">
        <f>L7/$D7</f>
        <v>0.03454931640984985</v>
      </c>
      <c r="R7" s="89">
        <f>M7/$D7</f>
        <v>0.01494115895641314</v>
      </c>
      <c r="S7" s="89">
        <f>N7/$D7</f>
        <v>0.008187538667604395</v>
      </c>
      <c r="T7" s="87"/>
      <c r="U7" s="89">
        <f>K7/$I7</f>
        <v>0.452347312311348</v>
      </c>
      <c r="V7" s="89">
        <f>L7/$I7</f>
        <v>0.3280457260291568</v>
      </c>
      <c r="W7" s="89">
        <f>M7/$I7</f>
        <v>0.1418662898978871</v>
      </c>
      <c r="X7" s="89">
        <f>N7/$I7</f>
        <v>0.07774067176160812</v>
      </c>
      <c r="Y7" s="84"/>
      <c r="Z7" s="84"/>
      <c r="AA7" s="84"/>
      <c r="AB7" s="84"/>
      <c r="AC7" s="89"/>
      <c r="AD7" s="84"/>
      <c r="AE7" s="84"/>
      <c r="AF7" s="84"/>
    </row>
    <row r="8" ht="13.65" customHeight="1">
      <c r="A8" s="85">
        <f>'BA'!A10</f>
        <v>19511</v>
      </c>
      <c r="B8" s="86">
        <v>1953</v>
      </c>
      <c r="C8" s="93">
        <f>'BA'!B10</f>
        <v>304857</v>
      </c>
      <c r="D8" s="94">
        <v>269540.432</v>
      </c>
      <c r="E8" s="95">
        <f>D8/C8</f>
        <v>0.8841536589286125</v>
      </c>
      <c r="F8" s="96"/>
      <c r="G8" s="97">
        <v>11552</v>
      </c>
      <c r="H8" s="98">
        <f>G8*1000/5</f>
        <v>2310400</v>
      </c>
      <c r="I8" s="87">
        <f>K8+L8+M8+N8</f>
        <v>28871</v>
      </c>
      <c r="J8" s="89">
        <f>I8/H8</f>
        <v>0.01249610457063712</v>
      </c>
      <c r="K8" s="87">
        <f>'BA'!M10</f>
        <v>12667</v>
      </c>
      <c r="L8" s="87">
        <f>'BA'!AH10</f>
        <v>9576</v>
      </c>
      <c r="M8" s="87">
        <f>'BA'!V10</f>
        <v>4068</v>
      </c>
      <c r="N8" s="87">
        <f>'BA'!AB10</f>
        <v>2560</v>
      </c>
      <c r="O8" s="87"/>
      <c r="P8" s="89">
        <f>K8/$D8</f>
        <v>0.04699480484619836</v>
      </c>
      <c r="Q8" s="89">
        <f>L8/$D8</f>
        <v>0.03552713753905388</v>
      </c>
      <c r="R8" s="89">
        <f>M8/$D8</f>
        <v>0.0150923554207259</v>
      </c>
      <c r="S8" s="89">
        <f>N8/$D8</f>
        <v>0.00949764746240371</v>
      </c>
      <c r="T8" s="87"/>
      <c r="U8" s="89">
        <f>K8/$I8</f>
        <v>0.4387447611790378</v>
      </c>
      <c r="V8" s="89">
        <f>L8/$I8</f>
        <v>0.331682310969485</v>
      </c>
      <c r="W8" s="89">
        <f>M8/$I8</f>
        <v>0.1409026358629767</v>
      </c>
      <c r="X8" s="89">
        <f>N8/$I8</f>
        <v>0.08867029198850057</v>
      </c>
      <c r="Y8" s="84"/>
      <c r="Z8" s="84"/>
      <c r="AA8" s="84"/>
      <c r="AB8" s="84"/>
      <c r="AC8" s="89"/>
      <c r="AD8" s="84"/>
      <c r="AE8" s="84"/>
      <c r="AF8" s="84"/>
    </row>
    <row r="9" ht="13.65" customHeight="1">
      <c r="A9" s="85">
        <f>'BA'!A11</f>
        <v>19876</v>
      </c>
      <c r="B9" s="86">
        <v>1954</v>
      </c>
      <c r="C9" s="93">
        <f>'BA'!B11</f>
        <v>292880</v>
      </c>
      <c r="D9" s="94">
        <v>257800.074</v>
      </c>
      <c r="E9" s="95">
        <f>D9/C9</f>
        <v>0.8802242351816443</v>
      </c>
      <c r="F9" s="96"/>
      <c r="G9" s="97">
        <v>11350</v>
      </c>
      <c r="H9" s="98">
        <f>G9*1000/5</f>
        <v>2270000</v>
      </c>
      <c r="I9" s="87">
        <f>K9+L9+M9+N9</f>
        <v>27589</v>
      </c>
      <c r="J9" s="89">
        <f>I9/H9</f>
        <v>0.01215374449339207</v>
      </c>
      <c r="K9" s="87">
        <f>'BA'!M11</f>
        <v>12566</v>
      </c>
      <c r="L9" s="87">
        <f>'BA'!AH11</f>
        <v>9385</v>
      </c>
      <c r="M9" s="87">
        <f>'BA'!V11</f>
        <v>3793</v>
      </c>
      <c r="N9" s="87">
        <f>'BA'!AB11</f>
        <v>1845</v>
      </c>
      <c r="O9" s="87"/>
      <c r="P9" s="89">
        <f>K9/$D9</f>
        <v>0.04874319780063369</v>
      </c>
      <c r="Q9" s="89">
        <f>L9/$D9</f>
        <v>0.03640417884441725</v>
      </c>
      <c r="R9" s="89">
        <f>M9/$D9</f>
        <v>0.01471295155640646</v>
      </c>
      <c r="S9" s="89">
        <f>N9/$D9</f>
        <v>0.007156708574102272</v>
      </c>
      <c r="T9" s="87"/>
      <c r="U9" s="89">
        <f>K9/$I9</f>
        <v>0.4554713835224183</v>
      </c>
      <c r="V9" s="89">
        <f>L9/$I9</f>
        <v>0.3401718076044801</v>
      </c>
      <c r="W9" s="89">
        <f>M9/$I9</f>
        <v>0.1374823299140962</v>
      </c>
      <c r="X9" s="89">
        <f>N9/$I9</f>
        <v>0.0668744789590054</v>
      </c>
      <c r="Y9" s="84"/>
      <c r="Z9" s="84"/>
      <c r="AA9" s="84"/>
      <c r="AB9" s="84"/>
      <c r="AC9" s="89"/>
      <c r="AD9" s="84"/>
      <c r="AE9" s="84"/>
      <c r="AF9" s="84"/>
    </row>
    <row r="10" ht="13.65" customHeight="1">
      <c r="A10" s="85">
        <f>'BA'!A12</f>
        <v>20241</v>
      </c>
      <c r="B10" s="86">
        <v>1955</v>
      </c>
      <c r="C10" s="93">
        <f>'BA'!B12</f>
        <v>287401</v>
      </c>
      <c r="D10" s="94">
        <v>253689.7</v>
      </c>
      <c r="E10" s="95">
        <f>D10/C10</f>
        <v>0.8827029133510322</v>
      </c>
      <c r="F10" s="96"/>
      <c r="G10" s="97">
        <v>11062</v>
      </c>
      <c r="H10" s="98">
        <f>G10*1000/5</f>
        <v>2212400</v>
      </c>
      <c r="I10" s="87">
        <f>K10+L10+M10+N10</f>
        <v>27961</v>
      </c>
      <c r="J10" s="89">
        <f>I10/H10</f>
        <v>0.01263831133610559</v>
      </c>
      <c r="K10" s="87">
        <f>'BA'!M12</f>
        <v>13099</v>
      </c>
      <c r="L10" s="87">
        <f>'BA'!AH12</f>
        <v>9540</v>
      </c>
      <c r="M10" s="87">
        <f>'BA'!V12</f>
        <v>3548</v>
      </c>
      <c r="N10" s="87">
        <f>'BA'!AB12</f>
        <v>1774</v>
      </c>
      <c r="O10" s="87"/>
      <c r="P10" s="89">
        <f>K10/$D10</f>
        <v>0.05163394493351523</v>
      </c>
      <c r="Q10" s="89">
        <f>L10/$D10</f>
        <v>0.03760499539397934</v>
      </c>
      <c r="R10" s="89">
        <f>M10/$D10</f>
        <v>0.01398558948195374</v>
      </c>
      <c r="S10" s="89">
        <f>N10/$D10</f>
        <v>0.00699279474097687</v>
      </c>
      <c r="T10" s="87"/>
      <c r="U10" s="89">
        <f>K10/$I10</f>
        <v>0.4684739458531526</v>
      </c>
      <c r="V10" s="89">
        <f>L10/$I10</f>
        <v>0.341189513965881</v>
      </c>
      <c r="W10" s="89">
        <f>M10/$I10</f>
        <v>0.1268910267873109</v>
      </c>
      <c r="X10" s="89">
        <f>N10/$I10</f>
        <v>0.06344551339365545</v>
      </c>
      <c r="Y10" s="84"/>
      <c r="Z10" s="84"/>
      <c r="AA10" s="84"/>
      <c r="AB10" s="84"/>
      <c r="AC10" s="89"/>
      <c r="AD10" s="84"/>
      <c r="AE10" s="84"/>
      <c r="AF10" s="84"/>
    </row>
    <row r="11" ht="13.65" customHeight="1">
      <c r="A11" s="85">
        <f>'BA'!A13</f>
        <v>20607</v>
      </c>
      <c r="B11" s="86">
        <v>1956</v>
      </c>
      <c r="C11" s="93">
        <f>'BA'!B13</f>
        <v>311298</v>
      </c>
      <c r="D11" s="94">
        <v>278102.6</v>
      </c>
      <c r="E11" s="95">
        <f>D11/C11</f>
        <v>0.893364557433713</v>
      </c>
      <c r="F11" s="96"/>
      <c r="G11" s="97">
        <v>10832</v>
      </c>
      <c r="H11" s="98">
        <f>G11*1000/5</f>
        <v>2166400</v>
      </c>
      <c r="I11" s="87">
        <f>K11+L11+M11+N11</f>
        <v>31593</v>
      </c>
      <c r="J11" s="89">
        <f>I11/H11</f>
        <v>0.01458317946824225</v>
      </c>
      <c r="K11" s="87">
        <f>'BA'!M13</f>
        <v>14406</v>
      </c>
      <c r="L11" s="87">
        <f>'BA'!AH13</f>
        <v>10540</v>
      </c>
      <c r="M11" s="87">
        <f>'BA'!V13</f>
        <v>3979</v>
      </c>
      <c r="N11" s="87">
        <f>'BA'!AB13</f>
        <v>2668</v>
      </c>
      <c r="O11" s="87"/>
      <c r="P11" s="89">
        <f>K11/$D11</f>
        <v>0.05180102595229243</v>
      </c>
      <c r="Q11" s="89">
        <f>L11/$D11</f>
        <v>0.03789968162829115</v>
      </c>
      <c r="R11" s="89">
        <f>M11/$D11</f>
        <v>0.01430766918396304</v>
      </c>
      <c r="S11" s="89">
        <f>N11/$D11</f>
        <v>0.009593581649362502</v>
      </c>
      <c r="T11" s="87"/>
      <c r="U11" s="89">
        <f>K11/$I11</f>
        <v>0.4559870857468427</v>
      </c>
      <c r="V11" s="89">
        <f>L11/$I11</f>
        <v>0.3336182065647453</v>
      </c>
      <c r="W11" s="89">
        <f>M11/$I11</f>
        <v>0.1259456208653816</v>
      </c>
      <c r="X11" s="89">
        <f>N11/$I11</f>
        <v>0.08444908682303041</v>
      </c>
      <c r="Y11" s="84"/>
      <c r="Z11" s="84"/>
      <c r="AA11" s="84"/>
      <c r="AB11" s="84"/>
      <c r="AC11" s="89"/>
      <c r="AD11" s="84"/>
      <c r="AE11" s="84"/>
      <c r="AF11" s="84"/>
    </row>
    <row r="12" ht="13.65" customHeight="1">
      <c r="A12" s="85">
        <f>'BA'!A14</f>
        <v>20972</v>
      </c>
      <c r="B12" s="86">
        <v>1957</v>
      </c>
      <c r="C12" s="93">
        <f>'BA'!B14</f>
        <v>340347</v>
      </c>
      <c r="D12" s="94">
        <v>306232.598</v>
      </c>
      <c r="E12" s="95">
        <f>D12/C12</f>
        <v>0.8997658213529134</v>
      </c>
      <c r="F12" s="96"/>
      <c r="G12" s="97">
        <v>10714</v>
      </c>
      <c r="H12" s="98">
        <f>G12*1000/5</f>
        <v>2142800</v>
      </c>
      <c r="I12" s="87">
        <f>K12+L12+M12+N12</f>
        <v>34273</v>
      </c>
      <c r="J12" s="89">
        <f>I12/H12</f>
        <v>0.01599449318648497</v>
      </c>
      <c r="K12" s="87">
        <f>'BA'!M14</f>
        <v>15426</v>
      </c>
      <c r="L12" s="87">
        <f>'BA'!AH14</f>
        <v>11692</v>
      </c>
      <c r="M12" s="87">
        <f>'BA'!V14</f>
        <v>4322</v>
      </c>
      <c r="N12" s="87">
        <f>'BA'!AB14</f>
        <v>2833</v>
      </c>
      <c r="O12" s="87"/>
      <c r="P12" s="89">
        <f>K12/$D12</f>
        <v>0.05037347460964949</v>
      </c>
      <c r="Q12" s="89">
        <f>L12/$D12</f>
        <v>0.03818012868767159</v>
      </c>
      <c r="R12" s="89">
        <f>M12/$D12</f>
        <v>0.01411345502806334</v>
      </c>
      <c r="S12" s="89">
        <f>N12/$D12</f>
        <v>0.009251137920986452</v>
      </c>
      <c r="T12" s="87"/>
      <c r="U12" s="89">
        <f>K12/$I12</f>
        <v>0.4500919090829516</v>
      </c>
      <c r="V12" s="89">
        <f>L12/$I12</f>
        <v>0.3411431739269979</v>
      </c>
      <c r="W12" s="89">
        <f>M12/$I12</f>
        <v>0.126105097306918</v>
      </c>
      <c r="X12" s="89">
        <f>N12/$I12</f>
        <v>0.08265981968313249</v>
      </c>
      <c r="Y12" s="84"/>
      <c r="Z12" s="84"/>
      <c r="AA12" s="84"/>
      <c r="AB12" s="84"/>
      <c r="AC12" s="89"/>
      <c r="AD12" s="84"/>
      <c r="AE12" s="84"/>
      <c r="AF12" s="84"/>
    </row>
    <row r="13" ht="13.65" customHeight="1">
      <c r="A13" s="85">
        <f>'BA'!A15</f>
        <v>21337</v>
      </c>
      <c r="B13" s="86">
        <v>1958</v>
      </c>
      <c r="C13" s="93">
        <f>'BA'!B15</f>
        <v>365748</v>
      </c>
      <c r="D13" s="94">
        <v>330133.932</v>
      </c>
      <c r="E13" s="95">
        <f>D13/C13</f>
        <v>0.9026267594081171</v>
      </c>
      <c r="F13" s="96"/>
      <c r="G13" s="97">
        <v>10616</v>
      </c>
      <c r="H13" s="98">
        <f>G13*1000/5</f>
        <v>2123200</v>
      </c>
      <c r="I13" s="87">
        <f>K13+L13+M13+N13</f>
        <v>37036</v>
      </c>
      <c r="J13" s="89">
        <f>I13/H13</f>
        <v>0.01744348153730219</v>
      </c>
      <c r="K13" s="87">
        <f>'BA'!M15</f>
        <v>16669</v>
      </c>
      <c r="L13" s="87">
        <f>'BA'!AH15</f>
        <v>12883</v>
      </c>
      <c r="M13" s="87">
        <f>'BA'!V15</f>
        <v>4503</v>
      </c>
      <c r="N13" s="87">
        <f>'BA'!AB15</f>
        <v>2981</v>
      </c>
      <c r="O13" s="87"/>
      <c r="P13" s="89">
        <f>K13/$D13</f>
        <v>0.05049162895500241</v>
      </c>
      <c r="Q13" s="89">
        <f>L13/$D13</f>
        <v>0.03902355605179052</v>
      </c>
      <c r="R13" s="89">
        <f>M13/$D13</f>
        <v>0.01363991872244141</v>
      </c>
      <c r="S13" s="89">
        <f>N13/$D13</f>
        <v>0.009029668601287552</v>
      </c>
      <c r="T13" s="87"/>
      <c r="U13" s="89">
        <f>K13/$I13</f>
        <v>0.4500756021168593</v>
      </c>
      <c r="V13" s="89">
        <f>L13/$I13</f>
        <v>0.347850739820715</v>
      </c>
      <c r="W13" s="89">
        <f>M13/$I13</f>
        <v>0.1215844043633222</v>
      </c>
      <c r="X13" s="89">
        <f>N13/$I13</f>
        <v>0.08048925369910358</v>
      </c>
      <c r="Y13" s="84"/>
      <c r="Z13" s="84"/>
      <c r="AA13" s="84"/>
      <c r="AB13" s="84"/>
      <c r="AC13" s="89"/>
      <c r="AD13" s="84"/>
      <c r="AE13" s="84"/>
      <c r="AF13" s="84"/>
    </row>
    <row r="14" ht="13.65" customHeight="1">
      <c r="A14" s="85">
        <f>'BA'!A16</f>
        <v>21702</v>
      </c>
      <c r="B14" s="86">
        <v>1959</v>
      </c>
      <c r="C14" s="93">
        <f>'BA'!B16</f>
        <v>385151</v>
      </c>
      <c r="D14" s="94">
        <v>346383.262</v>
      </c>
      <c r="E14" s="95">
        <f>D14/C14</f>
        <v>0.8993440546694673</v>
      </c>
      <c r="F14" s="96"/>
      <c r="G14" s="97">
        <v>10603</v>
      </c>
      <c r="H14" s="98">
        <f>G14*1000/5</f>
        <v>2120600</v>
      </c>
      <c r="I14" s="87">
        <f>K14+L14+M14+N14</f>
        <v>39955</v>
      </c>
      <c r="J14" s="89">
        <f>I14/H14</f>
        <v>0.01884136565123078</v>
      </c>
      <c r="K14" s="87">
        <f>'BA'!M16</f>
        <v>18292</v>
      </c>
      <c r="L14" s="87">
        <f>'BA'!AH16</f>
        <v>13742</v>
      </c>
      <c r="M14" s="87">
        <f>'BA'!V16</f>
        <v>4767</v>
      </c>
      <c r="N14" s="87">
        <f>'BA'!AB16</f>
        <v>3154</v>
      </c>
      <c r="O14" s="87"/>
      <c r="P14" s="89">
        <f>K14/$D14</f>
        <v>0.0528085563210615</v>
      </c>
      <c r="Q14" s="89">
        <f>L14/$D14</f>
        <v>0.03967281767789346</v>
      </c>
      <c r="R14" s="89">
        <f>M14/$D14</f>
        <v>0.01376221233230375</v>
      </c>
      <c r="S14" s="89">
        <f>N14/$D14</f>
        <v>0.009105520808912528</v>
      </c>
      <c r="T14" s="87"/>
      <c r="U14" s="89">
        <f>K14/$I14</f>
        <v>0.4578150419221624</v>
      </c>
      <c r="V14" s="89">
        <f>L14/$I14</f>
        <v>0.3439369290451758</v>
      </c>
      <c r="W14" s="89">
        <f>M14/$I14</f>
        <v>0.1193092228757352</v>
      </c>
      <c r="X14" s="89">
        <f>N14/$I14</f>
        <v>0.07893880615692654</v>
      </c>
      <c r="Y14" s="84"/>
      <c r="Z14" s="84"/>
      <c r="AA14" s="84"/>
      <c r="AB14" s="84"/>
      <c r="AC14" s="89"/>
      <c r="AD14" s="84"/>
      <c r="AE14" s="84"/>
      <c r="AF14" s="84"/>
    </row>
    <row r="15" ht="13.65" customHeight="1">
      <c r="A15" s="85">
        <f>'BA'!A17</f>
        <v>22068</v>
      </c>
      <c r="B15" s="86">
        <v>1960</v>
      </c>
      <c r="C15" s="93">
        <f>'BA'!B17</f>
        <v>394889</v>
      </c>
      <c r="D15" s="94">
        <v>357976.082</v>
      </c>
      <c r="E15" s="95">
        <f>D15/C15</f>
        <v>0.9065233065494354</v>
      </c>
      <c r="F15" s="96"/>
      <c r="G15" s="97">
        <v>10756</v>
      </c>
      <c r="H15" s="98">
        <f>G15*1000/5</f>
        <v>2151200</v>
      </c>
      <c r="I15" s="87">
        <f>K15+L15+M15+N15</f>
        <v>43931</v>
      </c>
      <c r="J15" s="89">
        <f>I15/H15</f>
        <v>0.02042162513945705</v>
      </c>
      <c r="K15" s="87">
        <f>'BA'!M17</f>
        <v>20184</v>
      </c>
      <c r="L15" s="87">
        <f>'BA'!AH17</f>
        <v>14783</v>
      </c>
      <c r="M15" s="87">
        <f>'BA'!V17</f>
        <v>5498</v>
      </c>
      <c r="N15" s="87">
        <f>'BA'!AB17</f>
        <v>3466</v>
      </c>
      <c r="O15" s="87"/>
      <c r="P15" s="89">
        <f>K15/$D15</f>
        <v>0.05638365526331449</v>
      </c>
      <c r="Q15" s="89">
        <f>L15/$D15</f>
        <v>0.04129605508113249</v>
      </c>
      <c r="R15" s="89">
        <f>M15/$D15</f>
        <v>0.01535856800622786</v>
      </c>
      <c r="S15" s="89">
        <f>N15/$D15</f>
        <v>0.009682211114875546</v>
      </c>
      <c r="T15" s="87"/>
      <c r="U15" s="89">
        <f>K15/$I15</f>
        <v>0.4594477703671667</v>
      </c>
      <c r="V15" s="89">
        <f>L15/$I15</f>
        <v>0.3365049737087706</v>
      </c>
      <c r="W15" s="89">
        <f>M15/$I15</f>
        <v>0.1251508046709613</v>
      </c>
      <c r="X15" s="89">
        <f>N15/$I15</f>
        <v>0.07889645125310145</v>
      </c>
      <c r="Y15" s="84"/>
      <c r="Z15" s="84"/>
      <c r="AA15" s="84"/>
      <c r="AB15" s="84"/>
      <c r="AC15" s="89"/>
      <c r="AD15" s="84"/>
      <c r="AE15" s="84"/>
      <c r="AF15" s="84"/>
    </row>
    <row r="16" ht="13.65" customHeight="1">
      <c r="A16" s="85">
        <f>'BA'!A18</f>
        <v>22433</v>
      </c>
      <c r="B16" s="86">
        <v>1961</v>
      </c>
      <c r="C16" s="87">
        <f>'BA'!B18</f>
        <v>365337</v>
      </c>
      <c r="D16" s="99">
        <v>365337</v>
      </c>
      <c r="E16" s="100"/>
      <c r="F16" s="101"/>
      <c r="G16" s="97">
        <v>10969</v>
      </c>
      <c r="H16" s="98">
        <f>G16*1000/5</f>
        <v>2193800</v>
      </c>
      <c r="I16" s="87">
        <f>K16+L16+M16+N16</f>
        <v>47826</v>
      </c>
      <c r="J16" s="89">
        <f>I16/H16</f>
        <v>0.0218005287628772</v>
      </c>
      <c r="K16" s="87">
        <f>'BA'!M18</f>
        <v>21888</v>
      </c>
      <c r="L16" s="87">
        <f>'BA'!AH18</f>
        <v>15768</v>
      </c>
      <c r="M16" s="87">
        <f>'BA'!V18</f>
        <v>6524</v>
      </c>
      <c r="N16" s="87">
        <f>'BA'!AB18</f>
        <v>3646</v>
      </c>
      <c r="O16" s="87"/>
      <c r="P16" s="89">
        <f>K16/$D16</f>
        <v>0.05991180745448723</v>
      </c>
      <c r="Q16" s="89">
        <f>L16/$D16</f>
        <v>0.04316015076491021</v>
      </c>
      <c r="R16" s="89">
        <f>M16/$D16</f>
        <v>0.01785748500699354</v>
      </c>
      <c r="S16" s="89">
        <f>N16/$D16</f>
        <v>0.009979826844803565</v>
      </c>
      <c r="T16" s="87"/>
      <c r="U16" s="89">
        <f>K16/$I16</f>
        <v>0.4576590139254799</v>
      </c>
      <c r="V16" s="89">
        <f>L16/$I16</f>
        <v>0.3296951449002635</v>
      </c>
      <c r="W16" s="89">
        <f>M16/$I16</f>
        <v>0.1364111571111948</v>
      </c>
      <c r="X16" s="89">
        <f>N16/$I16</f>
        <v>0.07623468406306193</v>
      </c>
      <c r="Y16" s="84"/>
      <c r="Z16" s="84"/>
      <c r="AA16" s="84"/>
      <c r="AB16" s="84"/>
      <c r="AC16" s="89"/>
      <c r="AD16" s="84"/>
      <c r="AE16" s="84"/>
      <c r="AF16" s="84"/>
    </row>
    <row r="17" ht="13.65" customHeight="1">
      <c r="A17" s="85">
        <f>'BA'!A19</f>
        <v>22798</v>
      </c>
      <c r="B17" s="86">
        <v>1962</v>
      </c>
      <c r="C17" s="87">
        <f>'BA'!B19</f>
        <v>382822</v>
      </c>
      <c r="D17" s="87">
        <v>382822</v>
      </c>
      <c r="E17" s="102"/>
      <c r="F17" s="103"/>
      <c r="G17" s="97">
        <v>11134</v>
      </c>
      <c r="H17" s="98">
        <f>G17*1000/5</f>
        <v>2226800</v>
      </c>
      <c r="I17" s="87">
        <f>K17+L17+M17+N17</f>
        <v>53574</v>
      </c>
      <c r="J17" s="89">
        <f>I17/H17</f>
        <v>0.02405873899766481</v>
      </c>
      <c r="K17" s="87">
        <f>'BA'!M19</f>
        <v>24412</v>
      </c>
      <c r="L17" s="87">
        <f>'BA'!AH19</f>
        <v>17405</v>
      </c>
      <c r="M17" s="87">
        <f>'BA'!V19</f>
        <v>8032</v>
      </c>
      <c r="N17" s="87">
        <f>'BA'!AB19</f>
        <v>3725</v>
      </c>
      <c r="O17" s="87"/>
      <c r="P17" s="89">
        <f>K17/$D17</f>
        <v>0.06376853994806986</v>
      </c>
      <c r="Q17" s="89">
        <f>L17/$D17</f>
        <v>0.04546499417483844</v>
      </c>
      <c r="R17" s="89">
        <f>M17/$D17</f>
        <v>0.02098103034830809</v>
      </c>
      <c r="S17" s="89">
        <f>N17/$D17</f>
        <v>0.009730370772839596</v>
      </c>
      <c r="T17" s="87"/>
      <c r="U17" s="89">
        <f>K17/$I17</f>
        <v>0.4556687945645276</v>
      </c>
      <c r="V17" s="89">
        <f>L17/$I17</f>
        <v>0.3248777392018516</v>
      </c>
      <c r="W17" s="89">
        <f>M17/$I17</f>
        <v>0.1499234703400903</v>
      </c>
      <c r="X17" s="89">
        <f>N17/$I17</f>
        <v>0.06952999589353044</v>
      </c>
      <c r="Y17" s="84"/>
      <c r="Z17" s="84"/>
      <c r="AA17" s="84"/>
      <c r="AB17" s="84"/>
      <c r="AC17" s="89"/>
      <c r="AD17" s="84"/>
      <c r="AE17" s="84"/>
      <c r="AF17" s="84"/>
    </row>
    <row r="18" ht="13.65" customHeight="1">
      <c r="A18" s="85">
        <f>'BA'!A20</f>
        <v>23163</v>
      </c>
      <c r="B18" s="86">
        <v>1963</v>
      </c>
      <c r="C18" s="87">
        <f>'BA'!B20</f>
        <v>410421</v>
      </c>
      <c r="D18" s="87">
        <v>410421</v>
      </c>
      <c r="E18" s="84"/>
      <c r="F18" s="103"/>
      <c r="G18" s="97">
        <v>11483</v>
      </c>
      <c r="H18" s="98">
        <f>G18*1000/5</f>
        <v>2296600</v>
      </c>
      <c r="I18" s="87">
        <f>K18+L18+M18+N18</f>
        <v>62105</v>
      </c>
      <c r="J18" s="89">
        <f>I18/H18</f>
        <v>0.02704214926412958</v>
      </c>
      <c r="K18" s="87">
        <f>'BA'!M20</f>
        <v>28088</v>
      </c>
      <c r="L18" s="87">
        <f>'BA'!AH20</f>
        <v>20071</v>
      </c>
      <c r="M18" s="87">
        <f>'BA'!V20</f>
        <v>9861</v>
      </c>
      <c r="N18" s="87">
        <f>'BA'!AB20</f>
        <v>4085</v>
      </c>
      <c r="O18" s="87"/>
      <c r="P18" s="89">
        <f>K18/$D18</f>
        <v>0.06843704391344498</v>
      </c>
      <c r="Q18" s="89">
        <f>L18/$D18</f>
        <v>0.0489034430499414</v>
      </c>
      <c r="R18" s="89">
        <f>M18/$D18</f>
        <v>0.02402654834913418</v>
      </c>
      <c r="S18" s="89">
        <f>N18/$D18</f>
        <v>0.009953194402820519</v>
      </c>
      <c r="T18" s="87"/>
      <c r="U18" s="89">
        <f>K18/$I18</f>
        <v>0.4522663231623863</v>
      </c>
      <c r="V18" s="89">
        <f>L18/$I18</f>
        <v>0.3231784880444409</v>
      </c>
      <c r="W18" s="89">
        <f>M18/$I18</f>
        <v>0.1587794863537557</v>
      </c>
      <c r="X18" s="89">
        <f>N18/$I18</f>
        <v>0.06577570243941712</v>
      </c>
      <c r="Y18" s="84"/>
      <c r="Z18" s="84"/>
      <c r="AA18" s="84"/>
      <c r="AB18" s="84"/>
      <c r="AC18" s="89"/>
      <c r="AD18" s="84"/>
      <c r="AE18" s="84"/>
      <c r="AF18" s="84"/>
    </row>
    <row r="19" ht="13.65" customHeight="1">
      <c r="A19" s="85">
        <f>'BA'!A21</f>
        <v>23529</v>
      </c>
      <c r="B19" s="86">
        <v>1964</v>
      </c>
      <c r="C19" s="87">
        <f>'BA'!B21</f>
        <v>460467</v>
      </c>
      <c r="D19" s="87">
        <v>460467</v>
      </c>
      <c r="E19" s="84"/>
      <c r="F19" s="103"/>
      <c r="G19" s="97">
        <v>11959</v>
      </c>
      <c r="H19" s="98">
        <f>G19*1000/5</f>
        <v>2391800</v>
      </c>
      <c r="I19" s="87">
        <f>K19+L19+M19+N19</f>
        <v>73389.083240000007</v>
      </c>
      <c r="J19" s="89">
        <f>I19/H19</f>
        <v>0.03068362038631993</v>
      </c>
      <c r="K19" s="87">
        <f>'BA'!M21</f>
        <v>32731.457</v>
      </c>
      <c r="L19" s="87">
        <f>'BA'!AH21</f>
        <v>23484.62624</v>
      </c>
      <c r="M19" s="87">
        <f>'BA'!V21</f>
        <v>12363</v>
      </c>
      <c r="N19" s="87">
        <f>'BA'!AB21</f>
        <v>4810</v>
      </c>
      <c r="O19" s="87"/>
      <c r="P19" s="89">
        <f>K19/$D19</f>
        <v>0.07108317642740956</v>
      </c>
      <c r="Q19" s="89">
        <f>L19/$D19</f>
        <v>0.05100175743321454</v>
      </c>
      <c r="R19" s="89">
        <f>M19/$D19</f>
        <v>0.02684882955781848</v>
      </c>
      <c r="S19" s="89">
        <f>N19/$D19</f>
        <v>0.01044591686266334</v>
      </c>
      <c r="T19" s="87"/>
      <c r="U19" s="89">
        <f>K19/$I19</f>
        <v>0.4459989899718497</v>
      </c>
      <c r="V19" s="89">
        <f>L19/$I19</f>
        <v>0.3200016297137764</v>
      </c>
      <c r="W19" s="89">
        <f>M19/$I19</f>
        <v>0.1684582972588717</v>
      </c>
      <c r="X19" s="89">
        <f>N19/$I19</f>
        <v>0.06554108305550213</v>
      </c>
      <c r="Y19" s="84"/>
      <c r="Z19" s="84"/>
      <c r="AA19" s="84"/>
      <c r="AB19" s="84"/>
      <c r="AC19" s="89"/>
      <c r="AD19" s="84"/>
      <c r="AE19" s="84"/>
      <c r="AF19" s="84"/>
    </row>
    <row r="20" ht="13.65" customHeight="1">
      <c r="A20" s="85">
        <f>'BA'!A22</f>
        <v>23894</v>
      </c>
      <c r="B20" s="86">
        <v>1965</v>
      </c>
      <c r="C20" s="87">
        <f>'BA'!B22</f>
        <v>492984</v>
      </c>
      <c r="D20" s="87">
        <v>492984</v>
      </c>
      <c r="E20" s="84"/>
      <c r="F20" s="103"/>
      <c r="G20" s="97">
        <v>12714</v>
      </c>
      <c r="H20" s="98">
        <f>G20*1000/5</f>
        <v>2542800</v>
      </c>
      <c r="I20" s="87">
        <f>K20+L20+M20+N20</f>
        <v>80938</v>
      </c>
      <c r="J20" s="89">
        <f>I20/H20</f>
        <v>0.03183026584867076</v>
      </c>
      <c r="K20" s="87">
        <f>'BA'!M22</f>
        <v>36183</v>
      </c>
      <c r="L20" s="87">
        <f>'BA'!AH22</f>
        <v>25854</v>
      </c>
      <c r="M20" s="87">
        <f>'BA'!V22</f>
        <v>14091</v>
      </c>
      <c r="N20" s="87">
        <f>'BA'!AB22</f>
        <v>4810</v>
      </c>
      <c r="O20" s="87"/>
      <c r="P20" s="89">
        <f>K20/$D20</f>
        <v>0.07339589114454019</v>
      </c>
      <c r="Q20" s="89">
        <f>L20/$D20</f>
        <v>0.05244389270240007</v>
      </c>
      <c r="R20" s="89">
        <f>M20/$D20</f>
        <v>0.02858307774694513</v>
      </c>
      <c r="S20" s="89">
        <f>N20/$D20</f>
        <v>0.009756908946334972</v>
      </c>
      <c r="T20" s="87"/>
      <c r="U20" s="89">
        <f>K20/$I20</f>
        <v>0.4470458869752156</v>
      </c>
      <c r="V20" s="89">
        <f>L20/$I20</f>
        <v>0.319429686920853</v>
      </c>
      <c r="W20" s="89">
        <f>M20/$I20</f>
        <v>0.174096221799402</v>
      </c>
      <c r="X20" s="89">
        <f>N20/$I20</f>
        <v>0.05942820430452939</v>
      </c>
      <c r="Y20" s="84"/>
      <c r="Z20" s="84"/>
      <c r="AA20" s="84"/>
      <c r="AB20" s="84"/>
      <c r="AC20" s="89"/>
      <c r="AD20" s="84"/>
      <c r="AE20" s="84"/>
      <c r="AF20" s="84"/>
    </row>
    <row r="21" ht="13.65" customHeight="1">
      <c r="A21" s="85">
        <f>'BA'!A23</f>
        <v>24259</v>
      </c>
      <c r="B21" s="86">
        <v>1966</v>
      </c>
      <c r="C21" s="87">
        <f>'BA'!B23</f>
        <v>524117</v>
      </c>
      <c r="D21" s="87">
        <v>524117</v>
      </c>
      <c r="E21" s="84"/>
      <c r="F21" s="103"/>
      <c r="G21" s="97">
        <v>13269</v>
      </c>
      <c r="H21" s="98">
        <f>G21*1000/5</f>
        <v>2653800</v>
      </c>
      <c r="I21" s="87">
        <f>K21+L21+M21+N21</f>
        <v>88503</v>
      </c>
      <c r="J21" s="89">
        <f>I21/H21</f>
        <v>0.0333495365136785</v>
      </c>
      <c r="K21" s="87">
        <f>'BA'!M23</f>
        <v>39190</v>
      </c>
      <c r="L21" s="87">
        <f>'BA'!AH23</f>
        <v>28770</v>
      </c>
      <c r="M21" s="87">
        <f>'BA'!V23</f>
        <v>15519</v>
      </c>
      <c r="N21" s="87">
        <f>'BA'!AB23</f>
        <v>5024</v>
      </c>
      <c r="O21" s="87"/>
      <c r="P21" s="89">
        <f>K21/$D21</f>
        <v>0.07477338075277085</v>
      </c>
      <c r="Q21" s="89">
        <f>L21/$D21</f>
        <v>0.05489232366055671</v>
      </c>
      <c r="R21" s="89">
        <f>M21/$D21</f>
        <v>0.02960980086507402</v>
      </c>
      <c r="S21" s="89">
        <f>N21/$D21</f>
        <v>0.009585645953098259</v>
      </c>
      <c r="T21" s="87"/>
      <c r="U21" s="89">
        <f>K21/$I21</f>
        <v>0.4428098482537315</v>
      </c>
      <c r="V21" s="89">
        <f>L21/$I21</f>
        <v>0.3250737263143622</v>
      </c>
      <c r="W21" s="89">
        <f>M21/$I21</f>
        <v>0.1753499881359954</v>
      </c>
      <c r="X21" s="89">
        <f>N21/$I21</f>
        <v>0.05676643729591088</v>
      </c>
      <c r="Y21" s="84"/>
      <c r="Z21" s="84"/>
      <c r="AA21" s="84"/>
      <c r="AB21" s="84"/>
      <c r="AC21" s="89"/>
      <c r="AD21" s="84"/>
      <c r="AE21" s="84"/>
      <c r="AF21" s="84"/>
    </row>
    <row r="22" ht="13.65" customHeight="1">
      <c r="A22" s="85">
        <f>'BA'!A24</f>
        <v>24624</v>
      </c>
      <c r="B22" s="86">
        <v>1967</v>
      </c>
      <c r="C22" s="87">
        <f>'BA'!B24</f>
        <v>562369</v>
      </c>
      <c r="D22" s="87">
        <v>562369</v>
      </c>
      <c r="E22" s="84"/>
      <c r="F22" s="103"/>
      <c r="G22" s="97">
        <v>13746</v>
      </c>
      <c r="H22" s="98">
        <f>G22*1000/5</f>
        <v>2749200</v>
      </c>
      <c r="I22" s="87">
        <f>K22+L22+M22+N22</f>
        <v>96668</v>
      </c>
      <c r="J22" s="89">
        <f>I22/H22</f>
        <v>0.03516222901207624</v>
      </c>
      <c r="K22" s="87">
        <f>'BA'!M24</f>
        <v>42430</v>
      </c>
      <c r="L22" s="87">
        <f>'BA'!AH24</f>
        <v>31793</v>
      </c>
      <c r="M22" s="87">
        <f>'BA'!V24</f>
        <v>17025</v>
      </c>
      <c r="N22" s="87">
        <f>'BA'!AB24</f>
        <v>5420</v>
      </c>
      <c r="O22" s="87"/>
      <c r="P22" s="89">
        <f>K22/$D22</f>
        <v>0.07544868227089331</v>
      </c>
      <c r="Q22" s="89">
        <f>L22/$D22</f>
        <v>0.05653405504215204</v>
      </c>
      <c r="R22" s="89">
        <f>M22/$D22</f>
        <v>0.03027371707899973</v>
      </c>
      <c r="S22" s="89">
        <f>N22/$D22</f>
        <v>0.00963780009211034</v>
      </c>
      <c r="T22" s="87"/>
      <c r="U22" s="89">
        <f>K22/$I22</f>
        <v>0.4389249803450987</v>
      </c>
      <c r="V22" s="89">
        <f>L22/$I22</f>
        <v>0.3288885670542475</v>
      </c>
      <c r="W22" s="89">
        <f>M22/$I22</f>
        <v>0.1761182604377871</v>
      </c>
      <c r="X22" s="89">
        <f>N22/$I22</f>
        <v>0.05606819216286672</v>
      </c>
      <c r="Y22" s="84"/>
      <c r="Z22" s="84"/>
      <c r="AA22" s="84"/>
      <c r="AB22" s="84"/>
      <c r="AC22" s="89"/>
      <c r="AD22" s="84"/>
      <c r="AE22" s="84"/>
      <c r="AF22" s="84"/>
    </row>
    <row r="23" ht="13.65" customHeight="1">
      <c r="A23" s="85">
        <f>'BA'!A25</f>
        <v>24990</v>
      </c>
      <c r="B23" s="86">
        <v>1968</v>
      </c>
      <c r="C23" s="87">
        <f>'BA'!B25</f>
        <v>636863</v>
      </c>
      <c r="D23" s="87">
        <v>636863</v>
      </c>
      <c r="E23" s="84"/>
      <c r="F23" s="103"/>
      <c r="G23" s="97">
        <v>14050</v>
      </c>
      <c r="H23" s="98">
        <f>G23*1000/5</f>
        <v>2810000</v>
      </c>
      <c r="I23" s="87">
        <f>K23+L23+M23+N23</f>
        <v>108832</v>
      </c>
      <c r="J23" s="89">
        <f>I23/H23</f>
        <v>0.03873024911032028</v>
      </c>
      <c r="K23" s="87">
        <f>'BA'!M25</f>
        <v>48126</v>
      </c>
      <c r="L23" s="87">
        <f>'BA'!AH25</f>
        <v>35416</v>
      </c>
      <c r="M23" s="87">
        <f>'BA'!V25</f>
        <v>19522</v>
      </c>
      <c r="N23" s="87">
        <f>'BA'!AB25</f>
        <v>5768</v>
      </c>
      <c r="O23" s="87"/>
      <c r="P23" s="89">
        <f>K23/$D23</f>
        <v>0.07556727271014331</v>
      </c>
      <c r="Q23" s="89">
        <f>L23/$D23</f>
        <v>0.05561007626443992</v>
      </c>
      <c r="R23" s="89">
        <f>M23/$D23</f>
        <v>0.03065337443060753</v>
      </c>
      <c r="S23" s="89">
        <f>N23/$D23</f>
        <v>0.009056892926736206</v>
      </c>
      <c r="T23" s="87"/>
      <c r="U23" s="89">
        <f>K23/$I23</f>
        <v>0.4422044986768597</v>
      </c>
      <c r="V23" s="89">
        <f>L23/$I23</f>
        <v>0.3254189944134078</v>
      </c>
      <c r="W23" s="89">
        <f>M23/$I23</f>
        <v>0.1793773890032344</v>
      </c>
      <c r="X23" s="89">
        <f>N23/$I23</f>
        <v>0.05299911790649809</v>
      </c>
      <c r="Y23" s="84"/>
      <c r="Z23" s="88">
        <v>49957</v>
      </c>
      <c r="AA23" s="88">
        <v>61048</v>
      </c>
      <c r="AB23" s="88">
        <f>SUM(Z23:AA23)</f>
        <v>111005</v>
      </c>
      <c r="AC23" s="89"/>
      <c r="AD23" s="84"/>
      <c r="AE23" s="84"/>
      <c r="AF23" s="84"/>
    </row>
    <row r="24" ht="13.65" customHeight="1">
      <c r="A24" s="85">
        <f>'BA'!A26</f>
        <v>25355</v>
      </c>
      <c r="B24" s="86">
        <v>1969</v>
      </c>
      <c r="C24" s="87">
        <f>'BA'!B26</f>
        <v>734003</v>
      </c>
      <c r="D24" s="87">
        <f>C24</f>
        <v>734003</v>
      </c>
      <c r="E24" s="84"/>
      <c r="F24" s="103"/>
      <c r="G24" s="97">
        <v>15248</v>
      </c>
      <c r="H24" s="98">
        <f>G24*1000/5</f>
        <v>3049600</v>
      </c>
      <c r="I24" s="87">
        <f>K24+L24+M24+N24</f>
        <v>123541</v>
      </c>
      <c r="J24" s="89">
        <f>I24/H24</f>
        <v>0.04051055876180483</v>
      </c>
      <c r="K24" s="87">
        <f>'BA'!M26</f>
        <v>54359</v>
      </c>
      <c r="L24" s="87">
        <f>'BA'!AH26</f>
        <v>41079</v>
      </c>
      <c r="M24" s="87">
        <f>'BA'!V26</f>
        <v>21985</v>
      </c>
      <c r="N24" s="87">
        <f>'BA'!AB26</f>
        <v>6118</v>
      </c>
      <c r="O24" s="87"/>
      <c r="P24" s="89">
        <f>K24/$D24</f>
        <v>0.07405828041574762</v>
      </c>
      <c r="Q24" s="89">
        <f>L24/$D24</f>
        <v>0.05596571131180663</v>
      </c>
      <c r="R24" s="89">
        <f>M24/$D24</f>
        <v>0.02995219365588424</v>
      </c>
      <c r="S24" s="89">
        <f>N24/$D24</f>
        <v>0.008335115796529442</v>
      </c>
      <c r="T24" s="87"/>
      <c r="U24" s="89">
        <f>K24/$I24</f>
        <v>0.4400077706996058</v>
      </c>
      <c r="V24" s="89">
        <f>L24/$I24</f>
        <v>0.3325130928193879</v>
      </c>
      <c r="W24" s="89">
        <f>M24/$I24</f>
        <v>0.1779571154515505</v>
      </c>
      <c r="X24" s="89">
        <f>N24/$I24</f>
        <v>0.04952202102945581</v>
      </c>
      <c r="Y24" s="84"/>
      <c r="Z24" s="88">
        <v>56772</v>
      </c>
      <c r="AA24" s="88">
        <v>69689</v>
      </c>
      <c r="AB24" s="88">
        <f>SUM(Z24:AA24)</f>
        <v>126461</v>
      </c>
      <c r="AC24" s="89"/>
      <c r="AD24" s="84"/>
      <c r="AE24" s="84"/>
      <c r="AF24" s="84"/>
    </row>
    <row r="25" ht="13.65" customHeight="1">
      <c r="A25" s="85">
        <f>'BA'!A27</f>
        <v>26085</v>
      </c>
      <c r="B25" s="86">
        <v>1971</v>
      </c>
      <c r="C25" s="87">
        <f>'BA'!B27</f>
        <v>846110</v>
      </c>
      <c r="D25" s="87">
        <f>C25</f>
        <v>846110</v>
      </c>
      <c r="E25" s="84"/>
      <c r="F25" s="103"/>
      <c r="G25" s="97">
        <v>16480</v>
      </c>
      <c r="H25" s="98">
        <f>G25*1000/5</f>
        <v>3296000</v>
      </c>
      <c r="I25" s="87">
        <f>K25+L25+M25+N25</f>
        <v>136213</v>
      </c>
      <c r="J25" s="89">
        <f>I25/H25</f>
        <v>0.04132675970873786</v>
      </c>
      <c r="K25" s="87">
        <f>'BA'!M27</f>
        <v>64012</v>
      </c>
      <c r="L25" s="87">
        <f>'BA'!AH27</f>
        <v>44931</v>
      </c>
      <c r="M25" s="87">
        <f>'BA'!V27</f>
        <v>21480</v>
      </c>
      <c r="N25" s="87">
        <f>'BA'!AB27</f>
        <v>5790</v>
      </c>
      <c r="O25" s="87"/>
      <c r="P25" s="89">
        <f>K25/$D25</f>
        <v>0.07565446573140608</v>
      </c>
      <c r="Q25" s="89">
        <f>L25/$D25</f>
        <v>0.05310302442944771</v>
      </c>
      <c r="R25" s="89">
        <f>M25/$D25</f>
        <v>0.02538677004172035</v>
      </c>
      <c r="S25" s="89">
        <f>N25/$D25</f>
        <v>0.006843081868787747</v>
      </c>
      <c r="T25" s="87"/>
      <c r="U25" s="89">
        <f>K25/$I25</f>
        <v>0.4699404608958029</v>
      </c>
      <c r="V25" s="89">
        <f>L25/$I25</f>
        <v>0.3298583835610404</v>
      </c>
      <c r="W25" s="89">
        <f>M25/$I25</f>
        <v>0.1576941995257428</v>
      </c>
      <c r="X25" s="89">
        <f>N25/$I25</f>
        <v>0.0425069560174139</v>
      </c>
      <c r="Y25" s="84"/>
      <c r="Z25" s="88">
        <v>66309</v>
      </c>
      <c r="AA25" s="88">
        <v>80575</v>
      </c>
      <c r="AB25" s="88">
        <f>SUM(Z25:AA25)</f>
        <v>146884</v>
      </c>
      <c r="AC25" s="89">
        <f>AB25/D25</f>
        <v>0.1735991774119204</v>
      </c>
      <c r="AD25" s="84"/>
      <c r="AE25" s="87">
        <f>AB25-I25</f>
        <v>10671</v>
      </c>
      <c r="AF25" s="89">
        <f>AE25/D25</f>
        <v>0.01261183534055856</v>
      </c>
    </row>
    <row r="26" ht="13.65" customHeight="1">
      <c r="A26" s="85">
        <f>'BA'!A28</f>
        <v>26451</v>
      </c>
      <c r="B26" s="86">
        <v>1972</v>
      </c>
      <c r="C26" s="87">
        <f>'BA'!B28</f>
        <v>894110</v>
      </c>
      <c r="D26" s="87">
        <f>C26</f>
        <v>894110</v>
      </c>
      <c r="E26" s="84"/>
      <c r="F26" s="103"/>
      <c r="G26" s="97">
        <v>17202</v>
      </c>
      <c r="H26" s="98">
        <f>G26*1000/5</f>
        <v>3440400</v>
      </c>
      <c r="I26" s="87">
        <f>K26+L26+M26+N26</f>
        <v>134143</v>
      </c>
      <c r="J26" s="89">
        <f>I26/H26</f>
        <v>0.03899052435763283</v>
      </c>
      <c r="K26" s="87">
        <f>'BA'!M28</f>
        <v>63810</v>
      </c>
      <c r="L26" s="87">
        <f>'BA'!AH28</f>
        <v>43975</v>
      </c>
      <c r="M26" s="87">
        <f>'BA'!V28</f>
        <v>20405</v>
      </c>
      <c r="N26" s="87">
        <f>'BA'!AB28</f>
        <v>5953</v>
      </c>
      <c r="O26" s="87"/>
      <c r="P26" s="89">
        <f>K26/$D26</f>
        <v>0.07136705774457282</v>
      </c>
      <c r="Q26" s="89">
        <f>L26/$D26</f>
        <v>0.0491829864334366</v>
      </c>
      <c r="R26" s="89">
        <f>M26/$D26</f>
        <v>0.02282157676348548</v>
      </c>
      <c r="S26" s="89">
        <f>N26/$D26</f>
        <v>0.006658017469886255</v>
      </c>
      <c r="T26" s="87"/>
      <c r="U26" s="89">
        <f>K26/$I26</f>
        <v>0.4756863943701871</v>
      </c>
      <c r="V26" s="89">
        <f>L26/$I26</f>
        <v>0.327821802106707</v>
      </c>
      <c r="W26" s="89">
        <f>M26/$I26</f>
        <v>0.1521137890161991</v>
      </c>
      <c r="X26" s="89">
        <f>N26/$I26</f>
        <v>0.04437801450690681</v>
      </c>
      <c r="Y26" s="84"/>
      <c r="Z26" s="88">
        <v>66767</v>
      </c>
      <c r="AA26" s="88">
        <v>78833</v>
      </c>
      <c r="AB26" s="88">
        <f>SUM(Z26:AA26)</f>
        <v>145600</v>
      </c>
      <c r="AC26" s="89">
        <f>AB26/D26</f>
        <v>0.1628434980036013</v>
      </c>
      <c r="AD26" s="84"/>
      <c r="AE26" s="87">
        <f>AB26-I26</f>
        <v>11457</v>
      </c>
      <c r="AF26" s="89">
        <f>AE26/D26</f>
        <v>0.0128138595922202</v>
      </c>
    </row>
    <row r="27" ht="13.65" customHeight="1">
      <c r="A27" s="85">
        <f>'BA'!A29</f>
        <v>26816</v>
      </c>
      <c r="B27" s="86">
        <v>1973</v>
      </c>
      <c r="C27" s="87">
        <f>'BA'!B29</f>
        <v>930000</v>
      </c>
      <c r="D27" s="87">
        <f>C27</f>
        <v>930000</v>
      </c>
      <c r="E27" s="84"/>
      <c r="F27" s="103"/>
      <c r="G27" s="97">
        <v>18159</v>
      </c>
      <c r="H27" s="98">
        <f>G27*1000/5</f>
        <v>3631800</v>
      </c>
      <c r="I27" s="87">
        <f>K27+L27+M27+N27</f>
        <v>128619</v>
      </c>
      <c r="J27" s="89">
        <f>I27/H27</f>
        <v>0.03541467041136626</v>
      </c>
      <c r="K27" s="87">
        <f>'BA'!M29</f>
        <v>60734</v>
      </c>
      <c r="L27" s="87">
        <f>'BA'!AH29</f>
        <v>41223</v>
      </c>
      <c r="M27" s="87">
        <f>'BA'!V29</f>
        <v>20728</v>
      </c>
      <c r="N27" s="87">
        <f>'BA'!AB29</f>
        <v>5934</v>
      </c>
      <c r="O27" s="87"/>
      <c r="P27" s="89">
        <f>K27/$D27</f>
        <v>0.06530537634408602</v>
      </c>
      <c r="Q27" s="89">
        <f>L27/$D27</f>
        <v>0.0443258064516129</v>
      </c>
      <c r="R27" s="89">
        <f>M27/$D27</f>
        <v>0.02228817204301075</v>
      </c>
      <c r="S27" s="89">
        <f>N27/$D27</f>
        <v>0.006380645161290323</v>
      </c>
      <c r="T27" s="87"/>
      <c r="U27" s="89">
        <f>K27/$I27</f>
        <v>0.4722008412442952</v>
      </c>
      <c r="V27" s="89">
        <f>L27/$I27</f>
        <v>0.3205047465770998</v>
      </c>
      <c r="W27" s="89">
        <f>M27/$I27</f>
        <v>0.1611581492625506</v>
      </c>
      <c r="X27" s="89">
        <f>N27/$I27</f>
        <v>0.0461362629160544</v>
      </c>
      <c r="Y27" s="84"/>
      <c r="Z27" s="88">
        <v>65468</v>
      </c>
      <c r="AA27" s="88">
        <v>76914</v>
      </c>
      <c r="AB27" s="88">
        <f>SUM(Z27:AA27)</f>
        <v>142382</v>
      </c>
      <c r="AC27" s="89">
        <f>AB27/D27</f>
        <v>0.1530989247311828</v>
      </c>
      <c r="AD27" s="84"/>
      <c r="AE27" s="87">
        <f>AB27-I27</f>
        <v>13763</v>
      </c>
      <c r="AF27" s="89">
        <f>AE27/D27</f>
        <v>0.0147989247311828</v>
      </c>
    </row>
    <row r="28" ht="13.65" customHeight="1">
      <c r="A28" s="85">
        <f>'BA'!A30</f>
        <v>27546</v>
      </c>
      <c r="B28" s="86">
        <v>1975</v>
      </c>
      <c r="C28" s="87">
        <f>'BA'!B30</f>
        <v>931663</v>
      </c>
      <c r="D28" s="87">
        <f>C28</f>
        <v>931663</v>
      </c>
      <c r="E28" s="84"/>
      <c r="F28" s="103"/>
      <c r="G28" s="97">
        <v>18521</v>
      </c>
      <c r="H28" s="98">
        <f>G28*1000/5</f>
        <v>3704200</v>
      </c>
      <c r="I28" s="87">
        <f>K28+L28+M28+N28</f>
        <v>103939</v>
      </c>
      <c r="J28" s="89">
        <f>I28/H28</f>
        <v>0.02805976999082123</v>
      </c>
      <c r="K28" s="87">
        <f>'BA'!M30</f>
        <v>47148</v>
      </c>
      <c r="L28" s="87">
        <f>'BA'!AH30</f>
        <v>31768</v>
      </c>
      <c r="M28" s="87">
        <f>'BA'!V30</f>
        <v>19675</v>
      </c>
      <c r="N28" s="87">
        <f>'BA'!AB30</f>
        <v>5348</v>
      </c>
      <c r="O28" s="87"/>
      <c r="P28" s="89">
        <f>K28/$D28</f>
        <v>0.05060628145584831</v>
      </c>
      <c r="Q28" s="89">
        <f>L28/$D28</f>
        <v>0.03409816639707706</v>
      </c>
      <c r="R28" s="89">
        <f>M28/$D28</f>
        <v>0.02111815109111342</v>
      </c>
      <c r="S28" s="89">
        <f>N28/$D28</f>
        <v>0.005740273038641655</v>
      </c>
      <c r="T28" s="87"/>
      <c r="U28" s="89">
        <f>K28/$I28</f>
        <v>0.453612214856791</v>
      </c>
      <c r="V28" s="89">
        <f>L28/$I28</f>
        <v>0.3056408085511694</v>
      </c>
      <c r="W28" s="89">
        <f>M28/$I28</f>
        <v>0.1892937203552083</v>
      </c>
      <c r="X28" s="89">
        <f>N28/$I28</f>
        <v>0.05145325623683122</v>
      </c>
      <c r="Y28" s="84"/>
      <c r="Z28" s="88">
        <v>54612</v>
      </c>
      <c r="AA28" s="88">
        <v>64963</v>
      </c>
      <c r="AB28" s="88">
        <f>SUM(Z28:AA28)</f>
        <v>119575</v>
      </c>
      <c r="AC28" s="89">
        <f>AB28/D28</f>
        <v>0.12834576450927</v>
      </c>
      <c r="AD28" s="84"/>
      <c r="AE28" s="87">
        <f>AB28-I28</f>
        <v>15636</v>
      </c>
      <c r="AF28" s="89">
        <f>AE28/D28</f>
        <v>0.01678289252658955</v>
      </c>
    </row>
    <row r="29" ht="13.65" customHeight="1">
      <c r="A29" s="85">
        <f>'BA'!A31</f>
        <v>28277</v>
      </c>
      <c r="B29" s="86">
        <v>1977</v>
      </c>
      <c r="C29" s="87">
        <f>'BA'!B31</f>
        <v>928228</v>
      </c>
      <c r="D29" s="87">
        <f>C29</f>
        <v>928228</v>
      </c>
      <c r="E29" s="84"/>
      <c r="F29" s="103"/>
      <c r="G29" s="97">
        <v>19527</v>
      </c>
      <c r="H29" s="98">
        <f>G29*1000/5</f>
        <v>3905400</v>
      </c>
      <c r="I29" s="87">
        <f>K29+L29+M29+N29</f>
        <v>83669</v>
      </c>
      <c r="J29" s="89">
        <f>I29/H29</f>
        <v>0.02142392584626415</v>
      </c>
      <c r="K29" s="87">
        <f>'BA'!M31</f>
        <v>37745</v>
      </c>
      <c r="L29" s="87">
        <f>'BA'!AH31</f>
        <v>25608</v>
      </c>
      <c r="M29" s="87">
        <f>'BA'!V31</f>
        <v>15865</v>
      </c>
      <c r="N29" s="87">
        <f>'BA'!AB31</f>
        <v>4451</v>
      </c>
      <c r="O29" s="87"/>
      <c r="P29" s="89">
        <f>K29/$D29</f>
        <v>0.04066350077782614</v>
      </c>
      <c r="Q29" s="89">
        <f>L29/$D29</f>
        <v>0.02758804948784135</v>
      </c>
      <c r="R29" s="89">
        <f>M29/$D29</f>
        <v>0.01709170591708072</v>
      </c>
      <c r="S29" s="89">
        <f>N29/$D29</f>
        <v>0.004795158086159866</v>
      </c>
      <c r="T29" s="87"/>
      <c r="U29" s="89">
        <f>K29/$I29</f>
        <v>0.4511228770512376</v>
      </c>
      <c r="V29" s="89">
        <f>L29/$I29</f>
        <v>0.3060631775209456</v>
      </c>
      <c r="W29" s="89">
        <f>M29/$I29</f>
        <v>0.1896162258423072</v>
      </c>
      <c r="X29" s="89">
        <f>N29/$I29</f>
        <v>0.05319771958550957</v>
      </c>
      <c r="Y29" s="84"/>
      <c r="Z29" s="88">
        <v>45307</v>
      </c>
      <c r="AA29" s="88">
        <v>53948</v>
      </c>
      <c r="AB29" s="88">
        <f>SUM(Z29:AA29)</f>
        <v>99255</v>
      </c>
      <c r="AC29" s="89">
        <f>AB29/D29</f>
        <v>0.1069295474818687</v>
      </c>
      <c r="AD29" s="84"/>
      <c r="AE29" s="87">
        <f>AB29-I29</f>
        <v>15586</v>
      </c>
      <c r="AF29" s="89">
        <f>AE29/D29</f>
        <v>0.01679113321296061</v>
      </c>
    </row>
    <row r="30" ht="13.65" customHeight="1">
      <c r="A30" s="85">
        <f>'BA'!A32</f>
        <v>28642</v>
      </c>
      <c r="B30" s="86">
        <v>1978</v>
      </c>
      <c r="C30" s="87">
        <f>'BA'!B32</f>
        <v>930201</v>
      </c>
      <c r="D30" s="87">
        <f>C30</f>
        <v>930201</v>
      </c>
      <c r="E30" s="84"/>
      <c r="F30" s="103"/>
      <c r="G30" s="97">
        <v>19986</v>
      </c>
      <c r="H30" s="98">
        <f>G30*1000/5</f>
        <v>3997200</v>
      </c>
      <c r="I30" s="87">
        <f>K30+L30+M30+N30</f>
        <v>76968</v>
      </c>
      <c r="J30" s="89">
        <f>I30/H30</f>
        <v>0.01925547883518463</v>
      </c>
      <c r="K30" s="87">
        <f>'BA'!M32</f>
        <v>35174</v>
      </c>
      <c r="L30" s="87">
        <f>'BA'!AH32</f>
        <v>23145</v>
      </c>
      <c r="M30" s="87">
        <f>'BA'!V32</f>
        <v>14614</v>
      </c>
      <c r="N30" s="87">
        <f>'BA'!AB32</f>
        <v>4035</v>
      </c>
      <c r="O30" s="87"/>
      <c r="P30" s="89">
        <f>K30/$D30</f>
        <v>0.03781333281731582</v>
      </c>
      <c r="Q30" s="89">
        <f>L30/$D30</f>
        <v>0.02488171911232089</v>
      </c>
      <c r="R30" s="89">
        <f>M30/$D30</f>
        <v>0.01571058298152765</v>
      </c>
      <c r="S30" s="89">
        <f>N30/$D30</f>
        <v>0.004337772158920492</v>
      </c>
      <c r="T30" s="87"/>
      <c r="U30" s="89">
        <f>K30/$I30</f>
        <v>0.4569951148529259</v>
      </c>
      <c r="V30" s="89">
        <f>L30/$I30</f>
        <v>0.3007093857187402</v>
      </c>
      <c r="W30" s="89">
        <f>M30/$I30</f>
        <v>0.1898711152686831</v>
      </c>
      <c r="X30" s="89">
        <f>N30/$I30</f>
        <v>0.05242438415965076</v>
      </c>
      <c r="Y30" s="84"/>
      <c r="Z30" s="88">
        <v>41429</v>
      </c>
      <c r="AA30" s="88">
        <v>50905</v>
      </c>
      <c r="AB30" s="88">
        <f>SUM(Z30:AA30)</f>
        <v>92334</v>
      </c>
      <c r="AC30" s="89">
        <f>AB30/D30</f>
        <v>0.09926241747751292</v>
      </c>
      <c r="AD30" s="84"/>
      <c r="AE30" s="87">
        <f>AB30-I30</f>
        <v>15366</v>
      </c>
      <c r="AF30" s="89">
        <f>AE30/D30</f>
        <v>0.01651901040742807</v>
      </c>
    </row>
    <row r="31" ht="13.65" customHeight="1">
      <c r="A31" s="85">
        <f>'BA'!A33</f>
        <v>29373</v>
      </c>
      <c r="B31" s="86">
        <v>1980</v>
      </c>
      <c r="C31" s="87">
        <f>'BA'!B33</f>
        <v>940251</v>
      </c>
      <c r="D31" s="87">
        <f>C31</f>
        <v>940251</v>
      </c>
      <c r="E31" s="84"/>
      <c r="F31" s="103"/>
      <c r="G31" s="97">
        <v>20946</v>
      </c>
      <c r="H31" s="98">
        <f>G31*1000/5</f>
        <v>4189200</v>
      </c>
      <c r="I31" s="87">
        <f>K31+L31+M31+N31</f>
        <v>68186</v>
      </c>
      <c r="J31" s="89">
        <f>I31/H31</f>
        <v>0.01627661606034565</v>
      </c>
      <c r="K31" s="87">
        <f>'BA'!M33</f>
        <v>32381</v>
      </c>
      <c r="L31" s="87">
        <f>'BA'!AH33</f>
        <v>19414</v>
      </c>
      <c r="M31" s="87">
        <f>'BA'!V33</f>
        <v>12675</v>
      </c>
      <c r="N31" s="87">
        <f>'BA'!AB33</f>
        <v>3716</v>
      </c>
      <c r="O31" s="87"/>
      <c r="P31" s="89">
        <f>K31/$D31</f>
        <v>0.03443867648106729</v>
      </c>
      <c r="Q31" s="89">
        <f>L31/$D31</f>
        <v>0.02064767811999136</v>
      </c>
      <c r="R31" s="89">
        <f>M31/$D31</f>
        <v>0.01348044298809573</v>
      </c>
      <c r="S31" s="89">
        <f>N31/$D31</f>
        <v>0.003952136184912327</v>
      </c>
      <c r="T31" s="87"/>
      <c r="U31" s="89">
        <f>K31/$I31</f>
        <v>0.4748922066113279</v>
      </c>
      <c r="V31" s="89">
        <f>L31/$I31</f>
        <v>0.284721203766169</v>
      </c>
      <c r="W31" s="89">
        <f>M31/$I31</f>
        <v>0.1858885988326049</v>
      </c>
      <c r="X31" s="89">
        <f>N31/$I31</f>
        <v>0.05449799078989822</v>
      </c>
      <c r="Y31" s="84"/>
      <c r="Z31" s="88">
        <v>35357</v>
      </c>
      <c r="AA31" s="88">
        <v>46674</v>
      </c>
      <c r="AB31" s="88">
        <f>SUM(Z31:AA31)</f>
        <v>82031</v>
      </c>
      <c r="AC31" s="89">
        <f>AB31/D31</f>
        <v>0.08724372534567898</v>
      </c>
      <c r="AD31" s="84"/>
      <c r="AE31" s="87">
        <f>AB31-I31</f>
        <v>13845</v>
      </c>
      <c r="AF31" s="89">
        <f>AE31/D31</f>
        <v>0.01472479157161226</v>
      </c>
    </row>
    <row r="32" ht="13.65" customHeight="1">
      <c r="A32" s="85">
        <f>'BA'!A34</f>
        <v>29738</v>
      </c>
      <c r="B32" s="86">
        <v>1981</v>
      </c>
      <c r="C32" s="87">
        <f>'BA'!B34</f>
        <v>946877</v>
      </c>
      <c r="D32" s="87">
        <f>C32</f>
        <v>946877</v>
      </c>
      <c r="E32" s="84"/>
      <c r="F32" s="103"/>
      <c r="G32" s="97">
        <v>21297</v>
      </c>
      <c r="H32" s="98">
        <f>G32*1000/5</f>
        <v>4259400</v>
      </c>
      <c r="I32" s="87">
        <f>K32+L32+M32+N32</f>
        <v>66010</v>
      </c>
      <c r="J32" s="89">
        <f>I32/H32</f>
        <v>0.01549748790909518</v>
      </c>
      <c r="K32" s="87">
        <f>'BA'!M34</f>
        <v>32057</v>
      </c>
      <c r="L32" s="87">
        <f>'BA'!AH34</f>
        <v>18413</v>
      </c>
      <c r="M32" s="87">
        <f>'BA'!V34</f>
        <v>11877</v>
      </c>
      <c r="N32" s="87">
        <f>'BA'!AB34</f>
        <v>3663</v>
      </c>
      <c r="O32" s="87"/>
      <c r="P32" s="89">
        <f>K32/$D32</f>
        <v>0.03385550604777601</v>
      </c>
      <c r="Q32" s="89">
        <f>L32/$D32</f>
        <v>0.01944603153313472</v>
      </c>
      <c r="R32" s="89">
        <f>M32/$D32</f>
        <v>0.0125433398424505</v>
      </c>
      <c r="S32" s="89">
        <f>N32/$D32</f>
        <v>0.003868506680381929</v>
      </c>
      <c r="T32" s="87"/>
      <c r="U32" s="89">
        <f>K32/$I32</f>
        <v>0.4856385396152098</v>
      </c>
      <c r="V32" s="89">
        <f>L32/$I32</f>
        <v>0.2789425844569005</v>
      </c>
      <c r="W32" s="89">
        <f>M32/$I32</f>
        <v>0.1799272837448871</v>
      </c>
      <c r="X32" s="89">
        <f>N32/$I32</f>
        <v>0.05549159218300258</v>
      </c>
      <c r="Y32" s="84"/>
      <c r="Z32" s="88">
        <v>33845</v>
      </c>
      <c r="AA32" s="88">
        <v>45278</v>
      </c>
      <c r="AB32" s="88">
        <f>SUM(Z32:AA32)</f>
        <v>79123</v>
      </c>
      <c r="AC32" s="89">
        <f>AB32/D32</f>
        <v>0.08356206772368534</v>
      </c>
      <c r="AD32" s="84"/>
      <c r="AE32" s="87">
        <f>AB32-I32</f>
        <v>13113</v>
      </c>
      <c r="AF32" s="89">
        <f>AE32/D32</f>
        <v>0.01384868361994219</v>
      </c>
    </row>
    <row r="33" ht="13.65" customHeight="1">
      <c r="A33" s="85">
        <f>'BA'!A35</f>
        <v>30103</v>
      </c>
      <c r="B33" s="86">
        <v>1982</v>
      </c>
      <c r="C33" s="87">
        <f>'BA'!B35</f>
        <v>964043</v>
      </c>
      <c r="D33" s="87">
        <f>C33</f>
        <v>964043</v>
      </c>
      <c r="E33" s="84"/>
      <c r="F33" s="103"/>
      <c r="G33" s="97">
        <v>21590</v>
      </c>
      <c r="H33" s="98">
        <f>G33*1000/5</f>
        <v>4318000</v>
      </c>
      <c r="I33" s="87">
        <f>K33+L33+M33+N33</f>
        <v>65269</v>
      </c>
      <c r="J33" s="89">
        <f>I33/H33</f>
        <v>0.01511556276053728</v>
      </c>
      <c r="K33" s="87">
        <f>'BA'!M35</f>
        <v>33234</v>
      </c>
      <c r="L33" s="87">
        <f>'BA'!AH35</f>
        <v>17246</v>
      </c>
      <c r="M33" s="87">
        <f>'BA'!V35</f>
        <v>11372</v>
      </c>
      <c r="N33" s="87">
        <f>'BA'!AB35</f>
        <v>3417</v>
      </c>
      <c r="O33" s="87"/>
      <c r="P33" s="89">
        <f>K33/$D33</f>
        <v>0.03447356601313427</v>
      </c>
      <c r="Q33" s="89">
        <f>L33/$D33</f>
        <v>0.0178892435295936</v>
      </c>
      <c r="R33" s="89">
        <f>M33/$D33</f>
        <v>0.01179615432091722</v>
      </c>
      <c r="S33" s="89">
        <f>N33/$D33</f>
        <v>0.003544447706170783</v>
      </c>
      <c r="T33" s="87"/>
      <c r="U33" s="89">
        <f>K33/$I33</f>
        <v>0.5091850648853208</v>
      </c>
      <c r="V33" s="89">
        <f>L33/$I33</f>
        <v>0.264229572997901</v>
      </c>
      <c r="W33" s="89">
        <f>M33/$I33</f>
        <v>0.1742327904518225</v>
      </c>
      <c r="X33" s="89">
        <f>N33/$I33</f>
        <v>0.0523525716649558</v>
      </c>
      <c r="Y33" s="84"/>
      <c r="Z33" s="88">
        <v>32891</v>
      </c>
      <c r="AA33" s="88">
        <v>45267</v>
      </c>
      <c r="AB33" s="88">
        <f>SUM(Z33:AA33)</f>
        <v>78158</v>
      </c>
      <c r="AC33" s="89">
        <f>AB33/D33</f>
        <v>0.08107314715214985</v>
      </c>
      <c r="AD33" s="84"/>
      <c r="AE33" s="87">
        <f>AB33-I33</f>
        <v>12889</v>
      </c>
      <c r="AF33" s="89">
        <f>AE33/D33</f>
        <v>0.01336973558233398</v>
      </c>
    </row>
    <row r="34" ht="13.65" customHeight="1">
      <c r="A34" s="85">
        <f>'BA'!A36</f>
        <v>30834</v>
      </c>
      <c r="B34" s="86">
        <v>1984</v>
      </c>
      <c r="C34" s="87">
        <f>'BA'!B36</f>
        <v>986000</v>
      </c>
      <c r="D34" s="87">
        <f>C34</f>
        <v>986000</v>
      </c>
      <c r="E34" s="84"/>
      <c r="F34" s="103"/>
      <c r="G34" s="97">
        <v>21902</v>
      </c>
      <c r="H34" s="98">
        <f>G34*1000/5</f>
        <v>4380400</v>
      </c>
      <c r="I34" s="87">
        <f>K34+L34+M34+N34</f>
        <v>63712</v>
      </c>
      <c r="J34" s="89">
        <f>I34/H34</f>
        <v>0.01454479043009771</v>
      </c>
      <c r="K34" s="87">
        <f>'BA'!M36</f>
        <v>32410</v>
      </c>
      <c r="L34" s="87">
        <f>'BA'!AH36</f>
        <v>16737</v>
      </c>
      <c r="M34" s="87">
        <f>'BA'!V36</f>
        <v>11246</v>
      </c>
      <c r="N34" s="87">
        <f>'BA'!AB36</f>
        <v>3319</v>
      </c>
      <c r="O34" s="87"/>
      <c r="P34" s="89">
        <f>K34/$D34</f>
        <v>0.03287018255578093</v>
      </c>
      <c r="Q34" s="89">
        <f>L34/$D34</f>
        <v>0.01697464503042596</v>
      </c>
      <c r="R34" s="89">
        <f>M34/$D34</f>
        <v>0.01140567951318458</v>
      </c>
      <c r="S34" s="89">
        <f>N34/$D34</f>
        <v>0.003366125760649087</v>
      </c>
      <c r="T34" s="87"/>
      <c r="U34" s="89">
        <f>K34/$I34</f>
        <v>0.5086953792064289</v>
      </c>
      <c r="V34" s="89">
        <f>L34/$I34</f>
        <v>0.2626977649422401</v>
      </c>
      <c r="W34" s="89">
        <f>M34/$I34</f>
        <v>0.17651305876444</v>
      </c>
      <c r="X34" s="89">
        <f>N34/$I34</f>
        <v>0.05209379708689101</v>
      </c>
      <c r="Y34" s="84"/>
      <c r="Z34" s="88">
        <v>33235</v>
      </c>
      <c r="AA34" s="88">
        <v>44731</v>
      </c>
      <c r="AB34" s="88">
        <f>SUM(Z34:AA34)</f>
        <v>77966</v>
      </c>
      <c r="AC34" s="89">
        <f>AB34/D34</f>
        <v>0.07907302231237323</v>
      </c>
      <c r="AD34" s="84"/>
      <c r="AE34" s="87">
        <f>AB34-I34</f>
        <v>14254</v>
      </c>
      <c r="AF34" s="89">
        <f>AE34/D34</f>
        <v>0.01445638945233266</v>
      </c>
    </row>
    <row r="35" ht="13.65" customHeight="1">
      <c r="A35" s="85">
        <f>'BA'!A37</f>
        <v>31199</v>
      </c>
      <c r="B35" s="86">
        <v>1985</v>
      </c>
      <c r="C35" s="87">
        <f>'BA'!B37</f>
        <v>991000</v>
      </c>
      <c r="D35" s="87">
        <f>C35</f>
        <v>991000</v>
      </c>
      <c r="E35" s="84"/>
      <c r="F35" s="103"/>
      <c r="G35" s="97">
        <v>21844</v>
      </c>
      <c r="H35" s="98">
        <f>G35*1000/5</f>
        <v>4368800</v>
      </c>
      <c r="I35" s="87">
        <f>K35+L35+M35+N35</f>
        <v>63844</v>
      </c>
      <c r="J35" s="89">
        <f>I35/H35</f>
        <v>0.01461362387841055</v>
      </c>
      <c r="K35" s="87">
        <f>'BA'!M37</f>
        <v>32747</v>
      </c>
      <c r="L35" s="87">
        <f>'BA'!AH37</f>
        <v>16143</v>
      </c>
      <c r="M35" s="87">
        <f>'BA'!V37</f>
        <v>11577</v>
      </c>
      <c r="N35" s="87">
        <f>'BA'!AB37</f>
        <v>3377</v>
      </c>
      <c r="O35" s="87"/>
      <c r="P35" s="89">
        <f>K35/$D35</f>
        <v>0.0330443995963673</v>
      </c>
      <c r="Q35" s="89">
        <f>L35/$D35</f>
        <v>0.01628960645812311</v>
      </c>
      <c r="R35" s="89">
        <f>M35/$D35</f>
        <v>0.01168213925327951</v>
      </c>
      <c r="S35" s="89">
        <f>N35/$D35</f>
        <v>0.003407669021190717</v>
      </c>
      <c r="T35" s="87"/>
      <c r="U35" s="89">
        <f>K35/$I35</f>
        <v>0.5129221226740179</v>
      </c>
      <c r="V35" s="89">
        <f>L35/$I35</f>
        <v>0.2528506985777834</v>
      </c>
      <c r="W35" s="89">
        <f>M35/$I35</f>
        <v>0.1813326232692187</v>
      </c>
      <c r="X35" s="89">
        <f>N35/$I35</f>
        <v>0.05289455547898001</v>
      </c>
      <c r="Y35" s="84"/>
      <c r="Z35" s="88">
        <v>32821</v>
      </c>
      <c r="AA35" s="88">
        <v>44605</v>
      </c>
      <c r="AB35" s="88">
        <f>SUM(Z35:AA35)</f>
        <v>77426</v>
      </c>
      <c r="AC35" s="89">
        <f>AB35/D35</f>
        <v>0.07812916246215944</v>
      </c>
      <c r="AD35" s="84"/>
      <c r="AE35" s="87">
        <f>AB35-I35</f>
        <v>13582</v>
      </c>
      <c r="AF35" s="89">
        <f>AE35/D35</f>
        <v>0.01370534813319879</v>
      </c>
    </row>
    <row r="36" ht="13.65" customHeight="1">
      <c r="A36" s="85">
        <f>'BA'!A38</f>
        <v>31564</v>
      </c>
      <c r="B36" s="86">
        <v>1986</v>
      </c>
      <c r="C36" s="87">
        <f>'BA'!B38</f>
        <v>1000204</v>
      </c>
      <c r="D36" s="87">
        <f>C36</f>
        <v>1000204</v>
      </c>
      <c r="E36" s="84"/>
      <c r="F36" s="103"/>
      <c r="G36" s="97">
        <v>21737</v>
      </c>
      <c r="H36" s="98">
        <f>G36*1000/5</f>
        <v>4347400</v>
      </c>
      <c r="I36" s="87">
        <f>K36+L36+M36+N36</f>
        <v>65670</v>
      </c>
      <c r="J36" s="89">
        <f>I36/H36</f>
        <v>0.01510558034687399</v>
      </c>
      <c r="K36" s="87">
        <f>'BA'!M38</f>
        <v>34261</v>
      </c>
      <c r="L36" s="87">
        <f>'BA'!AH38</f>
        <v>16499</v>
      </c>
      <c r="M36" s="87">
        <f>'BA'!V38</f>
        <v>11623</v>
      </c>
      <c r="N36" s="87">
        <f>'BA'!AB38</f>
        <v>3287</v>
      </c>
      <c r="O36" s="87"/>
      <c r="P36" s="89">
        <f>K36/$D36</f>
        <v>0.03425401218151497</v>
      </c>
      <c r="Q36" s="89">
        <f>L36/$D36</f>
        <v>0.01649563489048234</v>
      </c>
      <c r="R36" s="89">
        <f>M36/$D36</f>
        <v>0.01162062939160411</v>
      </c>
      <c r="S36" s="89">
        <f>N36/$D36</f>
        <v>0.003286329588763892</v>
      </c>
      <c r="T36" s="87"/>
      <c r="U36" s="89">
        <f>K36/$I36</f>
        <v>0.5217146337749353</v>
      </c>
      <c r="V36" s="89">
        <f>L36/$I36</f>
        <v>0.2512410537536166</v>
      </c>
      <c r="W36" s="89">
        <f>M36/$I36</f>
        <v>0.176991015684483</v>
      </c>
      <c r="X36" s="89">
        <f>N36/$I36</f>
        <v>0.05005329678696513</v>
      </c>
      <c r="Y36" s="84"/>
      <c r="Z36" s="88">
        <v>33002</v>
      </c>
      <c r="AA36" s="88">
        <v>44063</v>
      </c>
      <c r="AB36" s="88">
        <f>SUM(Z36:AA36)</f>
        <v>77065</v>
      </c>
      <c r="AC36" s="89">
        <f>AB36/D36</f>
        <v>0.07704928194648292</v>
      </c>
      <c r="AD36" s="84"/>
      <c r="AE36" s="87">
        <f>AB36-I36</f>
        <v>11395</v>
      </c>
      <c r="AF36" s="89">
        <f>AE36/D36</f>
        <v>0.0113926758941176</v>
      </c>
    </row>
    <row r="37" ht="13.65" customHeight="1">
      <c r="A37" s="85">
        <f>'BA'!A39</f>
        <v>31929</v>
      </c>
      <c r="B37" s="86">
        <v>1987</v>
      </c>
      <c r="C37" s="87">
        <f>'BA'!B39</f>
        <v>1005021</v>
      </c>
      <c r="D37" s="87">
        <f>C37</f>
        <v>1005021</v>
      </c>
      <c r="E37" s="84"/>
      <c r="F37" s="103"/>
      <c r="G37" s="97">
        <v>21478</v>
      </c>
      <c r="H37" s="98">
        <f>G37*1000/5</f>
        <v>4295600</v>
      </c>
      <c r="I37" s="87">
        <f>K37+L37+M37+N37</f>
        <v>67140</v>
      </c>
      <c r="J37" s="89">
        <f>I37/H37</f>
        <v>0.01562994692243226</v>
      </c>
      <c r="K37" s="87">
        <f>'BA'!M39</f>
        <v>35220</v>
      </c>
      <c r="L37" s="87">
        <f>'BA'!AH39</f>
        <v>16876</v>
      </c>
      <c r="M37" s="87">
        <f>'BA'!V39</f>
        <v>11759</v>
      </c>
      <c r="N37" s="87">
        <f>'BA'!AB39</f>
        <v>3285</v>
      </c>
      <c r="O37" s="87"/>
      <c r="P37" s="89">
        <f>K37/$D37</f>
        <v>0.03504404385580003</v>
      </c>
      <c r="Q37" s="89">
        <f>L37/$D37</f>
        <v>0.01679168892988306</v>
      </c>
      <c r="R37" s="89">
        <f>M37/$D37</f>
        <v>0.01170025302953869</v>
      </c>
      <c r="S37" s="89">
        <f>N37/$D37</f>
        <v>0.003268588417555454</v>
      </c>
      <c r="T37" s="87"/>
      <c r="U37" s="89">
        <f>K37/$I37</f>
        <v>0.5245755138516532</v>
      </c>
      <c r="V37" s="89">
        <f>L37/$I37</f>
        <v>0.2513553768245457</v>
      </c>
      <c r="W37" s="89">
        <f>M37/$I37</f>
        <v>0.1751414953827823</v>
      </c>
      <c r="X37" s="89">
        <f>N37/$I37</f>
        <v>0.04892761394101876</v>
      </c>
      <c r="Y37" s="84"/>
      <c r="Z37" s="88">
        <v>33002</v>
      </c>
      <c r="AA37" s="88">
        <v>46724</v>
      </c>
      <c r="AB37" s="88">
        <f>SUM(Z37:AA37)</f>
        <v>79726</v>
      </c>
      <c r="AC37" s="89">
        <f>AB37/D37</f>
        <v>0.0793276956401906</v>
      </c>
      <c r="AD37" s="84"/>
      <c r="AE37" s="87">
        <f>AB37-I37</f>
        <v>12586</v>
      </c>
      <c r="AF37" s="89">
        <f>AE37/D37</f>
        <v>0.01252312140741338</v>
      </c>
    </row>
    <row r="38" ht="13.65" customHeight="1">
      <c r="A38" s="85">
        <f>'BA'!A40</f>
        <v>32295</v>
      </c>
      <c r="B38" s="86">
        <v>1988</v>
      </c>
      <c r="C38" s="87">
        <f>'BA'!B40</f>
        <v>1009223</v>
      </c>
      <c r="D38" s="87">
        <f>C38</f>
        <v>1009223</v>
      </c>
      <c r="E38" s="84"/>
      <c r="F38" s="103"/>
      <c r="G38" s="97">
        <v>20942</v>
      </c>
      <c r="H38" s="98">
        <f>G38*1000/5</f>
        <v>4188400</v>
      </c>
      <c r="I38" s="87">
        <f>K38+L38+M38+N38</f>
        <v>71394</v>
      </c>
      <c r="J38" s="89">
        <f>I38/H38</f>
        <v>0.01704564989017286</v>
      </c>
      <c r="K38" s="87">
        <f>'BA'!M40</f>
        <v>37997</v>
      </c>
      <c r="L38" s="87">
        <f>'BA'!AH40</f>
        <v>18245</v>
      </c>
      <c r="M38" s="87">
        <f>'BA'!V40</f>
        <v>11563</v>
      </c>
      <c r="N38" s="87">
        <f>'BA'!AB40</f>
        <v>3589</v>
      </c>
      <c r="O38" s="87"/>
      <c r="P38" s="89">
        <f>K38/$D38</f>
        <v>0.03764975629766662</v>
      </c>
      <c r="Q38" s="89">
        <f>L38/$D38</f>
        <v>0.01807826416956411</v>
      </c>
      <c r="R38" s="89">
        <f>M38/$D38</f>
        <v>0.01145732905413372</v>
      </c>
      <c r="S38" s="89">
        <f>N38/$D38</f>
        <v>0.003556201156731466</v>
      </c>
      <c r="T38" s="87"/>
      <c r="U38" s="89">
        <f>K38/$I38</f>
        <v>0.5322155923466958</v>
      </c>
      <c r="V38" s="89">
        <f>L38/$I38</f>
        <v>0.2555536879849847</v>
      </c>
      <c r="W38" s="89">
        <f>M38/$I38</f>
        <v>0.1619603888281929</v>
      </c>
      <c r="X38" s="89">
        <f>N38/$I38</f>
        <v>0.05027033084012662</v>
      </c>
      <c r="Y38" s="84"/>
      <c r="Z38" s="88">
        <v>35033</v>
      </c>
      <c r="AA38" s="88">
        <v>48978</v>
      </c>
      <c r="AB38" s="88">
        <f>SUM(Z38:AA38)</f>
        <v>84011</v>
      </c>
      <c r="AC38" s="89">
        <f>AB38/D38</f>
        <v>0.08324324752804881</v>
      </c>
      <c r="AD38" s="84"/>
      <c r="AE38" s="87">
        <f>AB38-I38</f>
        <v>12617</v>
      </c>
      <c r="AF38" s="89">
        <f>AE38/D38</f>
        <v>0.01250169684995288</v>
      </c>
    </row>
    <row r="39" ht="13.65" customHeight="1">
      <c r="A39" s="85">
        <f>'BA'!A41</f>
        <v>32660</v>
      </c>
      <c r="B39" s="86">
        <v>1989</v>
      </c>
      <c r="C39" s="87">
        <f>'BA'!B41</f>
        <v>1030000</v>
      </c>
      <c r="D39" s="87">
        <f>C39</f>
        <v>1030000</v>
      </c>
      <c r="E39" s="84"/>
      <c r="F39" s="103"/>
      <c r="G39" s="97">
        <v>20385</v>
      </c>
      <c r="H39" s="98">
        <f>G39*1000/5</f>
        <v>4077000</v>
      </c>
      <c r="I39" s="87">
        <f>K39+L39+M39+N39</f>
        <v>78109</v>
      </c>
      <c r="J39" s="89">
        <f>I39/H39</f>
        <v>0.01915844984056905</v>
      </c>
      <c r="K39" s="87">
        <f>'BA'!M41</f>
        <v>41631</v>
      </c>
      <c r="L39" s="87">
        <f>'BA'!AH41</f>
        <v>20136</v>
      </c>
      <c r="M39" s="87">
        <f>'BA'!V41</f>
        <v>12469</v>
      </c>
      <c r="N39" s="87">
        <f>'BA'!AB41</f>
        <v>3873</v>
      </c>
      <c r="O39" s="87"/>
      <c r="P39" s="89">
        <f>K39/$D39</f>
        <v>0.04041844660194175</v>
      </c>
      <c r="Q39" s="89">
        <f>L39/$D39</f>
        <v>0.0195495145631068</v>
      </c>
      <c r="R39" s="89">
        <f>M39/$D39</f>
        <v>0.01210582524271845</v>
      </c>
      <c r="S39" s="89">
        <f>N39/$D39</f>
        <v>0.003760194174757282</v>
      </c>
      <c r="T39" s="87"/>
      <c r="U39" s="89">
        <f>K39/$I39</f>
        <v>0.5329859555236912</v>
      </c>
      <c r="V39" s="89">
        <f>L39/$I39</f>
        <v>0.2577935961284871</v>
      </c>
      <c r="W39" s="89">
        <f>M39/$I39</f>
        <v>0.1596358934309747</v>
      </c>
      <c r="X39" s="89">
        <f>N39/$I39</f>
        <v>0.04958455491684697</v>
      </c>
      <c r="Y39" s="84"/>
      <c r="Z39" s="88">
        <v>37896</v>
      </c>
      <c r="AA39" s="88">
        <v>53929</v>
      </c>
      <c r="AB39" s="88">
        <f>SUM(Z39:AA39)</f>
        <v>91825</v>
      </c>
      <c r="AC39" s="89">
        <f>AB39/D39</f>
        <v>0.0891504854368932</v>
      </c>
      <c r="AD39" s="84"/>
      <c r="AE39" s="87">
        <f>AB39-I39</f>
        <v>13716</v>
      </c>
      <c r="AF39" s="89">
        <f>AE39/D39</f>
        <v>0.01331650485436893</v>
      </c>
    </row>
    <row r="40" ht="13.65" customHeight="1">
      <c r="A40" s="85">
        <f>'BA'!A42</f>
        <v>33025</v>
      </c>
      <c r="B40" s="86">
        <v>1990</v>
      </c>
      <c r="C40" s="87">
        <f>'BA'!B42</f>
        <v>1062000</v>
      </c>
      <c r="D40" s="87">
        <f>C40</f>
        <v>1062000</v>
      </c>
      <c r="E40" s="84"/>
      <c r="F40" s="103"/>
      <c r="G40" s="97">
        <v>19846</v>
      </c>
      <c r="H40" s="98">
        <f>G40*1000/5</f>
        <v>3969200</v>
      </c>
      <c r="I40" s="87">
        <f>K40+L40+M40+N40</f>
        <v>85941</v>
      </c>
      <c r="J40" s="89">
        <f>I40/H40</f>
        <v>0.0216519701703114</v>
      </c>
      <c r="K40" s="87">
        <f>'BA'!M42</f>
        <v>46286</v>
      </c>
      <c r="L40" s="87">
        <f>'BA'!AH42</f>
        <v>22266</v>
      </c>
      <c r="M40" s="87">
        <f>'BA'!V42</f>
        <v>13102</v>
      </c>
      <c r="N40" s="87">
        <f>'BA'!AB42</f>
        <v>4287</v>
      </c>
      <c r="O40" s="87"/>
      <c r="P40" s="89">
        <f>K40/$D40</f>
        <v>0.04358380414312617</v>
      </c>
      <c r="Q40" s="89">
        <f>L40/$D40</f>
        <v>0.02096610169491525</v>
      </c>
      <c r="R40" s="89">
        <f>M40/$D40</f>
        <v>0.01233709981167608</v>
      </c>
      <c r="S40" s="89">
        <f>N40/$D40</f>
        <v>0.004036723163841808</v>
      </c>
      <c r="T40" s="87"/>
      <c r="U40" s="89">
        <f>K40/$I40</f>
        <v>0.538578792427363</v>
      </c>
      <c r="V40" s="89">
        <f>L40/$I40</f>
        <v>0.2590847209131846</v>
      </c>
      <c r="W40" s="89">
        <f>M40/$I40</f>
        <v>0.1524534273513224</v>
      </c>
      <c r="X40" s="89">
        <f>N40/$I40</f>
        <v>0.04988305930812999</v>
      </c>
      <c r="Y40" s="84"/>
      <c r="Z40" s="88">
        <v>41457</v>
      </c>
      <c r="AA40" s="88">
        <v>58681</v>
      </c>
      <c r="AB40" s="88">
        <f>SUM(Z40:AA40)</f>
        <v>100138</v>
      </c>
      <c r="AC40" s="89">
        <f>AB40/D40</f>
        <v>0.09429190207156309</v>
      </c>
      <c r="AD40" s="84"/>
      <c r="AE40" s="87">
        <f>AB40-I40</f>
        <v>14197</v>
      </c>
      <c r="AF40" s="89">
        <f>AE40/D40</f>
        <v>0.01336817325800377</v>
      </c>
    </row>
    <row r="41" ht="13.65" customHeight="1">
      <c r="A41" s="85">
        <f>'BA'!A43</f>
        <v>33390</v>
      </c>
      <c r="B41" s="86">
        <v>1991</v>
      </c>
      <c r="C41" s="87">
        <f>'BA'!B43</f>
        <v>1108000</v>
      </c>
      <c r="D41" s="87">
        <f>C41</f>
        <v>1108000</v>
      </c>
      <c r="E41" s="84"/>
      <c r="F41" s="103"/>
      <c r="G41" s="97">
        <v>19442</v>
      </c>
      <c r="H41" s="98">
        <f>G41*1000/5</f>
        <v>3888400</v>
      </c>
      <c r="I41" s="87">
        <f>K41+L41+M41+N41</f>
        <v>94158</v>
      </c>
      <c r="J41" s="89">
        <f>I41/H41</f>
        <v>0.02421510132702397</v>
      </c>
      <c r="K41" s="87">
        <f>'BA'!M43</f>
        <v>50999</v>
      </c>
      <c r="L41" s="87">
        <f>'BA'!AH43</f>
        <v>24593</v>
      </c>
      <c r="M41" s="87">
        <f>'BA'!V43</f>
        <v>13964</v>
      </c>
      <c r="N41" s="87">
        <f>'BA'!AB43</f>
        <v>4602</v>
      </c>
      <c r="O41" s="87"/>
      <c r="P41" s="89">
        <f>K41/$D41</f>
        <v>0.04602797833935018</v>
      </c>
      <c r="Q41" s="89">
        <f>L41/$D41</f>
        <v>0.02219584837545126</v>
      </c>
      <c r="R41" s="89">
        <f>M41/$D41</f>
        <v>0.0126028880866426</v>
      </c>
      <c r="S41" s="89">
        <f>N41/$D41</f>
        <v>0.004153429602888087</v>
      </c>
      <c r="T41" s="87"/>
      <c r="U41" s="89">
        <f>K41/$I41</f>
        <v>0.5416321502155951</v>
      </c>
      <c r="V41" s="89">
        <f>L41/$I41</f>
        <v>0.2611886403704411</v>
      </c>
      <c r="W41" s="89">
        <f>M41/$I41</f>
        <v>0.1483039146965738</v>
      </c>
      <c r="X41" s="89">
        <f>N41/$I41</f>
        <v>0.04887529471738992</v>
      </c>
      <c r="Y41" s="84"/>
      <c r="Z41" s="88">
        <v>45412</v>
      </c>
      <c r="AA41" s="88">
        <v>64563</v>
      </c>
      <c r="AB41" s="88">
        <f>SUM(Z41:AA41)</f>
        <v>109975</v>
      </c>
      <c r="AC41" s="89">
        <f>AB41/D41</f>
        <v>0.09925541516245487</v>
      </c>
      <c r="AD41" s="84"/>
      <c r="AE41" s="87">
        <f>AB41-I41</f>
        <v>15817</v>
      </c>
      <c r="AF41" s="89">
        <f>AE41/D41</f>
        <v>0.01427527075812274</v>
      </c>
    </row>
    <row r="42" ht="13.65" customHeight="1">
      <c r="A42" s="85">
        <f>'BA'!A44</f>
        <v>33756</v>
      </c>
      <c r="B42" s="86">
        <v>1992</v>
      </c>
      <c r="C42" s="87">
        <f>'BA'!B44</f>
        <v>1150000</v>
      </c>
      <c r="D42" s="87">
        <f>C42</f>
        <v>1150000</v>
      </c>
      <c r="E42" s="84"/>
      <c r="F42" s="103"/>
      <c r="G42" s="97">
        <v>19323</v>
      </c>
      <c r="H42" s="98">
        <f>G42*1000/5</f>
        <v>3864600</v>
      </c>
      <c r="I42" s="87">
        <f>K42+L42+M42+N42</f>
        <v>100797</v>
      </c>
      <c r="J42" s="89">
        <f>I42/H42</f>
        <v>0.02608213010402111</v>
      </c>
      <c r="K42" s="87">
        <f>'BA'!M44</f>
        <v>54195</v>
      </c>
      <c r="L42" s="87">
        <f>'BA'!AH44</f>
        <v>27027</v>
      </c>
      <c r="M42" s="87">
        <f>'BA'!V44</f>
        <v>14705</v>
      </c>
      <c r="N42" s="87">
        <f>'BA'!AB44</f>
        <v>4870</v>
      </c>
      <c r="O42" s="87"/>
      <c r="P42" s="89">
        <f>K42/$D42</f>
        <v>0.04712608695652174</v>
      </c>
      <c r="Q42" s="89">
        <f>L42/$D42</f>
        <v>0.02350173913043478</v>
      </c>
      <c r="R42" s="89">
        <f>M42/$D42</f>
        <v>0.01278695652173913</v>
      </c>
      <c r="S42" s="89">
        <f>N42/$D42</f>
        <v>0.004234782608695652</v>
      </c>
      <c r="T42" s="87"/>
      <c r="U42" s="89">
        <f>K42/$I42</f>
        <v>0.5376648114527218</v>
      </c>
      <c r="V42" s="89">
        <f>L42/$I42</f>
        <v>0.2681329801482187</v>
      </c>
      <c r="W42" s="89">
        <f>M42/$I42</f>
        <v>0.145887278391222</v>
      </c>
      <c r="X42" s="89">
        <f>N42/$I42</f>
        <v>0.04831493000783754</v>
      </c>
      <c r="Y42" s="84"/>
      <c r="Z42" s="88">
        <v>49381</v>
      </c>
      <c r="AA42" s="88">
        <v>69647</v>
      </c>
      <c r="AB42" s="88">
        <f>SUM(Z42:AA42)</f>
        <v>119028</v>
      </c>
      <c r="AC42" s="89">
        <f>AB42/D42</f>
        <v>0.1035026086956522</v>
      </c>
      <c r="AD42" s="84"/>
      <c r="AE42" s="87">
        <f>AB42-I42</f>
        <v>18231</v>
      </c>
      <c r="AF42" s="89">
        <f>AE42/D42</f>
        <v>0.01585304347826087</v>
      </c>
    </row>
    <row r="43" ht="13.65" customHeight="1">
      <c r="A43" s="85">
        <f>'BA'!A45</f>
        <v>34121</v>
      </c>
      <c r="B43" s="86">
        <v>1993</v>
      </c>
      <c r="C43" s="87">
        <f>'BA'!B45</f>
        <v>1179000</v>
      </c>
      <c r="D43" s="87">
        <f>C43</f>
        <v>1179000</v>
      </c>
      <c r="E43" s="84"/>
      <c r="F43" s="103"/>
      <c r="G43" s="97">
        <v>19414</v>
      </c>
      <c r="H43" s="98">
        <f>G43*1000/5</f>
        <v>3882800</v>
      </c>
      <c r="I43" s="87">
        <f>K43+L43+M43+N43</f>
        <v>103324</v>
      </c>
      <c r="J43" s="89">
        <f>I43/H43</f>
        <v>0.02661069331410322</v>
      </c>
      <c r="K43" s="87">
        <f>'BA'!M45</f>
        <v>55255</v>
      </c>
      <c r="L43" s="87">
        <f>'BA'!AH45</f>
        <v>27821</v>
      </c>
      <c r="M43" s="87">
        <f>'BA'!V45</f>
        <v>15383</v>
      </c>
      <c r="N43" s="87">
        <f>'BA'!AB45</f>
        <v>4865</v>
      </c>
      <c r="O43" s="87"/>
      <c r="P43" s="89">
        <f>K43/$D43</f>
        <v>0.04686598812553011</v>
      </c>
      <c r="Q43" s="89">
        <f>L43/$D43</f>
        <v>0.02359711620016964</v>
      </c>
      <c r="R43" s="89">
        <f>M43/$D43</f>
        <v>0.01304749787955895</v>
      </c>
      <c r="S43" s="89">
        <f>N43/$D43</f>
        <v>0.00412637828668363</v>
      </c>
      <c r="T43" s="87"/>
      <c r="U43" s="89">
        <f>K43/$I43</f>
        <v>0.5347741086291665</v>
      </c>
      <c r="V43" s="89">
        <f>L43/$I43</f>
        <v>0.2692598041113391</v>
      </c>
      <c r="W43" s="89">
        <f>M43/$I43</f>
        <v>0.1488811892687081</v>
      </c>
      <c r="X43" s="89">
        <f>N43/$I43</f>
        <v>0.04708489799078627</v>
      </c>
      <c r="Y43" s="84"/>
      <c r="Z43" s="88">
        <v>51099</v>
      </c>
      <c r="AA43" s="88">
        <v>70017</v>
      </c>
      <c r="AB43" s="88">
        <f>SUM(Z43:AA43)</f>
        <v>121116</v>
      </c>
      <c r="AC43" s="89">
        <f>AB43/D43</f>
        <v>0.1027277353689567</v>
      </c>
      <c r="AD43" s="84"/>
      <c r="AE43" s="87">
        <f>AB43-I43</f>
        <v>17792</v>
      </c>
      <c r="AF43" s="89">
        <f>AE43/D43</f>
        <v>0.01509075487701442</v>
      </c>
    </row>
    <row r="44" ht="13.65" customHeight="1">
      <c r="A44" s="85">
        <f>'BA'!A46</f>
        <v>34486</v>
      </c>
      <c r="B44" s="86">
        <v>1994</v>
      </c>
      <c r="C44" s="87">
        <f>'BA'!B46</f>
        <v>1191139</v>
      </c>
      <c r="D44" s="87">
        <f>C44</f>
        <v>1191139</v>
      </c>
      <c r="E44" s="84"/>
      <c r="F44" s="103"/>
      <c r="G44" s="97">
        <v>19314</v>
      </c>
      <c r="H44" s="98">
        <f>G44*1000/5</f>
        <v>3862800</v>
      </c>
      <c r="I44" s="87">
        <f>K44+L44+M44+N44</f>
        <v>100661</v>
      </c>
      <c r="J44" s="89">
        <f>I44/H44</f>
        <v>0.02605907631769701</v>
      </c>
      <c r="K44" s="87">
        <f>'BA'!M46</f>
        <v>53079</v>
      </c>
      <c r="L44" s="87">
        <f>'BA'!AH46</f>
        <v>27561</v>
      </c>
      <c r="M44" s="87">
        <f>'BA'!V46</f>
        <v>15304</v>
      </c>
      <c r="N44" s="87">
        <f>'BA'!AB46</f>
        <v>4717</v>
      </c>
      <c r="O44" s="87"/>
      <c r="P44" s="89">
        <f>K44/$D44</f>
        <v>0.04456154991147129</v>
      </c>
      <c r="Q44" s="89">
        <f>L44/$D44</f>
        <v>0.02313835748808494</v>
      </c>
      <c r="R44" s="89">
        <f>M44/$D44</f>
        <v>0.0128482066324753</v>
      </c>
      <c r="S44" s="89">
        <f>N44/$D44</f>
        <v>0.003960075188538029</v>
      </c>
      <c r="T44" s="87"/>
      <c r="U44" s="89">
        <f>K44/$I44</f>
        <v>0.5273045171416934</v>
      </c>
      <c r="V44" s="89">
        <f>L44/$I44</f>
        <v>0.2738001808048797</v>
      </c>
      <c r="W44" s="89">
        <f>M44/$I44</f>
        <v>0.1520350483305352</v>
      </c>
      <c r="X44" s="89">
        <f>N44/$I44</f>
        <v>0.04686025372289169</v>
      </c>
      <c r="Y44" s="84"/>
      <c r="Z44" s="88">
        <v>50137</v>
      </c>
      <c r="AA44" s="88">
        <v>67528</v>
      </c>
      <c r="AB44" s="88">
        <f>SUM(Z44:AA44)</f>
        <v>117665</v>
      </c>
      <c r="AC44" s="89">
        <f>AB44/D44</f>
        <v>0.09878360124217241</v>
      </c>
      <c r="AD44" s="84"/>
      <c r="AE44" s="87">
        <f>AB44-I44</f>
        <v>17004</v>
      </c>
      <c r="AF44" s="89">
        <f>AE44/D44</f>
        <v>0.01427541202160285</v>
      </c>
    </row>
    <row r="45" ht="13.65" customHeight="1">
      <c r="A45" s="85">
        <f>'BA'!A47</f>
        <v>34851</v>
      </c>
      <c r="B45" s="86">
        <v>1995</v>
      </c>
      <c r="C45" s="87">
        <f>'BA'!B47</f>
        <v>1182780</v>
      </c>
      <c r="D45" s="87">
        <f>C45</f>
        <v>1182780</v>
      </c>
      <c r="E45" s="84"/>
      <c r="F45" s="103"/>
      <c r="G45" s="97">
        <v>19101</v>
      </c>
      <c r="H45" s="98">
        <f>G45*1000/5</f>
        <v>3820200</v>
      </c>
      <c r="I45" s="87">
        <f>K45+L45+M45+N45</f>
        <v>96818</v>
      </c>
      <c r="J45" s="89">
        <f>I45/H45</f>
        <v>0.02534369928276007</v>
      </c>
      <c r="K45" s="87">
        <f>'BA'!M47</f>
        <v>51056</v>
      </c>
      <c r="L45" s="87">
        <f>'BA'!AH47</f>
        <v>26643</v>
      </c>
      <c r="M45" s="87">
        <f>'BA'!V47</f>
        <v>14658</v>
      </c>
      <c r="N45" s="87">
        <f>'BA'!AB47</f>
        <v>4461</v>
      </c>
      <c r="O45" s="87"/>
      <c r="P45" s="89">
        <f>K45/$D45</f>
        <v>0.04316610020460272</v>
      </c>
      <c r="Q45" s="89">
        <f>L45/$D45</f>
        <v>0.02252574443260792</v>
      </c>
      <c r="R45" s="89">
        <f>M45/$D45</f>
        <v>0.0123928372140212</v>
      </c>
      <c r="S45" s="89">
        <f>N45/$D45</f>
        <v>0.003771622786993355</v>
      </c>
      <c r="T45" s="87"/>
      <c r="U45" s="89">
        <f>K45/$I45</f>
        <v>0.5273399574459294</v>
      </c>
      <c r="V45" s="89">
        <f>L45/$I45</f>
        <v>0.2751864322749902</v>
      </c>
      <c r="W45" s="89">
        <f>M45/$I45</f>
        <v>0.1513974674130844</v>
      </c>
      <c r="X45" s="89">
        <f>N45/$I45</f>
        <v>0.04607614286599599</v>
      </c>
      <c r="Y45" s="84"/>
      <c r="Z45" s="88">
        <v>49595</v>
      </c>
      <c r="AA45" s="88">
        <v>66405</v>
      </c>
      <c r="AB45" s="88">
        <f>SUM(Z45:AA45)</f>
        <v>116000</v>
      </c>
      <c r="AC45" s="89">
        <f>AB45/D45</f>
        <v>0.09807402898256649</v>
      </c>
      <c r="AD45" s="84"/>
      <c r="AE45" s="87">
        <f>AB45-I45</f>
        <v>19182</v>
      </c>
      <c r="AF45" s="89">
        <f>AE45/D45</f>
        <v>0.0162177243443413</v>
      </c>
    </row>
    <row r="46" ht="13.65" customHeight="1">
      <c r="A46" s="85">
        <f>'BA'!A48</f>
        <v>35217</v>
      </c>
      <c r="B46" s="86">
        <v>1996</v>
      </c>
      <c r="C46" s="87">
        <f>'BA'!B48</f>
        <v>1181637</v>
      </c>
      <c r="D46" s="87">
        <f>C46</f>
        <v>1181637</v>
      </c>
      <c r="E46" s="84"/>
      <c r="F46" s="103"/>
      <c r="G46" s="97">
        <v>18758</v>
      </c>
      <c r="H46" s="98">
        <f>G46*1000/5</f>
        <v>3751600</v>
      </c>
      <c r="I46" s="87">
        <f>K46+L46+M46+N46</f>
        <v>95431</v>
      </c>
      <c r="J46" s="89">
        <f>I46/H46</f>
        <v>0.02543741337029534</v>
      </c>
      <c r="K46" s="87">
        <f>'BA'!M48</f>
        <v>49843</v>
      </c>
      <c r="L46" s="87">
        <f>'BA'!AH48</f>
        <v>26064</v>
      </c>
      <c r="M46" s="87">
        <f>'BA'!V48</f>
        <v>14937</v>
      </c>
      <c r="N46" s="87">
        <f>'BA'!AB48</f>
        <v>4587</v>
      </c>
      <c r="O46" s="87"/>
      <c r="P46" s="89">
        <f>K46/$D46</f>
        <v>0.04218131287358131</v>
      </c>
      <c r="Q46" s="89">
        <f>L46/$D46</f>
        <v>0.02205753543600954</v>
      </c>
      <c r="R46" s="89">
        <f>M46/$D46</f>
        <v>0.01264093795302618</v>
      </c>
      <c r="S46" s="89">
        <f>N46/$D46</f>
        <v>0.003881902817870463</v>
      </c>
      <c r="T46" s="87"/>
      <c r="U46" s="89">
        <f>K46/$I46</f>
        <v>0.5222935943246954</v>
      </c>
      <c r="V46" s="89">
        <f>L46/$I46</f>
        <v>0.2731187978749044</v>
      </c>
      <c r="W46" s="89">
        <f>M46/$I46</f>
        <v>0.1565214657710807</v>
      </c>
      <c r="X46" s="89">
        <f>N46/$I46</f>
        <v>0.04806614202931962</v>
      </c>
      <c r="Y46" s="84"/>
      <c r="Z46" s="88">
        <v>48522</v>
      </c>
      <c r="AA46" s="88">
        <v>66430</v>
      </c>
      <c r="AB46" s="88">
        <f>SUM(Z46:AA46)</f>
        <v>114952</v>
      </c>
      <c r="AC46" s="89">
        <f>AB46/D46</f>
        <v>0.09728199100062032</v>
      </c>
      <c r="AD46" s="84"/>
      <c r="AE46" s="87">
        <f>AB46-I46</f>
        <v>19521</v>
      </c>
      <c r="AF46" s="89">
        <f>AE46/D46</f>
        <v>0.01652030192013283</v>
      </c>
    </row>
    <row r="47" ht="13.65" customHeight="1">
      <c r="A47" s="85">
        <f>'BA'!A49</f>
        <v>35582</v>
      </c>
      <c r="B47" s="86">
        <v>1997</v>
      </c>
      <c r="C47" s="87">
        <f>'BA'!B49</f>
        <v>1188385</v>
      </c>
      <c r="D47" s="87">
        <f>C47</f>
        <v>1188385</v>
      </c>
      <c r="E47" s="84"/>
      <c r="F47" s="103"/>
      <c r="G47" s="97">
        <v>18391</v>
      </c>
      <c r="H47" s="98">
        <f>G47*1000/5</f>
        <v>3678200</v>
      </c>
      <c r="I47" s="87">
        <f>K47+L47+M47+N47</f>
        <v>92902</v>
      </c>
      <c r="J47" s="89">
        <f>I47/H47</f>
        <v>0.0252574628894568</v>
      </c>
      <c r="K47" s="87">
        <f>'BA'!M49</f>
        <v>48526</v>
      </c>
      <c r="L47" s="87">
        <f>'BA'!AH49</f>
        <v>25276</v>
      </c>
      <c r="M47" s="87">
        <f>'BA'!V49</f>
        <v>14562</v>
      </c>
      <c r="N47" s="87">
        <f>'BA'!AB49</f>
        <v>4538</v>
      </c>
      <c r="O47" s="87"/>
      <c r="P47" s="89">
        <f>K47/$D47</f>
        <v>0.04083356824598089</v>
      </c>
      <c r="Q47" s="89">
        <f>L47/$D47</f>
        <v>0.02126920147931857</v>
      </c>
      <c r="R47" s="89">
        <f>M47/$D47</f>
        <v>0.01225360468198437</v>
      </c>
      <c r="S47" s="89">
        <f>N47/$D47</f>
        <v>0.003818627801596284</v>
      </c>
      <c r="T47" s="87"/>
      <c r="U47" s="89">
        <f>K47/$I47</f>
        <v>0.5223353641471659</v>
      </c>
      <c r="V47" s="89">
        <f>L47/$I47</f>
        <v>0.2720716453897656</v>
      </c>
      <c r="W47" s="89">
        <f>M47/$I47</f>
        <v>0.1567458181739898</v>
      </c>
      <c r="X47" s="89">
        <f>N47/$I47</f>
        <v>0.04884717228907882</v>
      </c>
      <c r="Y47" s="84"/>
      <c r="Z47" s="88">
        <v>47361</v>
      </c>
      <c r="AA47" s="88">
        <v>64929</v>
      </c>
      <c r="AB47" s="88">
        <f>SUM(Z47:AA47)</f>
        <v>112290</v>
      </c>
      <c r="AC47" s="89">
        <f>AB47/D47</f>
        <v>0.09448958039692523</v>
      </c>
      <c r="AD47" s="84"/>
      <c r="AE47" s="87">
        <f>AB47-I47</f>
        <v>19388</v>
      </c>
      <c r="AF47" s="89">
        <f>AE47/D47</f>
        <v>0.01631457818804512</v>
      </c>
    </row>
    <row r="48" ht="13.65" customHeight="1">
      <c r="A48" s="85">
        <f>'BA'!A50</f>
        <v>35947</v>
      </c>
      <c r="B48" s="86">
        <v>1998</v>
      </c>
      <c r="C48" s="87">
        <f>'BA'!B50</f>
        <v>1203827</v>
      </c>
      <c r="D48" s="87">
        <f>C48</f>
        <v>1203827</v>
      </c>
      <c r="E48" s="84"/>
      <c r="F48" s="103"/>
      <c r="G48" s="97">
        <v>17965</v>
      </c>
      <c r="H48" s="98">
        <f>G48*1000/5</f>
        <v>3593000</v>
      </c>
      <c r="I48" s="87">
        <f>K48+L48+M48+N48</f>
        <v>94848</v>
      </c>
      <c r="J48" s="89">
        <f>I48/H48</f>
        <v>0.02639799610353465</v>
      </c>
      <c r="K48" s="87">
        <f>'BA'!M50</f>
        <v>48861</v>
      </c>
      <c r="L48" s="87">
        <f>'BA'!AH50</f>
        <v>25797</v>
      </c>
      <c r="M48" s="87">
        <f>'BA'!V50</f>
        <v>15319</v>
      </c>
      <c r="N48" s="87">
        <f>'BA'!AB50</f>
        <v>4871</v>
      </c>
      <c r="O48" s="87"/>
      <c r="P48" s="89">
        <f>K48/$D48</f>
        <v>0.0405880579186212</v>
      </c>
      <c r="Q48" s="89">
        <f>L48/$D48</f>
        <v>0.0214291588409298</v>
      </c>
      <c r="R48" s="89">
        <f>M48/$D48</f>
        <v>0.01272525038896785</v>
      </c>
      <c r="S48" s="89">
        <f>N48/$D48</f>
        <v>0.004046262461300502</v>
      </c>
      <c r="T48" s="87"/>
      <c r="U48" s="89">
        <f>K48/$I48</f>
        <v>0.515150556680162</v>
      </c>
      <c r="V48" s="89">
        <f>L48/$I48</f>
        <v>0.27198254048583</v>
      </c>
      <c r="W48" s="89">
        <f>M48/$I48</f>
        <v>0.1615110492577598</v>
      </c>
      <c r="X48" s="89">
        <f>N48/$I48</f>
        <v>0.05135585357624831</v>
      </c>
      <c r="Y48" s="84"/>
      <c r="Z48" s="88">
        <v>48006</v>
      </c>
      <c r="AA48" s="88">
        <v>66913</v>
      </c>
      <c r="AB48" s="88">
        <f>SUM(Z48:AA48)</f>
        <v>114919</v>
      </c>
      <c r="AC48" s="89">
        <f>AB48/D48</f>
        <v>0.09546139104705244</v>
      </c>
      <c r="AD48" s="84"/>
      <c r="AE48" s="87">
        <f>AB48-I48</f>
        <v>20071</v>
      </c>
      <c r="AF48" s="89">
        <f>AE48/D48</f>
        <v>0.01667266143723309</v>
      </c>
    </row>
    <row r="49" ht="13.65" customHeight="1">
      <c r="A49" s="85">
        <f>'BA'!A51</f>
        <v>36678</v>
      </c>
      <c r="B49" s="86">
        <v>1999</v>
      </c>
      <c r="C49" s="87">
        <f>'BA'!B51</f>
        <v>1259231</v>
      </c>
      <c r="D49" s="87">
        <f>C49</f>
        <v>1259231</v>
      </c>
      <c r="E49" s="84"/>
      <c r="F49" s="103"/>
      <c r="G49" s="97">
        <v>18250</v>
      </c>
      <c r="H49" s="98">
        <f>G49*1000/5</f>
        <v>3650000</v>
      </c>
      <c r="I49" s="87">
        <f>K49+L49+M49+N49</f>
        <v>96048</v>
      </c>
      <c r="J49" s="89">
        <f>I49/H49</f>
        <v>0.0263145205479452</v>
      </c>
      <c r="K49" s="87">
        <f>'BA'!M51</f>
        <v>49912</v>
      </c>
      <c r="L49" s="87">
        <f>'BA'!AH51</f>
        <v>25324</v>
      </c>
      <c r="M49" s="87">
        <f>'BA'!V51</f>
        <v>16005</v>
      </c>
      <c r="N49" s="87">
        <f>'BA'!AB51</f>
        <v>4807</v>
      </c>
      <c r="O49" s="87"/>
      <c r="P49" s="89">
        <f>K49/$D49</f>
        <v>0.03963688949843198</v>
      </c>
      <c r="Q49" s="89">
        <f>L49/$D49</f>
        <v>0.02011068660158462</v>
      </c>
      <c r="R49" s="89">
        <f>M49/$D49</f>
        <v>0.01271013817163015</v>
      </c>
      <c r="S49" s="89">
        <f>N49/$D49</f>
        <v>0.003817409196565205</v>
      </c>
      <c r="T49" s="87"/>
      <c r="U49" s="89">
        <f>K49/$I49</f>
        <v>0.5196568382475429</v>
      </c>
      <c r="V49" s="89">
        <f>L49/$I49</f>
        <v>0.2636598367482925</v>
      </c>
      <c r="W49" s="89">
        <f>M49/$I49</f>
        <v>0.1666354322838581</v>
      </c>
      <c r="X49" s="89">
        <f>N49/$I49</f>
        <v>0.05004789272030651</v>
      </c>
      <c r="Y49" s="84"/>
      <c r="Z49" s="88">
        <v>46657</v>
      </c>
      <c r="AA49" s="88">
        <v>68847</v>
      </c>
      <c r="AB49" s="88">
        <f>SUM(Z49:AA49)</f>
        <v>115504</v>
      </c>
      <c r="AC49" s="89">
        <f>AB49/D49</f>
        <v>0.09172582314126637</v>
      </c>
      <c r="AD49" s="84"/>
      <c r="AE49" s="87">
        <f>AB49-I49</f>
        <v>19456</v>
      </c>
      <c r="AF49" s="89">
        <f>AE49/D49</f>
        <v>0.01545069967305443</v>
      </c>
    </row>
    <row r="50" ht="13.65" customHeight="1">
      <c r="A50" s="85">
        <f>'BA'!A52</f>
        <v>37043</v>
      </c>
      <c r="B50" s="86">
        <v>2000</v>
      </c>
      <c r="C50" s="87">
        <f>'BA'!B52</f>
        <v>1319233</v>
      </c>
      <c r="D50" s="87">
        <f>C50</f>
        <v>1319233</v>
      </c>
      <c r="E50" s="84"/>
      <c r="F50" s="103"/>
      <c r="G50" s="97">
        <v>18672</v>
      </c>
      <c r="H50" s="98">
        <f>G50*1000/5</f>
        <v>3734400</v>
      </c>
      <c r="I50" s="87">
        <f>K50+L50+M50+N50</f>
        <v>107070</v>
      </c>
      <c r="J50" s="89">
        <f>I50/H50</f>
        <v>0.02867127249357326</v>
      </c>
      <c r="K50" s="87">
        <f>'BA'!M52</f>
        <v>53142</v>
      </c>
      <c r="L50" s="87">
        <f>'BA'!AH52</f>
        <v>27236</v>
      </c>
      <c r="M50" s="87">
        <f>'BA'!V52</f>
        <v>20810</v>
      </c>
      <c r="N50" s="87">
        <f>'BA'!AB52</f>
        <v>5882</v>
      </c>
      <c r="O50" s="87"/>
      <c r="P50" s="89">
        <f>K50/$D50</f>
        <v>0.04028249748149114</v>
      </c>
      <c r="Q50" s="89">
        <f>L50/$D50</f>
        <v>0.02064532952101714</v>
      </c>
      <c r="R50" s="89">
        <f>M50/$D50</f>
        <v>0.01577431734955084</v>
      </c>
      <c r="S50" s="89">
        <f>N50/$D50</f>
        <v>0.004458651352717829</v>
      </c>
      <c r="T50" s="87"/>
      <c r="U50" s="89">
        <f>K50/$I50</f>
        <v>0.4963295040627627</v>
      </c>
      <c r="V50" s="89">
        <f>L50/$I50</f>
        <v>0.2543756421032969</v>
      </c>
      <c r="W50" s="89">
        <f>M50/$I50</f>
        <v>0.1943588306715233</v>
      </c>
      <c r="X50" s="89">
        <f>N50/$I50</f>
        <v>0.05493602316241711</v>
      </c>
      <c r="Y50" s="84"/>
      <c r="Z50" s="88">
        <v>51458</v>
      </c>
      <c r="AA50" s="88">
        <v>78405</v>
      </c>
      <c r="AB50" s="88">
        <f>SUM(Z50:AA50)</f>
        <v>129863</v>
      </c>
      <c r="AC50" s="89">
        <f>AB50/D50</f>
        <v>0.09843825920061126</v>
      </c>
      <c r="AD50" s="84"/>
      <c r="AE50" s="87">
        <f>AB50-I50</f>
        <v>22793</v>
      </c>
      <c r="AF50" s="89">
        <f>AE50/D50</f>
        <v>0.01727746349583432</v>
      </c>
    </row>
    <row r="51" ht="12" customHeight="1">
      <c r="A51" s="85">
        <f>'BA'!A53</f>
        <v>37408</v>
      </c>
      <c r="B51" s="86">
        <v>2001</v>
      </c>
      <c r="C51" s="87">
        <f>'BA'!B53</f>
        <v>1375026</v>
      </c>
      <c r="D51" s="87">
        <f>C51</f>
        <v>1375026</v>
      </c>
      <c r="E51" s="84"/>
      <c r="F51" s="103"/>
      <c r="G51" s="97">
        <v>19045</v>
      </c>
      <c r="H51" s="98">
        <f>G51*1000/5</f>
        <v>3809000</v>
      </c>
      <c r="I51" s="87">
        <f>K51+L51+M51+N51</f>
        <v>111965</v>
      </c>
      <c r="J51" s="89">
        <f>I51/H51</f>
        <v>0.02939485429246521</v>
      </c>
      <c r="K51" s="87">
        <f>'BA'!M53</f>
        <v>55148</v>
      </c>
      <c r="L51" s="87">
        <f>'BA'!AH53</f>
        <v>28467</v>
      </c>
      <c r="M51" s="87">
        <f>'BA'!V53</f>
        <v>21759</v>
      </c>
      <c r="N51" s="87">
        <f>'BA'!AB53</f>
        <v>6591</v>
      </c>
      <c r="O51" s="87"/>
      <c r="P51" s="89">
        <f>K51/$D51</f>
        <v>0.04010687797903458</v>
      </c>
      <c r="Q51" s="89">
        <f>L51/$D51</f>
        <v>0.020702881254609</v>
      </c>
      <c r="R51" s="89">
        <f>M51/$D51</f>
        <v>0.01582442804717875</v>
      </c>
      <c r="S51" s="89">
        <f>N51/$D51</f>
        <v>0.004793363907300662</v>
      </c>
      <c r="T51" s="87"/>
      <c r="U51" s="89">
        <f>K51/$I51</f>
        <v>0.4925467780109856</v>
      </c>
      <c r="V51" s="89">
        <f>L51/$I51</f>
        <v>0.254249095699549</v>
      </c>
      <c r="W51" s="89">
        <f>M51/$I51</f>
        <v>0.1943375161880945</v>
      </c>
      <c r="X51" s="89">
        <f>N51/$I51</f>
        <v>0.05886661010137097</v>
      </c>
      <c r="Y51" s="84"/>
      <c r="Z51" s="88">
        <v>53920</v>
      </c>
      <c r="AA51" s="88">
        <v>82194</v>
      </c>
      <c r="AB51" s="88">
        <f>SUM(Z51:AA51)</f>
        <v>136114</v>
      </c>
      <c r="AC51" s="89">
        <f>AB51/D51</f>
        <v>0.09899012818666701</v>
      </c>
      <c r="AD51" s="84"/>
      <c r="AE51" s="87">
        <f>AB51-I51</f>
        <v>24149</v>
      </c>
      <c r="AF51" s="89">
        <f>AE51/D51</f>
        <v>0.01756257699854403</v>
      </c>
    </row>
    <row r="52" ht="13.65" customHeight="1">
      <c r="A52" s="84"/>
      <c r="B52" s="84"/>
      <c r="C52" s="87"/>
      <c r="D52" s="87"/>
      <c r="E52" s="84"/>
      <c r="F52" s="87"/>
      <c r="G52" s="84"/>
      <c r="H52" s="84"/>
      <c r="I52" s="87"/>
      <c r="J52" s="84"/>
      <c r="K52" s="87"/>
      <c r="L52" s="87"/>
      <c r="M52" s="87"/>
      <c r="N52" s="87"/>
      <c r="O52" s="87"/>
      <c r="P52" s="84"/>
      <c r="Q52" s="84"/>
      <c r="R52" s="84"/>
      <c r="S52" s="84"/>
      <c r="T52" s="87"/>
      <c r="U52" s="89"/>
      <c r="V52" s="89"/>
      <c r="W52" s="89"/>
      <c r="X52" s="89"/>
      <c r="Y52" s="84"/>
      <c r="Z52" s="84"/>
      <c r="AA52" s="84"/>
      <c r="AB52" s="84"/>
      <c r="AC52" s="89"/>
      <c r="AD52" s="84"/>
      <c r="AE52" s="84"/>
      <c r="AF52" s="84"/>
    </row>
    <row r="53" ht="13.65" customHeight="1">
      <c r="A53" s="84"/>
      <c r="B53" s="84"/>
      <c r="C53" s="87"/>
      <c r="D53" s="87"/>
      <c r="E53" s="84"/>
      <c r="F53" s="87"/>
      <c r="G53" s="84"/>
      <c r="H53" s="84"/>
      <c r="I53" s="87"/>
      <c r="J53" s="84"/>
      <c r="K53" s="87"/>
      <c r="L53" s="87"/>
      <c r="M53" s="87"/>
      <c r="N53" s="87"/>
      <c r="O53" s="87"/>
      <c r="P53" s="84"/>
      <c r="Q53" s="84"/>
      <c r="R53" s="84"/>
      <c r="S53" s="84"/>
      <c r="T53" s="87"/>
      <c r="U53" s="89"/>
      <c r="V53" s="89"/>
      <c r="W53" s="89"/>
      <c r="X53" s="89"/>
      <c r="Y53" s="84"/>
      <c r="Z53" s="84"/>
      <c r="AA53" s="84"/>
      <c r="AB53" s="84"/>
      <c r="AC53" s="89"/>
      <c r="AD53" s="84"/>
      <c r="AE53" s="84"/>
      <c r="AF53" s="84"/>
    </row>
    <row r="54" ht="13.65" customHeight="1">
      <c r="A54" s="84"/>
      <c r="B54" s="84"/>
      <c r="C54" s="87"/>
      <c r="D54" s="87"/>
      <c r="E54" s="84"/>
      <c r="F54" s="87"/>
      <c r="G54" s="84"/>
      <c r="H54" s="84"/>
      <c r="I54" s="87"/>
      <c r="J54" s="84"/>
      <c r="K54" s="87"/>
      <c r="L54" s="87"/>
      <c r="M54" s="87"/>
      <c r="N54" s="87"/>
      <c r="O54" s="87"/>
      <c r="P54" s="84"/>
      <c r="Q54" s="84"/>
      <c r="R54" s="84"/>
      <c r="S54" s="84"/>
      <c r="T54" s="87"/>
      <c r="U54" s="89"/>
      <c r="V54" s="89"/>
      <c r="W54" s="89"/>
      <c r="X54" s="89"/>
      <c r="Y54" s="84"/>
      <c r="Z54" s="84"/>
      <c r="AA54" s="84"/>
      <c r="AB54" s="84"/>
      <c r="AC54" s="89"/>
      <c r="AD54" s="84"/>
      <c r="AE54" s="84"/>
      <c r="AF54" s="84"/>
    </row>
    <row r="55" ht="13.65"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4"/>
      <c r="AC55" s="89"/>
      <c r="AD55" s="84"/>
      <c r="AE55" s="84"/>
      <c r="AF55" s="84"/>
    </row>
    <row r="56" ht="13.65" customHeight="1">
      <c r="A56" t="s" s="83">
        <v>55</v>
      </c>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4"/>
      <c r="AC56" s="89"/>
      <c r="AD56" s="84"/>
      <c r="AE56" s="84"/>
      <c r="AF56" s="84"/>
    </row>
    <row r="57" ht="13.65" customHeight="1">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c r="AA57" s="84"/>
      <c r="AB57" s="84"/>
      <c r="AC57" s="89"/>
      <c r="AD57" s="84"/>
      <c r="AE57" s="84"/>
      <c r="AF57" s="84"/>
    </row>
    <row r="58" ht="13.65" customHeight="1">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c r="AA58" s="84"/>
      <c r="AB58" s="84"/>
      <c r="AC58" s="89"/>
      <c r="AD58" s="84"/>
      <c r="AE58" s="84"/>
      <c r="AF58" s="84"/>
    </row>
    <row r="59" ht="13.65" customHeight="1">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c r="AA59" s="84"/>
      <c r="AB59" s="84"/>
      <c r="AC59" s="89"/>
      <c r="AD59" s="84"/>
      <c r="AE59" s="84"/>
      <c r="AF59" s="84"/>
    </row>
    <row r="60" ht="13.65" customHeight="1">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c r="AA60" s="84"/>
      <c r="AB60" s="84"/>
      <c r="AC60" s="89"/>
      <c r="AD60" s="84"/>
      <c r="AE60" s="84"/>
      <c r="AF60" s="84"/>
    </row>
    <row r="61" ht="13.65" customHeight="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c r="AA61" s="84"/>
      <c r="AB61" s="84"/>
      <c r="AC61" s="89"/>
      <c r="AD61" s="84"/>
      <c r="AE61" s="84"/>
      <c r="AF61" s="84"/>
    </row>
    <row r="62" ht="13.65" customHeight="1">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c r="AA62" s="84"/>
      <c r="AB62" s="84"/>
      <c r="AC62" s="89"/>
      <c r="AD62" s="84"/>
      <c r="AE62" s="84"/>
      <c r="AF62" s="84"/>
    </row>
    <row r="63" ht="13.65" customHeight="1">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c r="AA63" s="84"/>
      <c r="AB63" s="84"/>
      <c r="AC63" s="89"/>
      <c r="AD63" s="84"/>
      <c r="AE63" s="84"/>
      <c r="AF63" s="84"/>
    </row>
    <row r="64" ht="13.65" customHeight="1">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c r="AA64" s="84"/>
      <c r="AB64" s="84"/>
      <c r="AC64" s="89"/>
      <c r="AD64" s="84"/>
      <c r="AE64" s="84"/>
      <c r="AF64" s="84"/>
    </row>
    <row r="65" ht="13.65" customHeight="1">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c r="AA65" s="84"/>
      <c r="AB65" s="84"/>
      <c r="AC65" s="89"/>
      <c r="AD65" s="84"/>
      <c r="AE65" s="84"/>
      <c r="AF65" s="84"/>
    </row>
    <row r="66" ht="13.65" customHeight="1">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c r="AA66" s="84"/>
      <c r="AB66" s="84"/>
      <c r="AC66" s="89"/>
      <c r="AD66" s="84"/>
      <c r="AE66" s="84"/>
      <c r="AF66" s="84"/>
    </row>
  </sheetData>
  <pageMargins left="0.75" right="0.75" top="1" bottom="1" header="0.5" footer="0.5"/>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AI105"/>
  <sheetViews>
    <sheetView workbookViewId="0" showGridLines="0" defaultGridColor="1"/>
  </sheetViews>
  <sheetFormatPr defaultColWidth="8.83333" defaultRowHeight="12" customHeight="1" outlineLevelRow="0" outlineLevelCol="0"/>
  <cols>
    <col min="1" max="1" width="9.17188" style="104" customWidth="1"/>
    <col min="2" max="2" width="9.17188" style="104" customWidth="1"/>
    <col min="3" max="3" width="8.85156" style="104" customWidth="1"/>
    <col min="4" max="4" width="8.85156" style="104" customWidth="1"/>
    <col min="5" max="5" width="8.85156" style="104" customWidth="1"/>
    <col min="6" max="6" width="9.67188" style="104" customWidth="1"/>
    <col min="7" max="7" width="9.67188" style="104" customWidth="1"/>
    <col min="8" max="8" width="8.85156" style="104" customWidth="1"/>
    <col min="9" max="9" width="20.8516" style="104" customWidth="1"/>
    <col min="10" max="10" width="16.6719" style="104" customWidth="1"/>
    <col min="11" max="11" width="17.6719" style="104" customWidth="1"/>
    <col min="12" max="12" width="8.85156" style="104" customWidth="1"/>
    <col min="13" max="13" width="8.85156" style="104" customWidth="1"/>
    <col min="14" max="14" width="8.5" style="104" customWidth="1"/>
    <col min="15" max="15" width="9.17188" style="104" customWidth="1"/>
    <col min="16" max="16" width="9.85156" style="104" customWidth="1"/>
    <col min="17" max="17" width="9.17188" style="104" customWidth="1"/>
    <col min="18" max="18" width="9.17188" style="104" customWidth="1"/>
    <col min="19" max="19" width="9.5" style="104" customWidth="1"/>
    <col min="20" max="20" width="8.85156" style="104" customWidth="1"/>
    <col min="21" max="21" width="9.67188" style="104" customWidth="1"/>
    <col min="22" max="22" width="8.85156" style="104" customWidth="1"/>
    <col min="23" max="23" width="8.85156" style="104" customWidth="1"/>
    <col min="24" max="24" width="8.85156" style="104" customWidth="1"/>
    <col min="25" max="25" width="8.85156" style="104" customWidth="1"/>
    <col min="26" max="26" width="8.85156" style="104" customWidth="1"/>
    <col min="27" max="27" width="8.85156" style="104" customWidth="1"/>
    <col min="28" max="28" width="8.85156" style="104" customWidth="1"/>
    <col min="29" max="29" width="8.85156" style="104" customWidth="1"/>
    <col min="30" max="30" width="8.85156" style="104" customWidth="1"/>
    <col min="31" max="31" width="8.85156" style="104" customWidth="1"/>
    <col min="32" max="32" width="8.85156" style="104" customWidth="1"/>
    <col min="33" max="33" width="8.85156" style="104" customWidth="1"/>
    <col min="34" max="34" width="8.85156" style="104" customWidth="1"/>
    <col min="35" max="35" width="8.85156" style="104" customWidth="1"/>
    <col min="36" max="256" width="8.85156" style="104" customWidth="1"/>
  </cols>
  <sheetData>
    <row r="1" ht="12" customHeight="1">
      <c r="A1" s="84"/>
      <c r="B1" s="84"/>
      <c r="C1" s="84"/>
      <c r="D1" s="84"/>
      <c r="E1" s="84"/>
      <c r="F1" s="84"/>
      <c r="G1" s="84"/>
      <c r="H1" s="84"/>
      <c r="I1" s="84"/>
      <c r="J1" s="84"/>
      <c r="K1" s="84"/>
      <c r="L1" s="84"/>
      <c r="M1" s="84"/>
      <c r="N1" s="84"/>
      <c r="O1" t="s" s="83">
        <v>44</v>
      </c>
      <c r="P1" s="84"/>
      <c r="Q1" s="84"/>
      <c r="R1" s="84"/>
      <c r="S1" s="84"/>
      <c r="T1" t="s" s="83">
        <v>45</v>
      </c>
      <c r="U1" s="84"/>
      <c r="V1" s="84"/>
      <c r="W1" s="84"/>
      <c r="X1" s="84"/>
      <c r="Y1" t="s" s="83">
        <v>37</v>
      </c>
      <c r="Z1" s="84"/>
      <c r="AA1" s="84"/>
      <c r="AB1" s="89"/>
      <c r="AC1" s="84"/>
      <c r="AD1" t="s" s="83">
        <v>46</v>
      </c>
      <c r="AE1" s="84"/>
      <c r="AF1" s="84"/>
      <c r="AG1" s="84"/>
      <c r="AH1" s="84"/>
      <c r="AI1" s="84"/>
    </row>
    <row r="2" ht="12" customHeight="1">
      <c r="A2" t="s" s="83">
        <v>34</v>
      </c>
      <c r="B2" t="s" s="83">
        <v>47</v>
      </c>
      <c r="C2" t="s" s="83">
        <v>1</v>
      </c>
      <c r="D2" t="s" s="91">
        <v>35</v>
      </c>
      <c r="E2" s="92"/>
      <c r="F2" s="84"/>
      <c r="G2" s="84"/>
      <c r="H2" t="s" s="83">
        <v>50</v>
      </c>
      <c r="I2" t="s" s="83">
        <v>51</v>
      </c>
      <c r="J2" t="s" s="83">
        <v>4</v>
      </c>
      <c r="K2" t="s" s="83">
        <v>11</v>
      </c>
      <c r="L2" t="s" s="83">
        <v>52</v>
      </c>
      <c r="M2" t="s" s="83">
        <v>9</v>
      </c>
      <c r="N2" s="84"/>
      <c r="O2" t="s" s="83">
        <v>4</v>
      </c>
      <c r="P2" t="s" s="83">
        <v>11</v>
      </c>
      <c r="Q2" t="s" s="83">
        <v>52</v>
      </c>
      <c r="R2" t="s" s="83">
        <v>9</v>
      </c>
      <c r="S2" s="84"/>
      <c r="T2" t="s" s="83">
        <v>4</v>
      </c>
      <c r="U2" t="s" s="83">
        <v>11</v>
      </c>
      <c r="V2" t="s" s="83">
        <v>52</v>
      </c>
      <c r="W2" t="s" s="83">
        <v>9</v>
      </c>
      <c r="X2" s="84"/>
      <c r="Y2" t="s" s="83">
        <v>53</v>
      </c>
      <c r="Z2" t="s" s="83">
        <v>54</v>
      </c>
      <c r="AA2" t="s" s="83">
        <v>19</v>
      </c>
      <c r="AB2" s="89"/>
      <c r="AC2" s="84"/>
      <c r="AD2" s="89"/>
      <c r="AE2" s="84"/>
      <c r="AF2" s="84"/>
      <c r="AG2" s="84"/>
      <c r="AH2" s="84"/>
      <c r="AI2" s="84"/>
    </row>
    <row r="3" ht="12" customHeight="1">
      <c r="A3" s="85">
        <f>'BA'!A5</f>
        <v>17685</v>
      </c>
      <c r="B3" s="86">
        <v>1948</v>
      </c>
      <c r="C3" s="93">
        <f>'BA'!B5</f>
        <v>272144</v>
      </c>
      <c r="D3" s="94">
        <v>237937.324</v>
      </c>
      <c r="E3" s="94"/>
      <c r="F3" s="105"/>
      <c r="G3" s="87"/>
      <c r="H3" s="87">
        <f>J3+K3+L3+M3</f>
        <v>27826</v>
      </c>
      <c r="I3" s="89">
        <f>H3/D3</f>
        <v>0.1169467636779844</v>
      </c>
      <c r="J3" s="87">
        <f>'BA'!M5</f>
        <v>12614</v>
      </c>
      <c r="K3" s="87">
        <f>'BA'!AH5</f>
        <v>9245</v>
      </c>
      <c r="L3" s="87">
        <f>'BA'!V5</f>
        <v>4241</v>
      </c>
      <c r="M3" s="87">
        <f>'BA'!AB5</f>
        <v>1726</v>
      </c>
      <c r="N3" s="87"/>
      <c r="O3" s="89">
        <f>J3/$D3</f>
        <v>0.05301396093704071</v>
      </c>
      <c r="P3" s="89">
        <f>K3/$D3</f>
        <v>0.03885477000657535</v>
      </c>
      <c r="Q3" s="89">
        <f>L3/$D3</f>
        <v>0.01782402158982001</v>
      </c>
      <c r="R3" s="89">
        <f>M3/$D3</f>
        <v>0.007254011144548302</v>
      </c>
      <c r="S3" s="87"/>
      <c r="T3" s="89">
        <f>J3/$H3</f>
        <v>0.453317041615755</v>
      </c>
      <c r="U3" s="89">
        <f>K3/$H3</f>
        <v>0.3322432257600805</v>
      </c>
      <c r="V3" s="89">
        <f>L3/$H3</f>
        <v>0.1524114137856681</v>
      </c>
      <c r="W3" s="89">
        <f>M3/$H3</f>
        <v>0.06202831883849637</v>
      </c>
      <c r="X3" s="84"/>
      <c r="Y3" s="84"/>
      <c r="Z3" s="84"/>
      <c r="AA3" s="84"/>
      <c r="AB3" s="89"/>
      <c r="AC3" s="84"/>
      <c r="AD3" s="84"/>
      <c r="AE3" s="84"/>
      <c r="AF3" s="84"/>
      <c r="AG3" s="84"/>
      <c r="AH3" s="84"/>
      <c r="AI3" s="84"/>
    </row>
    <row r="4" ht="12" customHeight="1">
      <c r="A4" s="85">
        <f>'BA'!A6</f>
        <v>18050</v>
      </c>
      <c r="B4" s="86">
        <v>1949</v>
      </c>
      <c r="C4" s="93">
        <f>'BA'!B6</f>
        <v>366634</v>
      </c>
      <c r="D4" s="94">
        <v>331685.296</v>
      </c>
      <c r="E4" s="94"/>
      <c r="F4" s="105"/>
      <c r="G4" s="87"/>
      <c r="H4" s="87">
        <f>J4+K4+L4+M4</f>
        <v>32244</v>
      </c>
      <c r="I4" s="89">
        <f>H4/D4</f>
        <v>0.09721263013118313</v>
      </c>
      <c r="J4" s="87">
        <f>'BA'!M6</f>
        <v>14926</v>
      </c>
      <c r="K4" s="87">
        <f>'BA'!AH6</f>
        <v>10491</v>
      </c>
      <c r="L4" s="87">
        <f>'BA'!V6</f>
        <v>4681</v>
      </c>
      <c r="M4" s="87">
        <f>'BA'!AB6</f>
        <v>2146</v>
      </c>
      <c r="N4" s="87"/>
      <c r="O4" s="89">
        <f>J4/$D4</f>
        <v>0.04500048745000743</v>
      </c>
      <c r="P4" s="89">
        <f>K4/$D4</f>
        <v>0.03162937919322176</v>
      </c>
      <c r="Q4" s="89">
        <f>L4/$D4</f>
        <v>0.01411277514092756</v>
      </c>
      <c r="R4" s="89">
        <f>M4/$D4</f>
        <v>0.006469988347026393</v>
      </c>
      <c r="S4" s="87"/>
      <c r="T4" s="89">
        <f>J4/$H4</f>
        <v>0.4629078278129264</v>
      </c>
      <c r="U4" s="89">
        <f>K4/$H4</f>
        <v>0.3253628582061779</v>
      </c>
      <c r="V4" s="89">
        <f>L4/$H4</f>
        <v>0.145174295993053</v>
      </c>
      <c r="W4" s="89">
        <f>M4/$H4</f>
        <v>0.0665550179878427</v>
      </c>
      <c r="X4" s="84"/>
      <c r="Y4" s="84"/>
      <c r="Z4" s="84"/>
      <c r="AA4" s="84"/>
      <c r="AB4" s="89"/>
      <c r="AC4" s="84"/>
      <c r="AD4" s="84"/>
      <c r="AE4" s="84"/>
      <c r="AF4" s="84"/>
      <c r="AG4" s="84"/>
      <c r="AH4" s="84"/>
      <c r="AI4" s="84"/>
    </row>
    <row r="5" ht="12" customHeight="1">
      <c r="A5" s="85">
        <f>'BA'!A7</f>
        <v>18415</v>
      </c>
      <c r="B5" s="86">
        <v>1950</v>
      </c>
      <c r="C5" s="93">
        <f>'BA'!B7</f>
        <v>433734</v>
      </c>
      <c r="D5" s="94">
        <v>396666.452</v>
      </c>
      <c r="E5" s="94"/>
      <c r="F5" s="105"/>
      <c r="G5" s="87"/>
      <c r="H5" s="87">
        <f>J5+K5+L5+M5</f>
        <v>38808</v>
      </c>
      <c r="I5" s="89">
        <f>H5/D5</f>
        <v>0.09783534706383488</v>
      </c>
      <c r="J5" s="87">
        <f>'BA'!M7</f>
        <v>17246</v>
      </c>
      <c r="K5" s="87">
        <f>'BA'!AH7</f>
        <v>13567</v>
      </c>
      <c r="L5" s="87">
        <f>'BA'!V7</f>
        <v>5160</v>
      </c>
      <c r="M5" s="87">
        <f>'BA'!AB7</f>
        <v>2835</v>
      </c>
      <c r="N5" s="87"/>
      <c r="O5" s="89">
        <f>J5/$D5</f>
        <v>0.04347733445328016</v>
      </c>
      <c r="P5" s="89">
        <f>K5/$D5</f>
        <v>0.03420253951801298</v>
      </c>
      <c r="Q5" s="89">
        <f>L5/$D5</f>
        <v>0.01300841040119017</v>
      </c>
      <c r="R5" s="89">
        <f>M5/$D5</f>
        <v>0.007147062691351574</v>
      </c>
      <c r="S5" s="87"/>
      <c r="T5" s="89">
        <f>J5/$H5</f>
        <v>0.444392908678623</v>
      </c>
      <c r="U5" s="89">
        <f>K5/$H5</f>
        <v>0.3495928674500103</v>
      </c>
      <c r="V5" s="89">
        <f>L5/$H5</f>
        <v>0.1329622758194187</v>
      </c>
      <c r="W5" s="89">
        <f>M5/$H5</f>
        <v>0.07305194805194805</v>
      </c>
      <c r="X5" s="84"/>
      <c r="Y5" s="84"/>
      <c r="Z5" s="84"/>
      <c r="AA5" s="84"/>
      <c r="AB5" s="89"/>
      <c r="AC5" s="84"/>
      <c r="AD5" s="84"/>
      <c r="AE5" s="84"/>
      <c r="AF5" s="84"/>
      <c r="AG5" s="84"/>
      <c r="AH5" s="84"/>
      <c r="AI5" s="84"/>
    </row>
    <row r="6" ht="12" customHeight="1">
      <c r="A6" s="85">
        <f>'BA'!A8</f>
        <v>18780</v>
      </c>
      <c r="B6" s="86">
        <v>1951</v>
      </c>
      <c r="C6" s="93">
        <f>'BA'!B8</f>
        <v>384352</v>
      </c>
      <c r="D6" s="94">
        <v>346652.016</v>
      </c>
      <c r="E6" s="94"/>
      <c r="F6" s="105"/>
      <c r="G6" s="87"/>
      <c r="H6" s="87">
        <f>J6+K6+L6+M6</f>
        <v>35416</v>
      </c>
      <c r="I6" s="89">
        <f>H6/D6</f>
        <v>0.1021658561477975</v>
      </c>
      <c r="J6" s="87">
        <f>'BA'!M8</f>
        <v>15505</v>
      </c>
      <c r="K6" s="87">
        <f>'BA'!AH8</f>
        <v>12321</v>
      </c>
      <c r="L6" s="87">
        <f>'BA'!V8</f>
        <v>4936</v>
      </c>
      <c r="M6" s="87">
        <f>'BA'!AB8</f>
        <v>2654</v>
      </c>
      <c r="N6" s="87"/>
      <c r="O6" s="89">
        <f>J6/$D6</f>
        <v>0.04472785180629095</v>
      </c>
      <c r="P6" s="89">
        <f>K6/$D6</f>
        <v>0.03554284824929448</v>
      </c>
      <c r="Q6" s="89">
        <f>L6/$D6</f>
        <v>0.01423906330318298</v>
      </c>
      <c r="R6" s="89">
        <f>M6/$D6</f>
        <v>0.0076560927890291</v>
      </c>
      <c r="S6" s="87"/>
      <c r="T6" s="89">
        <f>J6/$H6</f>
        <v>0.4377964761689632</v>
      </c>
      <c r="U6" s="89">
        <f>K6/$H6</f>
        <v>0.3478936074090807</v>
      </c>
      <c r="V6" s="89">
        <f>L6/$H6</f>
        <v>0.1393720352383104</v>
      </c>
      <c r="W6" s="89">
        <f>M6/$H6</f>
        <v>0.0749378811836458</v>
      </c>
      <c r="X6" s="84"/>
      <c r="Y6" s="84"/>
      <c r="Z6" s="84"/>
      <c r="AA6" s="84"/>
      <c r="AB6" s="89"/>
      <c r="AC6" s="84"/>
      <c r="AD6" s="84"/>
      <c r="AE6" s="84"/>
      <c r="AF6" s="84"/>
      <c r="AG6" s="84"/>
      <c r="AH6" s="84"/>
      <c r="AI6" s="84"/>
    </row>
    <row r="7" ht="12" customHeight="1">
      <c r="A7" s="85">
        <f>'BA'!A9</f>
        <v>19146</v>
      </c>
      <c r="B7" s="86">
        <v>1952</v>
      </c>
      <c r="C7" s="93">
        <f>'BA'!B9</f>
        <v>331924</v>
      </c>
      <c r="D7" s="94">
        <v>295693.26</v>
      </c>
      <c r="E7" s="94"/>
      <c r="F7" s="105"/>
      <c r="G7" s="87"/>
      <c r="H7" s="87">
        <f>J7+K7+L7+M7</f>
        <v>31142</v>
      </c>
      <c r="I7" s="89">
        <f>H7/D7</f>
        <v>0.1053185994161653</v>
      </c>
      <c r="J7" s="87">
        <f>'BA'!M9</f>
        <v>14087</v>
      </c>
      <c r="K7" s="87">
        <f>'BA'!AH9</f>
        <v>10216</v>
      </c>
      <c r="L7" s="87">
        <f>'BA'!V9</f>
        <v>4418</v>
      </c>
      <c r="M7" s="87">
        <f>'BA'!AB9</f>
        <v>2421</v>
      </c>
      <c r="N7" s="87"/>
      <c r="O7" s="89">
        <f>J7/$D7</f>
        <v>0.04764058538229786</v>
      </c>
      <c r="P7" s="89">
        <f>K7/$D7</f>
        <v>0.03454931640984985</v>
      </c>
      <c r="Q7" s="89">
        <f>L7/$D7</f>
        <v>0.01494115895641314</v>
      </c>
      <c r="R7" s="89">
        <f>M7/$D7</f>
        <v>0.008187538667604395</v>
      </c>
      <c r="S7" s="87"/>
      <c r="T7" s="89">
        <f>J7/$H7</f>
        <v>0.452347312311348</v>
      </c>
      <c r="U7" s="89">
        <f>K7/$H7</f>
        <v>0.3280457260291568</v>
      </c>
      <c r="V7" s="89">
        <f>L7/$H7</f>
        <v>0.1418662898978871</v>
      </c>
      <c r="W7" s="89">
        <f>M7/$H7</f>
        <v>0.07774067176160812</v>
      </c>
      <c r="X7" s="84"/>
      <c r="Y7" s="84"/>
      <c r="Z7" s="84"/>
      <c r="AA7" s="84"/>
      <c r="AB7" s="89"/>
      <c r="AC7" s="84"/>
      <c r="AD7" s="84"/>
      <c r="AE7" s="84"/>
      <c r="AF7" s="84"/>
      <c r="AG7" s="84"/>
      <c r="AH7" s="84"/>
      <c r="AI7" s="84"/>
    </row>
    <row r="8" ht="12" customHeight="1">
      <c r="A8" s="85">
        <f>'BA'!A10</f>
        <v>19511</v>
      </c>
      <c r="B8" s="86">
        <v>1953</v>
      </c>
      <c r="C8" s="93">
        <f>'BA'!B10</f>
        <v>304857</v>
      </c>
      <c r="D8" s="94">
        <v>269540.432</v>
      </c>
      <c r="E8" s="94"/>
      <c r="F8" s="105"/>
      <c r="G8" s="87"/>
      <c r="H8" s="87">
        <f>J8+K8+L8+M8</f>
        <v>28871</v>
      </c>
      <c r="I8" s="89">
        <f>H8/D8</f>
        <v>0.1071119452683818</v>
      </c>
      <c r="J8" s="87">
        <f>'BA'!M10</f>
        <v>12667</v>
      </c>
      <c r="K8" s="87">
        <f>'BA'!AH10</f>
        <v>9576</v>
      </c>
      <c r="L8" s="87">
        <f>'BA'!V10</f>
        <v>4068</v>
      </c>
      <c r="M8" s="87">
        <f>'BA'!AB10</f>
        <v>2560</v>
      </c>
      <c r="N8" s="87"/>
      <c r="O8" s="89">
        <f>J8/$D8</f>
        <v>0.04699480484619836</v>
      </c>
      <c r="P8" s="89">
        <f>K8/$D8</f>
        <v>0.03552713753905388</v>
      </c>
      <c r="Q8" s="89">
        <f>L8/$D8</f>
        <v>0.0150923554207259</v>
      </c>
      <c r="R8" s="89">
        <f>M8/$D8</f>
        <v>0.00949764746240371</v>
      </c>
      <c r="S8" s="87"/>
      <c r="T8" s="89">
        <f>J8/$H8</f>
        <v>0.4387447611790378</v>
      </c>
      <c r="U8" s="89">
        <f>K8/$H8</f>
        <v>0.331682310969485</v>
      </c>
      <c r="V8" s="89">
        <f>L8/$H8</f>
        <v>0.1409026358629767</v>
      </c>
      <c r="W8" s="89">
        <f>M8/$H8</f>
        <v>0.08867029198850057</v>
      </c>
      <c r="X8" s="84"/>
      <c r="Y8" s="84"/>
      <c r="Z8" s="84"/>
      <c r="AA8" s="84"/>
      <c r="AB8" s="89"/>
      <c r="AC8" s="84"/>
      <c r="AD8" s="84"/>
      <c r="AE8" s="84"/>
      <c r="AF8" s="84"/>
      <c r="AG8" s="84"/>
      <c r="AH8" s="84"/>
      <c r="AI8" s="84"/>
    </row>
    <row r="9" ht="12" customHeight="1">
      <c r="A9" s="85">
        <f>'BA'!A11</f>
        <v>19876</v>
      </c>
      <c r="B9" s="86">
        <v>1954</v>
      </c>
      <c r="C9" s="93">
        <f>'BA'!B11</f>
        <v>292880</v>
      </c>
      <c r="D9" s="94">
        <v>257800.074</v>
      </c>
      <c r="E9" s="94"/>
      <c r="F9" s="105"/>
      <c r="G9" s="87"/>
      <c r="H9" s="87">
        <f>J9+K9+L9+M9</f>
        <v>27589</v>
      </c>
      <c r="I9" s="89">
        <f>H9/D9</f>
        <v>0.1070170367755597</v>
      </c>
      <c r="J9" s="87">
        <f>'BA'!M11</f>
        <v>12566</v>
      </c>
      <c r="K9" s="87">
        <f>'BA'!AH11</f>
        <v>9385</v>
      </c>
      <c r="L9" s="87">
        <f>'BA'!V11</f>
        <v>3793</v>
      </c>
      <c r="M9" s="87">
        <f>'BA'!AB11</f>
        <v>1845</v>
      </c>
      <c r="N9" s="87"/>
      <c r="O9" s="89">
        <f>J9/$D9</f>
        <v>0.04874319780063369</v>
      </c>
      <c r="P9" s="89">
        <f>K9/$D9</f>
        <v>0.03640417884441725</v>
      </c>
      <c r="Q9" s="89">
        <f>L9/$D9</f>
        <v>0.01471295155640646</v>
      </c>
      <c r="R9" s="89">
        <f>M9/$D9</f>
        <v>0.007156708574102272</v>
      </c>
      <c r="S9" s="87"/>
      <c r="T9" s="89">
        <f>J9/$H9</f>
        <v>0.4554713835224183</v>
      </c>
      <c r="U9" s="89">
        <f>K9/$H9</f>
        <v>0.3401718076044801</v>
      </c>
      <c r="V9" s="89">
        <f>L9/$H9</f>
        <v>0.1374823299140962</v>
      </c>
      <c r="W9" s="89">
        <f>M9/$H9</f>
        <v>0.0668744789590054</v>
      </c>
      <c r="X9" s="84"/>
      <c r="Y9" s="84"/>
      <c r="Z9" s="84"/>
      <c r="AA9" s="84"/>
      <c r="AB9" s="89"/>
      <c r="AC9" s="84"/>
      <c r="AD9" s="84"/>
      <c r="AE9" s="84"/>
      <c r="AF9" s="84"/>
      <c r="AG9" s="84"/>
      <c r="AH9" s="84"/>
      <c r="AI9" s="84"/>
    </row>
    <row r="10" ht="12" customHeight="1">
      <c r="A10" s="85">
        <f>'BA'!A12</f>
        <v>20241</v>
      </c>
      <c r="B10" s="86">
        <v>1955</v>
      </c>
      <c r="C10" s="93">
        <f>'BA'!B12</f>
        <v>287401</v>
      </c>
      <c r="D10" s="94">
        <v>253689.7</v>
      </c>
      <c r="E10" s="94"/>
      <c r="F10" s="105"/>
      <c r="G10" s="87"/>
      <c r="H10" s="87">
        <f>J10+K10+L10+M10</f>
        <v>27961</v>
      </c>
      <c r="I10" s="89">
        <f>H10/D10</f>
        <v>0.1102173245504252</v>
      </c>
      <c r="J10" s="87">
        <f>'BA'!M12</f>
        <v>13099</v>
      </c>
      <c r="K10" s="87">
        <f>'BA'!AH12</f>
        <v>9540</v>
      </c>
      <c r="L10" s="87">
        <f>'BA'!V12</f>
        <v>3548</v>
      </c>
      <c r="M10" s="87">
        <f>'BA'!AB12</f>
        <v>1774</v>
      </c>
      <c r="N10" s="87"/>
      <c r="O10" s="89">
        <f>J10/$D10</f>
        <v>0.05163394493351523</v>
      </c>
      <c r="P10" s="89">
        <f>K10/$D10</f>
        <v>0.03760499539397934</v>
      </c>
      <c r="Q10" s="89">
        <f>L10/$D10</f>
        <v>0.01398558948195374</v>
      </c>
      <c r="R10" s="89">
        <f>M10/$D10</f>
        <v>0.00699279474097687</v>
      </c>
      <c r="S10" s="87"/>
      <c r="T10" s="89">
        <f>J10/$H10</f>
        <v>0.4684739458531526</v>
      </c>
      <c r="U10" s="89">
        <f>K10/$H10</f>
        <v>0.341189513965881</v>
      </c>
      <c r="V10" s="89">
        <f>L10/$H10</f>
        <v>0.1268910267873109</v>
      </c>
      <c r="W10" s="89">
        <f>M10/$H10</f>
        <v>0.06344551339365545</v>
      </c>
      <c r="X10" s="84"/>
      <c r="Y10" s="84"/>
      <c r="Z10" s="84"/>
      <c r="AA10" s="84"/>
      <c r="AB10" s="89"/>
      <c r="AC10" s="84"/>
      <c r="AD10" s="84"/>
      <c r="AE10" s="84"/>
      <c r="AF10" s="84"/>
      <c r="AG10" s="84"/>
      <c r="AH10" s="84"/>
      <c r="AI10" s="84"/>
    </row>
    <row r="11" ht="12" customHeight="1">
      <c r="A11" s="85">
        <f>'BA'!A13</f>
        <v>20607</v>
      </c>
      <c r="B11" s="86">
        <v>1956</v>
      </c>
      <c r="C11" s="93">
        <f>'BA'!B13</f>
        <v>311298</v>
      </c>
      <c r="D11" s="94">
        <v>278102.6</v>
      </c>
      <c r="E11" s="94"/>
      <c r="F11" s="105"/>
      <c r="G11" s="87"/>
      <c r="H11" s="87">
        <f>J11+K11+L11+M11</f>
        <v>31593</v>
      </c>
      <c r="I11" s="89">
        <f>H11/D11</f>
        <v>0.1136019584139091</v>
      </c>
      <c r="J11" s="87">
        <f>'BA'!M13</f>
        <v>14406</v>
      </c>
      <c r="K11" s="87">
        <f>'BA'!AH13</f>
        <v>10540</v>
      </c>
      <c r="L11" s="87">
        <f>'BA'!V13</f>
        <v>3979</v>
      </c>
      <c r="M11" s="87">
        <f>'BA'!AB13</f>
        <v>2668</v>
      </c>
      <c r="N11" s="87"/>
      <c r="O11" s="89">
        <f>J11/$D11</f>
        <v>0.05180102595229243</v>
      </c>
      <c r="P11" s="89">
        <f>K11/$D11</f>
        <v>0.03789968162829115</v>
      </c>
      <c r="Q11" s="89">
        <f>L11/$D11</f>
        <v>0.01430766918396304</v>
      </c>
      <c r="R11" s="89">
        <f>M11/$D11</f>
        <v>0.009593581649362502</v>
      </c>
      <c r="S11" s="87"/>
      <c r="T11" s="89">
        <f>J11/$H11</f>
        <v>0.4559870857468427</v>
      </c>
      <c r="U11" s="89">
        <f>K11/$H11</f>
        <v>0.3336182065647453</v>
      </c>
      <c r="V11" s="89">
        <f>L11/$H11</f>
        <v>0.1259456208653816</v>
      </c>
      <c r="W11" s="89">
        <f>M11/$H11</f>
        <v>0.08444908682303041</v>
      </c>
      <c r="X11" s="84"/>
      <c r="Y11" s="84"/>
      <c r="Z11" s="84"/>
      <c r="AA11" s="84"/>
      <c r="AB11" s="89"/>
      <c r="AC11" s="84"/>
      <c r="AD11" s="84"/>
      <c r="AE11" s="84"/>
      <c r="AF11" s="84"/>
      <c r="AG11" s="84"/>
      <c r="AH11" s="84"/>
      <c r="AI11" s="84"/>
    </row>
    <row r="12" ht="12" customHeight="1">
      <c r="A12" s="85">
        <f>'BA'!A14</f>
        <v>20972</v>
      </c>
      <c r="B12" s="86">
        <v>1957</v>
      </c>
      <c r="C12" s="93">
        <f>'BA'!B14</f>
        <v>340347</v>
      </c>
      <c r="D12" s="94">
        <v>306232.598</v>
      </c>
      <c r="E12" s="94"/>
      <c r="F12" s="105"/>
      <c r="G12" s="87"/>
      <c r="H12" s="87">
        <f>J12+K12+L12+M12</f>
        <v>34273</v>
      </c>
      <c r="I12" s="89">
        <f>H12/D12</f>
        <v>0.1119181962463709</v>
      </c>
      <c r="J12" s="87">
        <f>'BA'!M14</f>
        <v>15426</v>
      </c>
      <c r="K12" s="87">
        <f>'BA'!AH14</f>
        <v>11692</v>
      </c>
      <c r="L12" s="87">
        <f>'BA'!V14</f>
        <v>4322</v>
      </c>
      <c r="M12" s="87">
        <f>'BA'!AB14</f>
        <v>2833</v>
      </c>
      <c r="N12" s="87"/>
      <c r="O12" s="89">
        <f>J12/$D12</f>
        <v>0.05037347460964949</v>
      </c>
      <c r="P12" s="89">
        <f>K12/$D12</f>
        <v>0.03818012868767159</v>
      </c>
      <c r="Q12" s="89">
        <f>L12/$D12</f>
        <v>0.01411345502806334</v>
      </c>
      <c r="R12" s="89">
        <f>M12/$D12</f>
        <v>0.009251137920986452</v>
      </c>
      <c r="S12" s="87"/>
      <c r="T12" s="89">
        <f>J12/$H12</f>
        <v>0.4500919090829516</v>
      </c>
      <c r="U12" s="89">
        <f>K12/$H12</f>
        <v>0.3411431739269979</v>
      </c>
      <c r="V12" s="89">
        <f>L12/$H12</f>
        <v>0.126105097306918</v>
      </c>
      <c r="W12" s="89">
        <f>M12/$H12</f>
        <v>0.08265981968313249</v>
      </c>
      <c r="X12" s="84"/>
      <c r="Y12" s="84"/>
      <c r="Z12" s="84"/>
      <c r="AA12" s="84"/>
      <c r="AB12" s="89"/>
      <c r="AC12" s="84"/>
      <c r="AD12" s="84"/>
      <c r="AE12" s="84"/>
      <c r="AF12" s="84"/>
      <c r="AG12" s="84"/>
      <c r="AH12" s="84"/>
      <c r="AI12" s="84"/>
    </row>
    <row r="13" ht="12" customHeight="1">
      <c r="A13" s="85">
        <f>'BA'!A15</f>
        <v>21337</v>
      </c>
      <c r="B13" s="86">
        <v>1958</v>
      </c>
      <c r="C13" s="93">
        <f>'BA'!B15</f>
        <v>365748</v>
      </c>
      <c r="D13" s="94">
        <v>330133.932</v>
      </c>
      <c r="E13" s="94"/>
      <c r="F13" s="105"/>
      <c r="G13" s="87"/>
      <c r="H13" s="87">
        <f>J13+K13+L13+M13</f>
        <v>37036</v>
      </c>
      <c r="I13" s="89">
        <f>H13/D13</f>
        <v>0.1121847723305219</v>
      </c>
      <c r="J13" s="87">
        <f>'BA'!M15</f>
        <v>16669</v>
      </c>
      <c r="K13" s="87">
        <f>'BA'!AH15</f>
        <v>12883</v>
      </c>
      <c r="L13" s="87">
        <f>'BA'!V15</f>
        <v>4503</v>
      </c>
      <c r="M13" s="87">
        <f>'BA'!AB15</f>
        <v>2981</v>
      </c>
      <c r="N13" s="87"/>
      <c r="O13" s="89">
        <f>J13/$D13</f>
        <v>0.05049162895500241</v>
      </c>
      <c r="P13" s="89">
        <f>K13/$D13</f>
        <v>0.03902355605179052</v>
      </c>
      <c r="Q13" s="89">
        <f>L13/$D13</f>
        <v>0.01363991872244141</v>
      </c>
      <c r="R13" s="89">
        <f>M13/$D13</f>
        <v>0.009029668601287552</v>
      </c>
      <c r="S13" s="87"/>
      <c r="T13" s="89">
        <f>J13/$H13</f>
        <v>0.4500756021168593</v>
      </c>
      <c r="U13" s="89">
        <f>K13/$H13</f>
        <v>0.347850739820715</v>
      </c>
      <c r="V13" s="89">
        <f>L13/$H13</f>
        <v>0.1215844043633222</v>
      </c>
      <c r="W13" s="89">
        <f>M13/$H13</f>
        <v>0.08048925369910358</v>
      </c>
      <c r="X13" s="84"/>
      <c r="Y13" s="84"/>
      <c r="Z13" s="84"/>
      <c r="AA13" s="84"/>
      <c r="AB13" s="89"/>
      <c r="AC13" s="84"/>
      <c r="AD13" s="84"/>
      <c r="AE13" s="84"/>
      <c r="AF13" s="84"/>
      <c r="AG13" s="84"/>
      <c r="AH13" s="84"/>
      <c r="AI13" s="84"/>
    </row>
    <row r="14" ht="12" customHeight="1">
      <c r="A14" s="85">
        <f>'BA'!A16</f>
        <v>21702</v>
      </c>
      <c r="B14" s="86">
        <v>1959</v>
      </c>
      <c r="C14" s="93">
        <f>'BA'!B16</f>
        <v>385151</v>
      </c>
      <c r="D14" s="94">
        <v>346383.262</v>
      </c>
      <c r="E14" s="94"/>
      <c r="F14" s="105"/>
      <c r="G14" s="87"/>
      <c r="H14" s="87">
        <f>J14+K14+L14+M14</f>
        <v>39955</v>
      </c>
      <c r="I14" s="89">
        <f>H14/D14</f>
        <v>0.1153491071401712</v>
      </c>
      <c r="J14" s="87">
        <f>'BA'!M16</f>
        <v>18292</v>
      </c>
      <c r="K14" s="87">
        <f>'BA'!AH16</f>
        <v>13742</v>
      </c>
      <c r="L14" s="87">
        <f>'BA'!V16</f>
        <v>4767</v>
      </c>
      <c r="M14" s="87">
        <f>'BA'!AB16</f>
        <v>3154</v>
      </c>
      <c r="N14" s="87"/>
      <c r="O14" s="89">
        <f>J14/$D14</f>
        <v>0.0528085563210615</v>
      </c>
      <c r="P14" s="89">
        <f>K14/$D14</f>
        <v>0.03967281767789346</v>
      </c>
      <c r="Q14" s="89">
        <f>L14/$D14</f>
        <v>0.01376221233230375</v>
      </c>
      <c r="R14" s="89">
        <f>M14/$D14</f>
        <v>0.009105520808912528</v>
      </c>
      <c r="S14" s="87"/>
      <c r="T14" s="89">
        <f>J14/$H14</f>
        <v>0.4578150419221624</v>
      </c>
      <c r="U14" s="89">
        <f>K14/$H14</f>
        <v>0.3439369290451758</v>
      </c>
      <c r="V14" s="89">
        <f>L14/$H14</f>
        <v>0.1193092228757352</v>
      </c>
      <c r="W14" s="89">
        <f>M14/$H14</f>
        <v>0.07893880615692654</v>
      </c>
      <c r="X14" s="84"/>
      <c r="Y14" s="84"/>
      <c r="Z14" s="84"/>
      <c r="AA14" s="84"/>
      <c r="AB14" s="89"/>
      <c r="AC14" s="84"/>
      <c r="AD14" s="84"/>
      <c r="AE14" s="84"/>
      <c r="AF14" s="84"/>
      <c r="AG14" s="84"/>
      <c r="AH14" s="84"/>
      <c r="AI14" s="84"/>
    </row>
    <row r="15" ht="12" customHeight="1">
      <c r="A15" s="85">
        <f>'BA'!A17</f>
        <v>22068</v>
      </c>
      <c r="B15" s="86">
        <v>1960</v>
      </c>
      <c r="C15" s="93">
        <f>'BA'!B17</f>
        <v>394889</v>
      </c>
      <c r="D15" s="94">
        <v>357976.082</v>
      </c>
      <c r="E15" s="94"/>
      <c r="F15" s="105"/>
      <c r="G15" s="87"/>
      <c r="H15" s="87">
        <f>J15+K15+L15+M15</f>
        <v>43931</v>
      </c>
      <c r="I15" s="89">
        <f>H15/D15</f>
        <v>0.1227204894655504</v>
      </c>
      <c r="J15" s="87">
        <f>'BA'!M17</f>
        <v>20184</v>
      </c>
      <c r="K15" s="87">
        <f>'BA'!AH17</f>
        <v>14783</v>
      </c>
      <c r="L15" s="87">
        <f>'BA'!V17</f>
        <v>5498</v>
      </c>
      <c r="M15" s="87">
        <f>'BA'!AB17</f>
        <v>3466</v>
      </c>
      <c r="N15" s="87"/>
      <c r="O15" s="89">
        <f>J15/$D15</f>
        <v>0.05638365526331449</v>
      </c>
      <c r="P15" s="89">
        <f>K15/$D15</f>
        <v>0.04129605508113249</v>
      </c>
      <c r="Q15" s="89">
        <f>L15/$D15</f>
        <v>0.01535856800622786</v>
      </c>
      <c r="R15" s="89">
        <f>M15/$D15</f>
        <v>0.009682211114875546</v>
      </c>
      <c r="S15" s="87"/>
      <c r="T15" s="89">
        <f>J15/$H15</f>
        <v>0.4594477703671667</v>
      </c>
      <c r="U15" s="89">
        <f>K15/$H15</f>
        <v>0.3365049737087706</v>
      </c>
      <c r="V15" s="89">
        <f>L15/$H15</f>
        <v>0.1251508046709613</v>
      </c>
      <c r="W15" s="89">
        <f>M15/$H15</f>
        <v>0.07889645125310145</v>
      </c>
      <c r="X15" s="84"/>
      <c r="Y15" s="84"/>
      <c r="Z15" s="84"/>
      <c r="AA15" s="84"/>
      <c r="AB15" s="89"/>
      <c r="AC15" s="84"/>
      <c r="AD15" s="84"/>
      <c r="AE15" s="84"/>
      <c r="AF15" s="84"/>
      <c r="AG15" s="84"/>
      <c r="AH15" s="84"/>
      <c r="AI15" s="84"/>
    </row>
    <row r="16" ht="12" customHeight="1">
      <c r="A16" s="85">
        <f>'BA'!A18</f>
        <v>22433</v>
      </c>
      <c r="B16" s="86">
        <v>1961</v>
      </c>
      <c r="C16" s="93">
        <f>'BA'!B18</f>
        <v>365337</v>
      </c>
      <c r="D16" s="94">
        <v>365337</v>
      </c>
      <c r="E16" s="94"/>
      <c r="F16" s="105"/>
      <c r="G16" s="87"/>
      <c r="H16" s="87">
        <f>J16+K16+L16+M16</f>
        <v>47826</v>
      </c>
      <c r="I16" s="89">
        <f>H16/D16</f>
        <v>0.1309092700711945</v>
      </c>
      <c r="J16" s="87">
        <f>'BA'!M18</f>
        <v>21888</v>
      </c>
      <c r="K16" s="87">
        <f>'BA'!AH18</f>
        <v>15768</v>
      </c>
      <c r="L16" s="87">
        <f>'BA'!V18</f>
        <v>6524</v>
      </c>
      <c r="M16" s="87">
        <f>'BA'!AB18</f>
        <v>3646</v>
      </c>
      <c r="N16" s="87"/>
      <c r="O16" s="89">
        <f>J16/$D16</f>
        <v>0.05991180745448723</v>
      </c>
      <c r="P16" s="89">
        <f>K16/$D16</f>
        <v>0.04316015076491021</v>
      </c>
      <c r="Q16" s="89">
        <f>L16/$D16</f>
        <v>0.01785748500699354</v>
      </c>
      <c r="R16" s="89">
        <f>M16/$D16</f>
        <v>0.009979826844803565</v>
      </c>
      <c r="S16" s="87"/>
      <c r="T16" s="89">
        <f>J16/$H16</f>
        <v>0.4576590139254799</v>
      </c>
      <c r="U16" s="89">
        <f>K16/$H16</f>
        <v>0.3296951449002635</v>
      </c>
      <c r="V16" s="89">
        <f>L16/$H16</f>
        <v>0.1364111571111948</v>
      </c>
      <c r="W16" s="89">
        <f>M16/$H16</f>
        <v>0.07623468406306193</v>
      </c>
      <c r="X16" s="84"/>
      <c r="Y16" s="84"/>
      <c r="Z16" s="84"/>
      <c r="AA16" s="84"/>
      <c r="AB16" s="89"/>
      <c r="AC16" s="84"/>
      <c r="AD16" s="84"/>
      <c r="AE16" s="84"/>
      <c r="AF16" s="84"/>
      <c r="AG16" s="84"/>
      <c r="AH16" s="84"/>
      <c r="AI16" s="84"/>
    </row>
    <row r="17" ht="12" customHeight="1">
      <c r="A17" s="85">
        <f>'BA'!A19</f>
        <v>22798</v>
      </c>
      <c r="B17" s="86">
        <v>1962</v>
      </c>
      <c r="C17" s="87">
        <f>'BA'!B19</f>
        <v>382822</v>
      </c>
      <c r="D17" s="99">
        <v>382822</v>
      </c>
      <c r="E17" s="99"/>
      <c r="F17" s="87"/>
      <c r="G17" s="87"/>
      <c r="H17" s="87">
        <f>J17+K17+L17+M17</f>
        <v>53574</v>
      </c>
      <c r="I17" s="89">
        <f>H17/D17</f>
        <v>0.139944935244056</v>
      </c>
      <c r="J17" s="87">
        <f>'BA'!M19</f>
        <v>24412</v>
      </c>
      <c r="K17" s="87">
        <f>'BA'!AH19</f>
        <v>17405</v>
      </c>
      <c r="L17" s="87">
        <f>'BA'!V19</f>
        <v>8032</v>
      </c>
      <c r="M17" s="87">
        <f>'BA'!AB19</f>
        <v>3725</v>
      </c>
      <c r="N17" s="87"/>
      <c r="O17" s="89">
        <f>J17/$D17</f>
        <v>0.06376853994806986</v>
      </c>
      <c r="P17" s="89">
        <f>K17/$D17</f>
        <v>0.04546499417483844</v>
      </c>
      <c r="Q17" s="89">
        <f>L17/$D17</f>
        <v>0.02098103034830809</v>
      </c>
      <c r="R17" s="89">
        <f>M17/$D17</f>
        <v>0.009730370772839596</v>
      </c>
      <c r="S17" s="87"/>
      <c r="T17" s="89">
        <f>J17/$H17</f>
        <v>0.4556687945645276</v>
      </c>
      <c r="U17" s="89">
        <f>K17/$H17</f>
        <v>0.3248777392018516</v>
      </c>
      <c r="V17" s="89">
        <f>L17/$H17</f>
        <v>0.1499234703400903</v>
      </c>
      <c r="W17" s="89">
        <f>M17/$H17</f>
        <v>0.06952999589353044</v>
      </c>
      <c r="X17" s="84"/>
      <c r="Y17" s="84"/>
      <c r="Z17" s="84"/>
      <c r="AA17" s="84"/>
      <c r="AB17" s="89"/>
      <c r="AC17" s="84"/>
      <c r="AD17" s="84"/>
      <c r="AE17" s="84"/>
      <c r="AF17" s="84"/>
      <c r="AG17" s="84"/>
      <c r="AH17" s="84"/>
      <c r="AI17" s="84"/>
    </row>
    <row r="18" ht="12" customHeight="1">
      <c r="A18" s="85">
        <f>'BA'!A20</f>
        <v>23163</v>
      </c>
      <c r="B18" s="86">
        <v>1963</v>
      </c>
      <c r="C18" s="87">
        <f>'BA'!B20</f>
        <v>410421</v>
      </c>
      <c r="D18" s="87">
        <v>410421</v>
      </c>
      <c r="E18" s="87"/>
      <c r="F18" s="87"/>
      <c r="G18" s="87"/>
      <c r="H18" s="87">
        <f>J18+K18+L18+M18</f>
        <v>62105</v>
      </c>
      <c r="I18" s="89">
        <f>H18/D18</f>
        <v>0.1513202297153411</v>
      </c>
      <c r="J18" s="87">
        <f>'BA'!M20</f>
        <v>28088</v>
      </c>
      <c r="K18" s="87">
        <f>'BA'!AH20</f>
        <v>20071</v>
      </c>
      <c r="L18" s="87">
        <f>'BA'!V20</f>
        <v>9861</v>
      </c>
      <c r="M18" s="87">
        <f>'BA'!AB20</f>
        <v>4085</v>
      </c>
      <c r="N18" s="87"/>
      <c r="O18" s="89">
        <f>J18/$D18</f>
        <v>0.06843704391344498</v>
      </c>
      <c r="P18" s="89">
        <f>K18/$D18</f>
        <v>0.0489034430499414</v>
      </c>
      <c r="Q18" s="89">
        <f>L18/$D18</f>
        <v>0.02402654834913418</v>
      </c>
      <c r="R18" s="89">
        <f>M18/$D18</f>
        <v>0.009953194402820519</v>
      </c>
      <c r="S18" s="87"/>
      <c r="T18" s="89">
        <f>J18/$H18</f>
        <v>0.4522663231623863</v>
      </c>
      <c r="U18" s="89">
        <f>K18/$H18</f>
        <v>0.3231784880444409</v>
      </c>
      <c r="V18" s="89">
        <f>L18/$H18</f>
        <v>0.1587794863537557</v>
      </c>
      <c r="W18" s="89">
        <f>M18/$H18</f>
        <v>0.06577570243941712</v>
      </c>
      <c r="X18" s="84"/>
      <c r="Y18" s="84"/>
      <c r="Z18" s="84"/>
      <c r="AA18" s="84"/>
      <c r="AB18" s="89"/>
      <c r="AC18" s="84"/>
      <c r="AD18" s="84"/>
      <c r="AE18" s="84"/>
      <c r="AF18" s="84"/>
      <c r="AG18" s="84"/>
      <c r="AH18" s="84"/>
      <c r="AI18" s="84"/>
    </row>
    <row r="19" ht="12" customHeight="1">
      <c r="A19" s="85">
        <f>'BA'!A21</f>
        <v>23529</v>
      </c>
      <c r="B19" s="86">
        <v>1964</v>
      </c>
      <c r="C19" s="87">
        <f>'BA'!B21</f>
        <v>460467</v>
      </c>
      <c r="D19" s="87">
        <f>'BA'!B21</f>
        <v>460467</v>
      </c>
      <c r="E19" s="87"/>
      <c r="F19" s="87"/>
      <c r="G19" s="87"/>
      <c r="H19" s="87">
        <f>J19+K19+L19+M19</f>
        <v>73389.083240000007</v>
      </c>
      <c r="I19" s="89">
        <f>H19/D19</f>
        <v>0.1593796802811059</v>
      </c>
      <c r="J19" s="87">
        <f>'BA'!M21</f>
        <v>32731.457</v>
      </c>
      <c r="K19" s="87">
        <f>'BA'!AH21</f>
        <v>23484.62624</v>
      </c>
      <c r="L19" s="87">
        <f>'BA'!V21</f>
        <v>12363</v>
      </c>
      <c r="M19" s="87">
        <f>'BA'!AB21</f>
        <v>4810</v>
      </c>
      <c r="N19" s="87"/>
      <c r="O19" s="89">
        <f>J19/$D19</f>
        <v>0.07108317642740956</v>
      </c>
      <c r="P19" s="89">
        <f>K19/$D19</f>
        <v>0.05100175743321454</v>
      </c>
      <c r="Q19" s="89">
        <f>L19/$D19</f>
        <v>0.02684882955781848</v>
      </c>
      <c r="R19" s="89">
        <f>M19/$D19</f>
        <v>0.01044591686266334</v>
      </c>
      <c r="S19" s="87"/>
      <c r="T19" s="89">
        <f>J19/$H19</f>
        <v>0.4459989899718497</v>
      </c>
      <c r="U19" s="89">
        <f>K19/$H19</f>
        <v>0.3200016297137764</v>
      </c>
      <c r="V19" s="89">
        <f>L19/$H19</f>
        <v>0.1684582972588717</v>
      </c>
      <c r="W19" s="89">
        <f>M19/$H19</f>
        <v>0.06554108305550213</v>
      </c>
      <c r="X19" s="84"/>
      <c r="Y19" s="84"/>
      <c r="Z19" s="84"/>
      <c r="AA19" s="84"/>
      <c r="AB19" s="89"/>
      <c r="AC19" s="84"/>
      <c r="AD19" s="84"/>
      <c r="AE19" s="84"/>
      <c r="AF19" s="84"/>
      <c r="AG19" s="84"/>
      <c r="AH19" s="84"/>
      <c r="AI19" s="84"/>
    </row>
    <row r="20" ht="12" customHeight="1">
      <c r="A20" s="85">
        <f>'BA'!A22</f>
        <v>23894</v>
      </c>
      <c r="B20" s="86">
        <v>1965</v>
      </c>
      <c r="C20" s="87">
        <f>'BA'!B22</f>
        <v>492984</v>
      </c>
      <c r="D20" s="87">
        <f>'BA'!B22</f>
        <v>492984</v>
      </c>
      <c r="E20" s="87"/>
      <c r="F20" s="87"/>
      <c r="G20" s="87"/>
      <c r="H20" s="87">
        <f>J20+K20+L20+M20</f>
        <v>80938</v>
      </c>
      <c r="I20" s="89">
        <f>H20/D20</f>
        <v>0.1641797705402204</v>
      </c>
      <c r="J20" s="87">
        <f>'BA'!M22</f>
        <v>36183</v>
      </c>
      <c r="K20" s="87">
        <f>'BA'!AH22</f>
        <v>25854</v>
      </c>
      <c r="L20" s="87">
        <f>'BA'!V22</f>
        <v>14091</v>
      </c>
      <c r="M20" s="87">
        <f>'BA'!AB22</f>
        <v>4810</v>
      </c>
      <c r="N20" s="87"/>
      <c r="O20" s="89">
        <f>J20/$D20</f>
        <v>0.07339589114454019</v>
      </c>
      <c r="P20" s="89">
        <f>K20/$D20</f>
        <v>0.05244389270240007</v>
      </c>
      <c r="Q20" s="89">
        <f>L20/$D20</f>
        <v>0.02858307774694513</v>
      </c>
      <c r="R20" s="89">
        <f>M20/$D20</f>
        <v>0.009756908946334972</v>
      </c>
      <c r="S20" s="87"/>
      <c r="T20" s="89">
        <f>J20/$H20</f>
        <v>0.4470458869752156</v>
      </c>
      <c r="U20" s="89">
        <f>K20/$H20</f>
        <v>0.319429686920853</v>
      </c>
      <c r="V20" s="89">
        <f>L20/$H20</f>
        <v>0.174096221799402</v>
      </c>
      <c r="W20" s="89">
        <f>M20/$H20</f>
        <v>0.05942820430452939</v>
      </c>
      <c r="X20" s="84"/>
      <c r="Y20" s="84"/>
      <c r="Z20" s="84"/>
      <c r="AA20" s="84"/>
      <c r="AB20" s="89"/>
      <c r="AC20" s="84"/>
      <c r="AD20" s="84"/>
      <c r="AE20" s="84"/>
      <c r="AF20" s="84"/>
      <c r="AG20" s="84"/>
      <c r="AH20" s="84"/>
      <c r="AI20" s="84"/>
    </row>
    <row r="21" ht="12" customHeight="1">
      <c r="A21" s="85">
        <f>'BA'!A23</f>
        <v>24259</v>
      </c>
      <c r="B21" s="86">
        <v>1966</v>
      </c>
      <c r="C21" s="87">
        <f>'BA'!B23</f>
        <v>524117</v>
      </c>
      <c r="D21" s="87">
        <f>'BA'!B23</f>
        <v>524117</v>
      </c>
      <c r="E21" s="87"/>
      <c r="F21" s="87"/>
      <c r="G21" s="87"/>
      <c r="H21" s="87">
        <f>J21+K21+L21+M21</f>
        <v>88503</v>
      </c>
      <c r="I21" s="89">
        <f>H21/D21</f>
        <v>0.1688611512314998</v>
      </c>
      <c r="J21" s="87">
        <f>'BA'!M23</f>
        <v>39190</v>
      </c>
      <c r="K21" s="87">
        <f>'BA'!AH23</f>
        <v>28770</v>
      </c>
      <c r="L21" s="87">
        <f>'BA'!V23</f>
        <v>15519</v>
      </c>
      <c r="M21" s="87">
        <f>'BA'!AB23</f>
        <v>5024</v>
      </c>
      <c r="N21" s="87"/>
      <c r="O21" s="89">
        <f>J21/$D21</f>
        <v>0.07477338075277085</v>
      </c>
      <c r="P21" s="89">
        <f>K21/$D21</f>
        <v>0.05489232366055671</v>
      </c>
      <c r="Q21" s="89">
        <f>L21/$D21</f>
        <v>0.02960980086507402</v>
      </c>
      <c r="R21" s="89">
        <f>M21/$D21</f>
        <v>0.009585645953098259</v>
      </c>
      <c r="S21" s="87"/>
      <c r="T21" s="89">
        <f>J21/$H21</f>
        <v>0.4428098482537315</v>
      </c>
      <c r="U21" s="89">
        <f>K21/$H21</f>
        <v>0.3250737263143622</v>
      </c>
      <c r="V21" s="89">
        <f>L21/$H21</f>
        <v>0.1753499881359954</v>
      </c>
      <c r="W21" s="89">
        <f>M21/$H21</f>
        <v>0.05676643729591088</v>
      </c>
      <c r="X21" s="84"/>
      <c r="Y21" s="84"/>
      <c r="Z21" s="84"/>
      <c r="AA21" s="84"/>
      <c r="AB21" s="89"/>
      <c r="AC21" s="84"/>
      <c r="AD21" s="84"/>
      <c r="AE21" s="84"/>
      <c r="AF21" s="84"/>
      <c r="AG21" s="84"/>
      <c r="AH21" s="84"/>
      <c r="AI21" s="84"/>
    </row>
    <row r="22" ht="12" customHeight="1">
      <c r="A22" s="85">
        <f>'BA'!A24</f>
        <v>24624</v>
      </c>
      <c r="B22" s="86">
        <v>1967</v>
      </c>
      <c r="C22" s="87">
        <f>'BA'!B24</f>
        <v>562369</v>
      </c>
      <c r="D22" s="87">
        <f>'BA'!B24</f>
        <v>562369</v>
      </c>
      <c r="E22" s="87"/>
      <c r="F22" s="87"/>
      <c r="G22" s="87"/>
      <c r="H22" s="87">
        <f>J22+K22+L22+M22</f>
        <v>96668</v>
      </c>
      <c r="I22" s="89">
        <f>H22/D22</f>
        <v>0.1718942544841554</v>
      </c>
      <c r="J22" s="87">
        <f>'BA'!M24</f>
        <v>42430</v>
      </c>
      <c r="K22" s="87">
        <f>'BA'!AH24</f>
        <v>31793</v>
      </c>
      <c r="L22" s="87">
        <f>'BA'!V24</f>
        <v>17025</v>
      </c>
      <c r="M22" s="87">
        <f>'BA'!AB24</f>
        <v>5420</v>
      </c>
      <c r="N22" s="87"/>
      <c r="O22" s="89">
        <f>J22/$D22</f>
        <v>0.07544868227089331</v>
      </c>
      <c r="P22" s="89">
        <f>K22/$D22</f>
        <v>0.05653405504215204</v>
      </c>
      <c r="Q22" s="89">
        <f>L22/$D22</f>
        <v>0.03027371707899973</v>
      </c>
      <c r="R22" s="89">
        <f>M22/$D22</f>
        <v>0.00963780009211034</v>
      </c>
      <c r="S22" s="87"/>
      <c r="T22" s="89">
        <f>J22/$H22</f>
        <v>0.4389249803450987</v>
      </c>
      <c r="U22" s="89">
        <f>K22/$H22</f>
        <v>0.3288885670542475</v>
      </c>
      <c r="V22" s="89">
        <f>L22/$H22</f>
        <v>0.1761182604377871</v>
      </c>
      <c r="W22" s="89">
        <f>M22/$H22</f>
        <v>0.05606819216286672</v>
      </c>
      <c r="X22" s="84"/>
      <c r="Y22" s="84"/>
      <c r="Z22" s="84"/>
      <c r="AA22" s="84"/>
      <c r="AB22" s="89"/>
      <c r="AC22" s="84"/>
      <c r="AD22" s="84"/>
      <c r="AE22" s="84"/>
      <c r="AF22" s="84"/>
      <c r="AG22" s="84"/>
      <c r="AH22" s="84"/>
      <c r="AI22" s="84"/>
    </row>
    <row r="23" ht="12" customHeight="1">
      <c r="A23" s="85">
        <f>'BA'!A25</f>
        <v>24990</v>
      </c>
      <c r="B23" s="86">
        <v>1968</v>
      </c>
      <c r="C23" s="87">
        <f>'BA'!B25</f>
        <v>636863</v>
      </c>
      <c r="D23" s="87">
        <f>'BA'!B25</f>
        <v>636863</v>
      </c>
      <c r="E23" s="87"/>
      <c r="F23" s="87"/>
      <c r="G23" s="87"/>
      <c r="H23" s="87">
        <f>J23+K23+L23+M23</f>
        <v>108832</v>
      </c>
      <c r="I23" s="89">
        <f>H23/C23</f>
        <v>0.170887616331927</v>
      </c>
      <c r="J23" s="87">
        <f>'BA'!M25</f>
        <v>48126</v>
      </c>
      <c r="K23" s="87">
        <f>'BA'!AH25</f>
        <v>35416</v>
      </c>
      <c r="L23" s="87">
        <f>'BA'!V25</f>
        <v>19522</v>
      </c>
      <c r="M23" s="87">
        <f>'BA'!AB25</f>
        <v>5768</v>
      </c>
      <c r="N23" s="87"/>
      <c r="O23" s="89">
        <f>J23/$D23</f>
        <v>0.07556727271014331</v>
      </c>
      <c r="P23" s="89">
        <f>K23/$D23</f>
        <v>0.05561007626443992</v>
      </c>
      <c r="Q23" s="89">
        <f>L23/$D23</f>
        <v>0.03065337443060753</v>
      </c>
      <c r="R23" s="89">
        <f>M23/$D23</f>
        <v>0.009056892926736206</v>
      </c>
      <c r="S23" s="87"/>
      <c r="T23" s="89">
        <f>J23/$H23</f>
        <v>0.4422044986768597</v>
      </c>
      <c r="U23" s="89">
        <f>K23/$H23</f>
        <v>0.3254189944134078</v>
      </c>
      <c r="V23" s="89">
        <f>L23/$H23</f>
        <v>0.1793773890032344</v>
      </c>
      <c r="W23" s="89">
        <f>M23/$H23</f>
        <v>0.05299911790649809</v>
      </c>
      <c r="X23" s="84"/>
      <c r="Y23" s="88">
        <v>49957</v>
      </c>
      <c r="Z23" s="88">
        <v>61048</v>
      </c>
      <c r="AA23" s="88">
        <f>SUM(Y23:Z23)</f>
        <v>111005</v>
      </c>
      <c r="AB23" s="89"/>
      <c r="AC23" s="84"/>
      <c r="AD23" s="84"/>
      <c r="AE23" s="84"/>
      <c r="AF23" s="84"/>
      <c r="AG23" s="84"/>
      <c r="AH23" s="84"/>
      <c r="AI23" s="84"/>
    </row>
    <row r="24" ht="12" customHeight="1">
      <c r="A24" s="85">
        <f>'BA'!A26</f>
        <v>25355</v>
      </c>
      <c r="B24" s="86">
        <v>1969</v>
      </c>
      <c r="C24" s="87">
        <f>'BA'!B26</f>
        <v>734003</v>
      </c>
      <c r="D24" s="87">
        <f>'BA'!B26</f>
        <v>734003</v>
      </c>
      <c r="E24" s="87"/>
      <c r="F24" s="87"/>
      <c r="G24" s="87"/>
      <c r="H24" s="87">
        <f>J24+K24+L24+M24</f>
        <v>123541</v>
      </c>
      <c r="I24" s="89">
        <f>H24/C24</f>
        <v>0.1683113011799679</v>
      </c>
      <c r="J24" s="87">
        <f>'BA'!M26</f>
        <v>54359</v>
      </c>
      <c r="K24" s="87">
        <f>'BA'!AH26</f>
        <v>41079</v>
      </c>
      <c r="L24" s="87">
        <f>'BA'!V26</f>
        <v>21985</v>
      </c>
      <c r="M24" s="87">
        <f>'BA'!AB26</f>
        <v>6118</v>
      </c>
      <c r="N24" s="87"/>
      <c r="O24" s="89">
        <f>J24/$D24</f>
        <v>0.07405828041574762</v>
      </c>
      <c r="P24" s="89">
        <f>K24/$D24</f>
        <v>0.05596571131180663</v>
      </c>
      <c r="Q24" s="89">
        <f>L24/$D24</f>
        <v>0.02995219365588424</v>
      </c>
      <c r="R24" s="89">
        <f>M24/$D24</f>
        <v>0.008335115796529442</v>
      </c>
      <c r="S24" s="87"/>
      <c r="T24" s="89">
        <f>J24/$H24</f>
        <v>0.4400077706996058</v>
      </c>
      <c r="U24" s="89">
        <f>K24/$H24</f>
        <v>0.3325130928193879</v>
      </c>
      <c r="V24" s="89">
        <f>L24/$H24</f>
        <v>0.1779571154515505</v>
      </c>
      <c r="W24" s="89">
        <f>M24/$H24</f>
        <v>0.04952202102945581</v>
      </c>
      <c r="X24" s="84"/>
      <c r="Y24" s="88">
        <v>56772</v>
      </c>
      <c r="Z24" s="88">
        <v>69689</v>
      </c>
      <c r="AA24" s="88">
        <f>SUM(Y24:Z24)</f>
        <v>126461</v>
      </c>
      <c r="AB24" s="89"/>
      <c r="AC24" s="84"/>
      <c r="AD24" s="84"/>
      <c r="AE24" s="84"/>
      <c r="AF24" s="84"/>
      <c r="AG24" s="84"/>
      <c r="AH24" s="84"/>
      <c r="AI24" s="84"/>
    </row>
    <row r="25" ht="12" customHeight="1">
      <c r="A25" s="85">
        <f>'BA'!A27</f>
        <v>26085</v>
      </c>
      <c r="B25" s="86">
        <v>1971</v>
      </c>
      <c r="C25" s="87">
        <f>'BA'!B27</f>
        <v>846110</v>
      </c>
      <c r="D25" s="87">
        <f>'BA'!B27</f>
        <v>846110</v>
      </c>
      <c r="E25" s="87"/>
      <c r="F25" s="87"/>
      <c r="G25" s="87"/>
      <c r="H25" s="87">
        <f>J25+K25+L25+M25</f>
        <v>136213</v>
      </c>
      <c r="I25" s="89">
        <f>H25/C25</f>
        <v>0.1609873420713619</v>
      </c>
      <c r="J25" s="87">
        <f>'BA'!M27</f>
        <v>64012</v>
      </c>
      <c r="K25" s="87">
        <f>'BA'!AH27</f>
        <v>44931</v>
      </c>
      <c r="L25" s="87">
        <f>'BA'!V27</f>
        <v>21480</v>
      </c>
      <c r="M25" s="87">
        <f>'BA'!AB27</f>
        <v>5790</v>
      </c>
      <c r="N25" s="87"/>
      <c r="O25" s="89">
        <f>J25/$D25</f>
        <v>0.07565446573140608</v>
      </c>
      <c r="P25" s="89">
        <f>K25/$D25</f>
        <v>0.05310302442944771</v>
      </c>
      <c r="Q25" s="89">
        <f>L25/$D25</f>
        <v>0.02538677004172035</v>
      </c>
      <c r="R25" s="89">
        <f>M25/$D25</f>
        <v>0.006843081868787747</v>
      </c>
      <c r="S25" s="87"/>
      <c r="T25" s="89">
        <f>J25/$H25</f>
        <v>0.4699404608958029</v>
      </c>
      <c r="U25" s="89">
        <f>K25/$H25</f>
        <v>0.3298583835610404</v>
      </c>
      <c r="V25" s="89">
        <f>L25/$H25</f>
        <v>0.1576941995257428</v>
      </c>
      <c r="W25" s="89">
        <f>M25/$H25</f>
        <v>0.0425069560174139</v>
      </c>
      <c r="X25" s="84"/>
      <c r="Y25" s="88">
        <v>66309</v>
      </c>
      <c r="Z25" s="88">
        <v>80575</v>
      </c>
      <c r="AA25" s="88">
        <f>SUM(Y25:Z25)</f>
        <v>146884</v>
      </c>
      <c r="AB25" s="89">
        <f>AA25/D25</f>
        <v>0.1735991774119204</v>
      </c>
      <c r="AC25" s="84"/>
      <c r="AD25" s="87">
        <f>AA25-H25</f>
        <v>10671</v>
      </c>
      <c r="AE25" s="89">
        <f>AD25/D25</f>
        <v>0.01261183534055856</v>
      </c>
      <c r="AF25" s="84"/>
      <c r="AG25" s="84"/>
      <c r="AH25" s="84"/>
      <c r="AI25" s="84"/>
    </row>
    <row r="26" ht="12" customHeight="1">
      <c r="A26" s="85">
        <f>'BA'!A28</f>
        <v>26451</v>
      </c>
      <c r="B26" s="86">
        <v>1972</v>
      </c>
      <c r="C26" s="87">
        <f>'BA'!B28</f>
        <v>894110</v>
      </c>
      <c r="D26" s="87">
        <f>'BA'!B28</f>
        <v>894110</v>
      </c>
      <c r="E26" s="87"/>
      <c r="F26" s="87"/>
      <c r="G26" s="87"/>
      <c r="H26" s="87">
        <f>J26+K26+L26+M26</f>
        <v>134143</v>
      </c>
      <c r="I26" s="89">
        <f>H26/C26</f>
        <v>0.1500296384113811</v>
      </c>
      <c r="J26" s="87">
        <f>'BA'!M28</f>
        <v>63810</v>
      </c>
      <c r="K26" s="87">
        <f>'BA'!AH28</f>
        <v>43975</v>
      </c>
      <c r="L26" s="87">
        <f>'BA'!V28</f>
        <v>20405</v>
      </c>
      <c r="M26" s="87">
        <f>'BA'!AB28</f>
        <v>5953</v>
      </c>
      <c r="N26" s="87"/>
      <c r="O26" s="89">
        <f>J26/$D26</f>
        <v>0.07136705774457282</v>
      </c>
      <c r="P26" s="89">
        <f>K26/$D26</f>
        <v>0.0491829864334366</v>
      </c>
      <c r="Q26" s="89">
        <f>L26/$D26</f>
        <v>0.02282157676348548</v>
      </c>
      <c r="R26" s="89">
        <f>M26/$D26</f>
        <v>0.006658017469886255</v>
      </c>
      <c r="S26" s="87"/>
      <c r="T26" s="89">
        <f>J26/$H26</f>
        <v>0.4756863943701871</v>
      </c>
      <c r="U26" s="89">
        <f>K26/$H26</f>
        <v>0.327821802106707</v>
      </c>
      <c r="V26" s="89">
        <f>L26/$H26</f>
        <v>0.1521137890161991</v>
      </c>
      <c r="W26" s="89">
        <f>M26/$H26</f>
        <v>0.04437801450690681</v>
      </c>
      <c r="X26" s="84"/>
      <c r="Y26" s="88">
        <v>66767</v>
      </c>
      <c r="Z26" s="88">
        <v>78833</v>
      </c>
      <c r="AA26" s="88">
        <f>SUM(Y26:Z26)</f>
        <v>145600</v>
      </c>
      <c r="AB26" s="89">
        <f>AA26/D26</f>
        <v>0.1628434980036013</v>
      </c>
      <c r="AC26" s="84"/>
      <c r="AD26" s="87">
        <f>AA26-H26</f>
        <v>11457</v>
      </c>
      <c r="AE26" s="89">
        <f>AD26/D26</f>
        <v>0.0128138595922202</v>
      </c>
      <c r="AF26" s="84"/>
      <c r="AG26" s="84"/>
      <c r="AH26" s="84"/>
      <c r="AI26" s="84"/>
    </row>
    <row r="27" ht="12" customHeight="1">
      <c r="A27" s="85">
        <f>'BA'!A29</f>
        <v>26816</v>
      </c>
      <c r="B27" s="86">
        <v>1973</v>
      </c>
      <c r="C27" s="87">
        <f>'BA'!B29</f>
        <v>930000</v>
      </c>
      <c r="D27" s="87">
        <f>'BA'!B29</f>
        <v>930000</v>
      </c>
      <c r="E27" s="87"/>
      <c r="F27" s="87"/>
      <c r="G27" s="87"/>
      <c r="H27" s="87">
        <f>J27+K27+L27+M27</f>
        <v>128619</v>
      </c>
      <c r="I27" s="89">
        <f>H27/C27</f>
        <v>0.1383</v>
      </c>
      <c r="J27" s="87">
        <f>'BA'!M29</f>
        <v>60734</v>
      </c>
      <c r="K27" s="87">
        <f>'BA'!AH29</f>
        <v>41223</v>
      </c>
      <c r="L27" s="87">
        <f>'BA'!V29</f>
        <v>20728</v>
      </c>
      <c r="M27" s="87">
        <f>'BA'!AB29</f>
        <v>5934</v>
      </c>
      <c r="N27" s="87"/>
      <c r="O27" s="89">
        <f>J27/$D27</f>
        <v>0.06530537634408602</v>
      </c>
      <c r="P27" s="89">
        <f>K27/$D27</f>
        <v>0.0443258064516129</v>
      </c>
      <c r="Q27" s="89">
        <f>L27/$D27</f>
        <v>0.02228817204301075</v>
      </c>
      <c r="R27" s="89">
        <f>M27/$D27</f>
        <v>0.006380645161290323</v>
      </c>
      <c r="S27" s="87"/>
      <c r="T27" s="89">
        <f>J27/$H27</f>
        <v>0.4722008412442952</v>
      </c>
      <c r="U27" s="89">
        <f>K27/$H27</f>
        <v>0.3205047465770998</v>
      </c>
      <c r="V27" s="89">
        <f>L27/$H27</f>
        <v>0.1611581492625506</v>
      </c>
      <c r="W27" s="89">
        <f>M27/$H27</f>
        <v>0.0461362629160544</v>
      </c>
      <c r="X27" s="84"/>
      <c r="Y27" s="88">
        <v>65468</v>
      </c>
      <c r="Z27" s="88">
        <v>76914</v>
      </c>
      <c r="AA27" s="88">
        <f>SUM(Y27:Z27)</f>
        <v>142382</v>
      </c>
      <c r="AB27" s="89">
        <f>AA27/D27</f>
        <v>0.1530989247311828</v>
      </c>
      <c r="AC27" s="84"/>
      <c r="AD27" s="87">
        <f>AA27-H27</f>
        <v>13763</v>
      </c>
      <c r="AE27" s="89">
        <f>AD27/D27</f>
        <v>0.0147989247311828</v>
      </c>
      <c r="AF27" s="84"/>
      <c r="AG27" s="84"/>
      <c r="AH27" s="84"/>
      <c r="AI27" s="84"/>
    </row>
    <row r="28" ht="12" customHeight="1">
      <c r="A28" s="85">
        <f>'BA'!A30</f>
        <v>27546</v>
      </c>
      <c r="B28" s="86">
        <v>1975</v>
      </c>
      <c r="C28" s="87">
        <f>'BA'!B30</f>
        <v>931663</v>
      </c>
      <c r="D28" s="87">
        <f>'BA'!B30</f>
        <v>931663</v>
      </c>
      <c r="E28" s="87"/>
      <c r="F28" s="87"/>
      <c r="G28" s="87"/>
      <c r="H28" s="87">
        <f>J28+K28+L28+M28</f>
        <v>103939</v>
      </c>
      <c r="I28" s="89">
        <f>H28/C28</f>
        <v>0.1115628719826804</v>
      </c>
      <c r="J28" s="87">
        <f>'BA'!M30</f>
        <v>47148</v>
      </c>
      <c r="K28" s="87">
        <f>'BA'!AH30</f>
        <v>31768</v>
      </c>
      <c r="L28" s="87">
        <f>'BA'!V30</f>
        <v>19675</v>
      </c>
      <c r="M28" s="87">
        <f>'BA'!AB30</f>
        <v>5348</v>
      </c>
      <c r="N28" s="87"/>
      <c r="O28" s="89">
        <f>J28/$D28</f>
        <v>0.05060628145584831</v>
      </c>
      <c r="P28" s="89">
        <f>K28/$D28</f>
        <v>0.03409816639707706</v>
      </c>
      <c r="Q28" s="89">
        <f>L28/$D28</f>
        <v>0.02111815109111342</v>
      </c>
      <c r="R28" s="89">
        <f>M28/$D28</f>
        <v>0.005740273038641655</v>
      </c>
      <c r="S28" s="87"/>
      <c r="T28" s="89">
        <f>J28/$H28</f>
        <v>0.453612214856791</v>
      </c>
      <c r="U28" s="89">
        <f>K28/$H28</f>
        <v>0.3056408085511694</v>
      </c>
      <c r="V28" s="89">
        <f>L28/$H28</f>
        <v>0.1892937203552083</v>
      </c>
      <c r="W28" s="89">
        <f>M28/$H28</f>
        <v>0.05145325623683122</v>
      </c>
      <c r="X28" s="84"/>
      <c r="Y28" s="88">
        <v>54612</v>
      </c>
      <c r="Z28" s="88">
        <v>64963</v>
      </c>
      <c r="AA28" s="88">
        <f>SUM(Y28:Z28)</f>
        <v>119575</v>
      </c>
      <c r="AB28" s="89">
        <f>AA28/D28</f>
        <v>0.12834576450927</v>
      </c>
      <c r="AC28" s="84"/>
      <c r="AD28" s="87">
        <f>AA28-H28</f>
        <v>15636</v>
      </c>
      <c r="AE28" s="89">
        <f>AD28/D28</f>
        <v>0.01678289252658955</v>
      </c>
      <c r="AF28" s="84"/>
      <c r="AG28" s="84"/>
      <c r="AH28" s="84"/>
      <c r="AI28" s="84"/>
    </row>
    <row r="29" ht="12" customHeight="1">
      <c r="A29" s="85">
        <f>'BA'!A31</f>
        <v>28277</v>
      </c>
      <c r="B29" s="86">
        <v>1977</v>
      </c>
      <c r="C29" s="87">
        <f>'BA'!B31</f>
        <v>928228</v>
      </c>
      <c r="D29" s="87">
        <f>'BA'!B31</f>
        <v>928228</v>
      </c>
      <c r="E29" s="87"/>
      <c r="F29" s="87"/>
      <c r="G29" s="87"/>
      <c r="H29" s="87">
        <f>J29+K29+L29+M29</f>
        <v>83669</v>
      </c>
      <c r="I29" s="89">
        <f>H29/C29</f>
        <v>0.09013841426890808</v>
      </c>
      <c r="J29" s="87">
        <f>'BA'!M31</f>
        <v>37745</v>
      </c>
      <c r="K29" s="87">
        <f>'BA'!AH31</f>
        <v>25608</v>
      </c>
      <c r="L29" s="87">
        <f>'BA'!V31</f>
        <v>15865</v>
      </c>
      <c r="M29" s="87">
        <f>'BA'!AB31</f>
        <v>4451</v>
      </c>
      <c r="N29" s="87"/>
      <c r="O29" s="89">
        <f>J29/$D29</f>
        <v>0.04066350077782614</v>
      </c>
      <c r="P29" s="89">
        <f>K29/$D29</f>
        <v>0.02758804948784135</v>
      </c>
      <c r="Q29" s="89">
        <f>L29/$D29</f>
        <v>0.01709170591708072</v>
      </c>
      <c r="R29" s="89">
        <f>M29/$D29</f>
        <v>0.004795158086159866</v>
      </c>
      <c r="S29" s="87"/>
      <c r="T29" s="89">
        <f>J29/$H29</f>
        <v>0.4511228770512376</v>
      </c>
      <c r="U29" s="89">
        <f>K29/$H29</f>
        <v>0.3060631775209456</v>
      </c>
      <c r="V29" s="89">
        <f>L29/$H29</f>
        <v>0.1896162258423072</v>
      </c>
      <c r="W29" s="89">
        <f>M29/$H29</f>
        <v>0.05319771958550957</v>
      </c>
      <c r="X29" s="84"/>
      <c r="Y29" s="88">
        <v>45307</v>
      </c>
      <c r="Z29" s="88">
        <v>53948</v>
      </c>
      <c r="AA29" s="88">
        <f>SUM(Y29:Z29)</f>
        <v>99255</v>
      </c>
      <c r="AB29" s="89">
        <f>AA29/D29</f>
        <v>0.1069295474818687</v>
      </c>
      <c r="AC29" s="84"/>
      <c r="AD29" s="87">
        <f>AA29-H29</f>
        <v>15586</v>
      </c>
      <c r="AE29" s="89">
        <f>AD29/D29</f>
        <v>0.01679113321296061</v>
      </c>
      <c r="AF29" s="84"/>
      <c r="AG29" s="84"/>
      <c r="AH29" s="84"/>
      <c r="AI29" s="84"/>
    </row>
    <row r="30" ht="12" customHeight="1">
      <c r="A30" s="85">
        <f>'BA'!A32</f>
        <v>28642</v>
      </c>
      <c r="B30" s="86">
        <v>1978</v>
      </c>
      <c r="C30" s="87">
        <f>'BA'!B32</f>
        <v>930201</v>
      </c>
      <c r="D30" s="87">
        <f>'BA'!B32</f>
        <v>930201</v>
      </c>
      <c r="E30" s="87"/>
      <c r="F30" s="87"/>
      <c r="G30" s="87"/>
      <c r="H30" s="87">
        <f>J30+K30+L30+M30</f>
        <v>76968</v>
      </c>
      <c r="I30" s="89">
        <f>H30/C30</f>
        <v>0.08274340707008486</v>
      </c>
      <c r="J30" s="87">
        <f>'BA'!M32</f>
        <v>35174</v>
      </c>
      <c r="K30" s="87">
        <f>'BA'!AH32</f>
        <v>23145</v>
      </c>
      <c r="L30" s="87">
        <f>'BA'!V32</f>
        <v>14614</v>
      </c>
      <c r="M30" s="87">
        <f>'BA'!AB32</f>
        <v>4035</v>
      </c>
      <c r="N30" s="87"/>
      <c r="O30" s="89">
        <f>J30/$D30</f>
        <v>0.03781333281731582</v>
      </c>
      <c r="P30" s="89">
        <f>K30/$D30</f>
        <v>0.02488171911232089</v>
      </c>
      <c r="Q30" s="89">
        <f>L30/$D30</f>
        <v>0.01571058298152765</v>
      </c>
      <c r="R30" s="89">
        <f>M30/$D30</f>
        <v>0.004337772158920492</v>
      </c>
      <c r="S30" s="87"/>
      <c r="T30" s="89">
        <f>J30/$H30</f>
        <v>0.4569951148529259</v>
      </c>
      <c r="U30" s="89">
        <f>K30/$H30</f>
        <v>0.3007093857187402</v>
      </c>
      <c r="V30" s="89">
        <f>L30/$H30</f>
        <v>0.1898711152686831</v>
      </c>
      <c r="W30" s="89">
        <f>M30/$H30</f>
        <v>0.05242438415965076</v>
      </c>
      <c r="X30" s="84"/>
      <c r="Y30" s="88">
        <v>41429</v>
      </c>
      <c r="Z30" s="88">
        <v>50905</v>
      </c>
      <c r="AA30" s="88">
        <f>SUM(Y30:Z30)</f>
        <v>92334</v>
      </c>
      <c r="AB30" s="89">
        <f>AA30/D30</f>
        <v>0.09926241747751292</v>
      </c>
      <c r="AC30" s="84"/>
      <c r="AD30" s="87">
        <f>AA30-H30</f>
        <v>15366</v>
      </c>
      <c r="AE30" s="89">
        <f>AD30/D30</f>
        <v>0.01651901040742807</v>
      </c>
      <c r="AF30" s="84"/>
      <c r="AG30" s="84"/>
      <c r="AH30" s="84"/>
      <c r="AI30" s="84"/>
    </row>
    <row r="31" ht="12" customHeight="1">
      <c r="A31" s="85">
        <f>'BA'!A33</f>
        <v>29373</v>
      </c>
      <c r="B31" s="86">
        <v>1980</v>
      </c>
      <c r="C31" s="87">
        <f>'BA'!B33</f>
        <v>940251</v>
      </c>
      <c r="D31" s="87">
        <f>C31</f>
        <v>940251</v>
      </c>
      <c r="E31" s="87"/>
      <c r="F31" s="87"/>
      <c r="G31" s="87"/>
      <c r="H31" s="87">
        <f>J31+K31+L31+M31</f>
        <v>68186</v>
      </c>
      <c r="I31" s="89">
        <f>H31/C31</f>
        <v>0.07251893377406671</v>
      </c>
      <c r="J31" s="87">
        <f>'BA'!M33</f>
        <v>32381</v>
      </c>
      <c r="K31" s="87">
        <f>'BA'!AH33</f>
        <v>19414</v>
      </c>
      <c r="L31" s="87">
        <f>'BA'!V33</f>
        <v>12675</v>
      </c>
      <c r="M31" s="87">
        <f>'BA'!AB33</f>
        <v>3716</v>
      </c>
      <c r="N31" s="87"/>
      <c r="O31" s="89">
        <f>J31/$D31</f>
        <v>0.03443867648106729</v>
      </c>
      <c r="P31" s="89">
        <f>K31/$D31</f>
        <v>0.02064767811999136</v>
      </c>
      <c r="Q31" s="89">
        <f>L31/$D31</f>
        <v>0.01348044298809573</v>
      </c>
      <c r="R31" s="89">
        <f>M31/$D31</f>
        <v>0.003952136184912327</v>
      </c>
      <c r="S31" s="87"/>
      <c r="T31" s="89">
        <f>J31/$H31</f>
        <v>0.4748922066113279</v>
      </c>
      <c r="U31" s="89">
        <f>K31/$H31</f>
        <v>0.284721203766169</v>
      </c>
      <c r="V31" s="89">
        <f>L31/$H31</f>
        <v>0.1858885988326049</v>
      </c>
      <c r="W31" s="89">
        <f>M31/$H31</f>
        <v>0.05449799078989822</v>
      </c>
      <c r="X31" s="84"/>
      <c r="Y31" s="88">
        <v>35357</v>
      </c>
      <c r="Z31" s="88">
        <v>46674</v>
      </c>
      <c r="AA31" s="88">
        <f>SUM(Y31:Z31)</f>
        <v>82031</v>
      </c>
      <c r="AB31" s="89">
        <f>AA31/D31</f>
        <v>0.08724372534567898</v>
      </c>
      <c r="AC31" s="84"/>
      <c r="AD31" s="87">
        <f>AA31-H31</f>
        <v>13845</v>
      </c>
      <c r="AE31" s="89">
        <f>AD31/D31</f>
        <v>0.01472479157161226</v>
      </c>
      <c r="AF31" s="84"/>
      <c r="AG31" s="84"/>
      <c r="AH31" s="84"/>
      <c r="AI31" s="84"/>
    </row>
    <row r="32" ht="12" customHeight="1">
      <c r="A32" s="85">
        <f>'BA'!A34</f>
        <v>29738</v>
      </c>
      <c r="B32" s="86">
        <v>1981</v>
      </c>
      <c r="C32" s="87">
        <f>'BA'!B34</f>
        <v>946877</v>
      </c>
      <c r="D32" s="87">
        <f>C32</f>
        <v>946877</v>
      </c>
      <c r="E32" s="87"/>
      <c r="F32" s="87"/>
      <c r="G32" s="87"/>
      <c r="H32" s="87">
        <f>J32+K32+L32+M32</f>
        <v>66010</v>
      </c>
      <c r="I32" s="89">
        <f>H32/C32</f>
        <v>0.06971338410374314</v>
      </c>
      <c r="J32" s="87">
        <f>'BA'!M34</f>
        <v>32057</v>
      </c>
      <c r="K32" s="87">
        <f>'BA'!AH34</f>
        <v>18413</v>
      </c>
      <c r="L32" s="87">
        <f>'BA'!V34</f>
        <v>11877</v>
      </c>
      <c r="M32" s="87">
        <f>'BA'!AB34</f>
        <v>3663</v>
      </c>
      <c r="N32" s="87"/>
      <c r="O32" s="89">
        <f>J32/$D32</f>
        <v>0.03385550604777601</v>
      </c>
      <c r="P32" s="89">
        <f>K32/$D32</f>
        <v>0.01944603153313472</v>
      </c>
      <c r="Q32" s="89">
        <f>L32/$D32</f>
        <v>0.0125433398424505</v>
      </c>
      <c r="R32" s="89">
        <f>M32/$D32</f>
        <v>0.003868506680381929</v>
      </c>
      <c r="S32" s="87"/>
      <c r="T32" s="89">
        <f>J32/$H32</f>
        <v>0.4856385396152098</v>
      </c>
      <c r="U32" s="89">
        <f>K32/$H32</f>
        <v>0.2789425844569005</v>
      </c>
      <c r="V32" s="89">
        <f>L32/$H32</f>
        <v>0.1799272837448871</v>
      </c>
      <c r="W32" s="89">
        <f>M32/$H32</f>
        <v>0.05549159218300258</v>
      </c>
      <c r="X32" s="84"/>
      <c r="Y32" s="88">
        <v>33845</v>
      </c>
      <c r="Z32" s="88">
        <v>45278</v>
      </c>
      <c r="AA32" s="88">
        <f>SUM(Y32:Z32)</f>
        <v>79123</v>
      </c>
      <c r="AB32" s="89">
        <f>AA32/D32</f>
        <v>0.08356206772368534</v>
      </c>
      <c r="AC32" s="84"/>
      <c r="AD32" s="87">
        <f>AA32-H32</f>
        <v>13113</v>
      </c>
      <c r="AE32" s="89">
        <f>AD32/D32</f>
        <v>0.01384868361994219</v>
      </c>
      <c r="AF32" s="84"/>
      <c r="AG32" s="84"/>
      <c r="AH32" s="84"/>
      <c r="AI32" s="84"/>
    </row>
    <row r="33" ht="12" customHeight="1">
      <c r="A33" s="85">
        <f>'BA'!A35</f>
        <v>30103</v>
      </c>
      <c r="B33" s="86">
        <v>1982</v>
      </c>
      <c r="C33" s="87">
        <f>'BA'!B35</f>
        <v>964043</v>
      </c>
      <c r="D33" s="87">
        <f>C33</f>
        <v>964043</v>
      </c>
      <c r="E33" s="87"/>
      <c r="F33" s="87"/>
      <c r="G33" s="87"/>
      <c r="H33" s="87">
        <f>J33+K33+L33+M33</f>
        <v>65269</v>
      </c>
      <c r="I33" s="89">
        <f>H33/C33</f>
        <v>0.06770341156981587</v>
      </c>
      <c r="J33" s="87">
        <f>'BA'!M35</f>
        <v>33234</v>
      </c>
      <c r="K33" s="87">
        <f>'BA'!AH35</f>
        <v>17246</v>
      </c>
      <c r="L33" s="87">
        <f>'BA'!V35</f>
        <v>11372</v>
      </c>
      <c r="M33" s="87">
        <f>'BA'!AB35</f>
        <v>3417</v>
      </c>
      <c r="N33" s="87"/>
      <c r="O33" s="89">
        <f>J33/$D33</f>
        <v>0.03447356601313427</v>
      </c>
      <c r="P33" s="89">
        <f>K33/$D33</f>
        <v>0.0178892435295936</v>
      </c>
      <c r="Q33" s="89">
        <f>L33/$D33</f>
        <v>0.01179615432091722</v>
      </c>
      <c r="R33" s="89">
        <f>M33/$D33</f>
        <v>0.003544447706170783</v>
      </c>
      <c r="S33" s="87"/>
      <c r="T33" s="89">
        <f>J33/$H33</f>
        <v>0.5091850648853208</v>
      </c>
      <c r="U33" s="89">
        <f>K33/$H33</f>
        <v>0.264229572997901</v>
      </c>
      <c r="V33" s="89">
        <f>L33/$H33</f>
        <v>0.1742327904518225</v>
      </c>
      <c r="W33" s="89">
        <f>M33/$H33</f>
        <v>0.0523525716649558</v>
      </c>
      <c r="X33" s="84"/>
      <c r="Y33" s="88">
        <v>32891</v>
      </c>
      <c r="Z33" s="88">
        <v>45267</v>
      </c>
      <c r="AA33" s="88">
        <f>SUM(Y33:Z33)</f>
        <v>78158</v>
      </c>
      <c r="AB33" s="89">
        <f>AA33/D33</f>
        <v>0.08107314715214985</v>
      </c>
      <c r="AC33" s="84"/>
      <c r="AD33" s="87">
        <f>AA33-H33</f>
        <v>12889</v>
      </c>
      <c r="AE33" s="89">
        <f>AD33/D33</f>
        <v>0.01336973558233398</v>
      </c>
      <c r="AF33" s="84"/>
      <c r="AG33" s="84"/>
      <c r="AH33" s="84"/>
      <c r="AI33" s="84"/>
    </row>
    <row r="34" ht="12" customHeight="1">
      <c r="A34" s="85">
        <f>'BA'!A36</f>
        <v>30834</v>
      </c>
      <c r="B34" s="86">
        <v>1984</v>
      </c>
      <c r="C34" s="87">
        <f>'BA'!B36</f>
        <v>986000</v>
      </c>
      <c r="D34" s="87">
        <f>C34</f>
        <v>986000</v>
      </c>
      <c r="E34" s="87"/>
      <c r="F34" s="87"/>
      <c r="G34" s="87"/>
      <c r="H34" s="87">
        <f>J34+K34+L34+M34</f>
        <v>63712</v>
      </c>
      <c r="I34" s="89">
        <f>H34/C34</f>
        <v>0.06461663286004057</v>
      </c>
      <c r="J34" s="87">
        <f>'BA'!M36</f>
        <v>32410</v>
      </c>
      <c r="K34" s="87">
        <f>'BA'!AH36</f>
        <v>16737</v>
      </c>
      <c r="L34" s="87">
        <f>'BA'!V36</f>
        <v>11246</v>
      </c>
      <c r="M34" s="87">
        <f>'BA'!AB36</f>
        <v>3319</v>
      </c>
      <c r="N34" s="87"/>
      <c r="O34" s="89">
        <f>J34/$D34</f>
        <v>0.03287018255578093</v>
      </c>
      <c r="P34" s="89">
        <f>K34/$D34</f>
        <v>0.01697464503042596</v>
      </c>
      <c r="Q34" s="89">
        <f>L34/$D34</f>
        <v>0.01140567951318458</v>
      </c>
      <c r="R34" s="89">
        <f>M34/$D34</f>
        <v>0.003366125760649087</v>
      </c>
      <c r="S34" s="87"/>
      <c r="T34" s="89">
        <f>J34/$H34</f>
        <v>0.5086953792064289</v>
      </c>
      <c r="U34" s="89">
        <f>K34/$H34</f>
        <v>0.2626977649422401</v>
      </c>
      <c r="V34" s="89">
        <f>L34/$H34</f>
        <v>0.17651305876444</v>
      </c>
      <c r="W34" s="89">
        <f>M34/$H34</f>
        <v>0.05209379708689101</v>
      </c>
      <c r="X34" s="84"/>
      <c r="Y34" s="88">
        <v>33235</v>
      </c>
      <c r="Z34" s="88">
        <v>44731</v>
      </c>
      <c r="AA34" s="88">
        <f>SUM(Y34:Z34)</f>
        <v>77966</v>
      </c>
      <c r="AB34" s="89">
        <f>AA34/D34</f>
        <v>0.07907302231237323</v>
      </c>
      <c r="AC34" s="84"/>
      <c r="AD34" s="87">
        <f>AA34-H34</f>
        <v>14254</v>
      </c>
      <c r="AE34" s="89">
        <f>AD34/D34</f>
        <v>0.01445638945233266</v>
      </c>
      <c r="AF34" s="84"/>
      <c r="AG34" s="84"/>
      <c r="AH34" s="84"/>
      <c r="AI34" s="84"/>
    </row>
    <row r="35" ht="12" customHeight="1">
      <c r="A35" s="85">
        <f>'BA'!A37</f>
        <v>31199</v>
      </c>
      <c r="B35" s="86">
        <v>1985</v>
      </c>
      <c r="C35" s="87">
        <f>'BA'!B37</f>
        <v>991000</v>
      </c>
      <c r="D35" s="87">
        <f>C35</f>
        <v>991000</v>
      </c>
      <c r="E35" s="87"/>
      <c r="F35" s="87"/>
      <c r="G35" s="87"/>
      <c r="H35" s="87">
        <f>J35+K35+L35+M35</f>
        <v>63844</v>
      </c>
      <c r="I35" s="89">
        <f>H35/C35</f>
        <v>0.06442381432896065</v>
      </c>
      <c r="J35" s="87">
        <f>'BA'!M37</f>
        <v>32747</v>
      </c>
      <c r="K35" s="87">
        <f>'BA'!AH37</f>
        <v>16143</v>
      </c>
      <c r="L35" s="87">
        <f>'BA'!V37</f>
        <v>11577</v>
      </c>
      <c r="M35" s="87">
        <f>'BA'!AB37</f>
        <v>3377</v>
      </c>
      <c r="N35" s="87"/>
      <c r="O35" s="89">
        <f>J35/$D35</f>
        <v>0.0330443995963673</v>
      </c>
      <c r="P35" s="89">
        <f>K35/$D35</f>
        <v>0.01628960645812311</v>
      </c>
      <c r="Q35" s="89">
        <f>L35/$D35</f>
        <v>0.01168213925327951</v>
      </c>
      <c r="R35" s="89">
        <f>M35/$D35</f>
        <v>0.003407669021190717</v>
      </c>
      <c r="S35" s="87"/>
      <c r="T35" s="89">
        <f>J35/$H35</f>
        <v>0.5129221226740179</v>
      </c>
      <c r="U35" s="89">
        <f>K35/$H35</f>
        <v>0.2528506985777834</v>
      </c>
      <c r="V35" s="89">
        <f>L35/$H35</f>
        <v>0.1813326232692187</v>
      </c>
      <c r="W35" s="89">
        <f>M35/$H35</f>
        <v>0.05289455547898001</v>
      </c>
      <c r="X35" s="84"/>
      <c r="Y35" s="88">
        <v>32821</v>
      </c>
      <c r="Z35" s="88">
        <v>44605</v>
      </c>
      <c r="AA35" s="88">
        <f>SUM(Y35:Z35)</f>
        <v>77426</v>
      </c>
      <c r="AB35" s="89">
        <f>AA35/D35</f>
        <v>0.07812916246215944</v>
      </c>
      <c r="AC35" s="84"/>
      <c r="AD35" s="87">
        <f>AA35-H35</f>
        <v>13582</v>
      </c>
      <c r="AE35" s="89">
        <f>AD35/D35</f>
        <v>0.01370534813319879</v>
      </c>
      <c r="AF35" s="84"/>
      <c r="AG35" s="84"/>
      <c r="AH35" s="84"/>
      <c r="AI35" s="84"/>
    </row>
    <row r="36" ht="12" customHeight="1">
      <c r="A36" s="85">
        <f>'BA'!A38</f>
        <v>31564</v>
      </c>
      <c r="B36" s="86">
        <v>1986</v>
      </c>
      <c r="C36" s="87">
        <f>'BA'!B38</f>
        <v>1000204</v>
      </c>
      <c r="D36" s="87">
        <f>C36</f>
        <v>1000204</v>
      </c>
      <c r="E36" s="87"/>
      <c r="F36" s="87"/>
      <c r="G36" s="87"/>
      <c r="H36" s="87">
        <f>J36+K36+L36+M36</f>
        <v>65670</v>
      </c>
      <c r="I36" s="89">
        <f>H36/C36</f>
        <v>0.06565660605236531</v>
      </c>
      <c r="J36" s="87">
        <f>'BA'!M38</f>
        <v>34261</v>
      </c>
      <c r="K36" s="87">
        <f>'BA'!AH38</f>
        <v>16499</v>
      </c>
      <c r="L36" s="87">
        <f>'BA'!V38</f>
        <v>11623</v>
      </c>
      <c r="M36" s="87">
        <f>'BA'!AB38</f>
        <v>3287</v>
      </c>
      <c r="N36" s="87"/>
      <c r="O36" s="89">
        <f>J36/$D36</f>
        <v>0.03425401218151497</v>
      </c>
      <c r="P36" s="89">
        <f>K36/$D36</f>
        <v>0.01649563489048234</v>
      </c>
      <c r="Q36" s="89">
        <f>L36/$D36</f>
        <v>0.01162062939160411</v>
      </c>
      <c r="R36" s="89">
        <f>M36/$D36</f>
        <v>0.003286329588763892</v>
      </c>
      <c r="S36" s="87"/>
      <c r="T36" s="89">
        <f>J36/$H36</f>
        <v>0.5217146337749353</v>
      </c>
      <c r="U36" s="89">
        <f>K36/$H36</f>
        <v>0.2512410537536166</v>
      </c>
      <c r="V36" s="89">
        <f>L36/$H36</f>
        <v>0.176991015684483</v>
      </c>
      <c r="W36" s="89">
        <f>M36/$H36</f>
        <v>0.05005329678696513</v>
      </c>
      <c r="X36" s="84"/>
      <c r="Y36" s="88">
        <v>33002</v>
      </c>
      <c r="Z36" s="88">
        <v>44063</v>
      </c>
      <c r="AA36" s="88">
        <f>SUM(Y36:Z36)</f>
        <v>77065</v>
      </c>
      <c r="AB36" s="89">
        <f>AA36/D36</f>
        <v>0.07704928194648292</v>
      </c>
      <c r="AC36" s="84"/>
      <c r="AD36" s="87">
        <f>AA36-H36</f>
        <v>11395</v>
      </c>
      <c r="AE36" s="89">
        <f>AD36/D36</f>
        <v>0.0113926758941176</v>
      </c>
      <c r="AF36" s="84"/>
      <c r="AG36" s="84"/>
      <c r="AH36" s="84"/>
      <c r="AI36" s="84"/>
    </row>
    <row r="37" ht="12" customHeight="1">
      <c r="A37" s="85">
        <f>'BA'!A39</f>
        <v>31929</v>
      </c>
      <c r="B37" s="86">
        <v>1987</v>
      </c>
      <c r="C37" s="87">
        <f>'BA'!B39</f>
        <v>1005021</v>
      </c>
      <c r="D37" s="87">
        <f>C37</f>
        <v>1005021</v>
      </c>
      <c r="E37" s="87"/>
      <c r="F37" s="87"/>
      <c r="G37" s="87"/>
      <c r="H37" s="87">
        <f>J37+K37+L37+M37</f>
        <v>67140</v>
      </c>
      <c r="I37" s="89">
        <f>H37/C37</f>
        <v>0.06680457423277722</v>
      </c>
      <c r="J37" s="87">
        <f>'BA'!M39</f>
        <v>35220</v>
      </c>
      <c r="K37" s="87">
        <f>'BA'!AH39</f>
        <v>16876</v>
      </c>
      <c r="L37" s="87">
        <f>'BA'!V39</f>
        <v>11759</v>
      </c>
      <c r="M37" s="87">
        <f>'BA'!AB39</f>
        <v>3285</v>
      </c>
      <c r="N37" s="87"/>
      <c r="O37" s="89">
        <f>J37/$D37</f>
        <v>0.03504404385580003</v>
      </c>
      <c r="P37" s="89">
        <f>K37/$D37</f>
        <v>0.01679168892988306</v>
      </c>
      <c r="Q37" s="89">
        <f>L37/$D37</f>
        <v>0.01170025302953869</v>
      </c>
      <c r="R37" s="89">
        <f>M37/$D37</f>
        <v>0.003268588417555454</v>
      </c>
      <c r="S37" s="87"/>
      <c r="T37" s="89">
        <f>J37/$H37</f>
        <v>0.5245755138516532</v>
      </c>
      <c r="U37" s="89">
        <f>K37/$H37</f>
        <v>0.2513553768245457</v>
      </c>
      <c r="V37" s="89">
        <f>L37/$H37</f>
        <v>0.1751414953827823</v>
      </c>
      <c r="W37" s="89">
        <f>M37/$H37</f>
        <v>0.04892761394101876</v>
      </c>
      <c r="X37" s="84"/>
      <c r="Y37" s="88">
        <v>33002</v>
      </c>
      <c r="Z37" s="88">
        <v>46724</v>
      </c>
      <c r="AA37" s="88">
        <f>SUM(Y37:Z37)</f>
        <v>79726</v>
      </c>
      <c r="AB37" s="89">
        <f>AA37/D37</f>
        <v>0.0793276956401906</v>
      </c>
      <c r="AC37" s="84"/>
      <c r="AD37" s="87">
        <f>AA37-H37</f>
        <v>12586</v>
      </c>
      <c r="AE37" s="89">
        <f>AD37/D37</f>
        <v>0.01252312140741338</v>
      </c>
      <c r="AF37" s="84"/>
      <c r="AG37" s="84"/>
      <c r="AH37" s="84"/>
      <c r="AI37" s="84"/>
    </row>
    <row r="38" ht="12" customHeight="1">
      <c r="A38" s="85">
        <f>'BA'!A40</f>
        <v>32295</v>
      </c>
      <c r="B38" s="86">
        <v>1988</v>
      </c>
      <c r="C38" s="87">
        <f>'BA'!B40</f>
        <v>1009223</v>
      </c>
      <c r="D38" s="87">
        <f>C38</f>
        <v>1009223</v>
      </c>
      <c r="E38" s="87"/>
      <c r="F38" s="87"/>
      <c r="G38" s="87"/>
      <c r="H38" s="87">
        <f>J38+K38+L38+M38</f>
        <v>71394</v>
      </c>
      <c r="I38" s="89">
        <f>H38/C38</f>
        <v>0.07074155067809593</v>
      </c>
      <c r="J38" s="87">
        <f>'BA'!M40</f>
        <v>37997</v>
      </c>
      <c r="K38" s="87">
        <f>'BA'!AH40</f>
        <v>18245</v>
      </c>
      <c r="L38" s="87">
        <f>'BA'!V40</f>
        <v>11563</v>
      </c>
      <c r="M38" s="87">
        <f>'BA'!AB40</f>
        <v>3589</v>
      </c>
      <c r="N38" s="87"/>
      <c r="O38" s="89">
        <f>J38/$D38</f>
        <v>0.03764975629766662</v>
      </c>
      <c r="P38" s="89">
        <f>K38/$D38</f>
        <v>0.01807826416956411</v>
      </c>
      <c r="Q38" s="89">
        <f>L38/$D38</f>
        <v>0.01145732905413372</v>
      </c>
      <c r="R38" s="89">
        <f>M38/$D38</f>
        <v>0.003556201156731466</v>
      </c>
      <c r="S38" s="87"/>
      <c r="T38" s="89">
        <f>J38/$H38</f>
        <v>0.5322155923466958</v>
      </c>
      <c r="U38" s="89">
        <f>K38/$H38</f>
        <v>0.2555536879849847</v>
      </c>
      <c r="V38" s="89">
        <f>L38/$H38</f>
        <v>0.1619603888281929</v>
      </c>
      <c r="W38" s="89">
        <f>M38/$H38</f>
        <v>0.05027033084012662</v>
      </c>
      <c r="X38" s="84"/>
      <c r="Y38" s="88">
        <v>35033</v>
      </c>
      <c r="Z38" s="88">
        <v>48978</v>
      </c>
      <c r="AA38" s="88">
        <f>SUM(Y38:Z38)</f>
        <v>84011</v>
      </c>
      <c r="AB38" s="89">
        <f>AA38/D38</f>
        <v>0.08324324752804881</v>
      </c>
      <c r="AC38" s="84"/>
      <c r="AD38" s="87">
        <f>AA38-H38</f>
        <v>12617</v>
      </c>
      <c r="AE38" s="89">
        <f>AD38/D38</f>
        <v>0.01250169684995288</v>
      </c>
      <c r="AF38" s="84"/>
      <c r="AG38" s="84"/>
      <c r="AH38" s="84"/>
      <c r="AI38" s="84"/>
    </row>
    <row r="39" ht="12" customHeight="1">
      <c r="A39" s="85">
        <f>'BA'!A41</f>
        <v>32660</v>
      </c>
      <c r="B39" s="86">
        <v>1989</v>
      </c>
      <c r="C39" s="87">
        <f>'BA'!B41</f>
        <v>1030000</v>
      </c>
      <c r="D39" s="87">
        <f>C39</f>
        <v>1030000</v>
      </c>
      <c r="E39" s="87"/>
      <c r="F39" s="87"/>
      <c r="G39" s="87"/>
      <c r="H39" s="87">
        <f>J39+K39+L39+M39</f>
        <v>78109</v>
      </c>
      <c r="I39" s="89">
        <f>H39/C39</f>
        <v>0.07583398058252427</v>
      </c>
      <c r="J39" s="87">
        <f>'BA'!M41</f>
        <v>41631</v>
      </c>
      <c r="K39" s="87">
        <f>'BA'!AH41</f>
        <v>20136</v>
      </c>
      <c r="L39" s="87">
        <f>'BA'!V41</f>
        <v>12469</v>
      </c>
      <c r="M39" s="87">
        <f>'BA'!AB41</f>
        <v>3873</v>
      </c>
      <c r="N39" s="87"/>
      <c r="O39" s="89">
        <f>J39/$D39</f>
        <v>0.04041844660194175</v>
      </c>
      <c r="P39" s="89">
        <f>K39/$D39</f>
        <v>0.0195495145631068</v>
      </c>
      <c r="Q39" s="89">
        <f>L39/$D39</f>
        <v>0.01210582524271845</v>
      </c>
      <c r="R39" s="89">
        <f>M39/$D39</f>
        <v>0.003760194174757282</v>
      </c>
      <c r="S39" s="87"/>
      <c r="T39" s="89">
        <f>J39/$H39</f>
        <v>0.5329859555236912</v>
      </c>
      <c r="U39" s="89">
        <f>K39/$H39</f>
        <v>0.2577935961284871</v>
      </c>
      <c r="V39" s="89">
        <f>L39/$H39</f>
        <v>0.1596358934309747</v>
      </c>
      <c r="W39" s="89">
        <f>M39/$H39</f>
        <v>0.04958455491684697</v>
      </c>
      <c r="X39" s="84"/>
      <c r="Y39" s="88">
        <v>37896</v>
      </c>
      <c r="Z39" s="88">
        <v>53929</v>
      </c>
      <c r="AA39" s="88">
        <f>SUM(Y39:Z39)</f>
        <v>91825</v>
      </c>
      <c r="AB39" s="89">
        <f>AA39/D39</f>
        <v>0.0891504854368932</v>
      </c>
      <c r="AC39" s="84"/>
      <c r="AD39" s="87">
        <f>AA39-H39</f>
        <v>13716</v>
      </c>
      <c r="AE39" s="89">
        <f>AD39/D39</f>
        <v>0.01331650485436893</v>
      </c>
      <c r="AF39" s="84"/>
      <c r="AG39" s="84"/>
      <c r="AH39" s="84"/>
      <c r="AI39" s="84"/>
    </row>
    <row r="40" ht="12" customHeight="1">
      <c r="A40" s="85">
        <f>'BA'!A42</f>
        <v>33025</v>
      </c>
      <c r="B40" s="86">
        <v>1990</v>
      </c>
      <c r="C40" s="87">
        <f>'BA'!B42</f>
        <v>1062000</v>
      </c>
      <c r="D40" s="87">
        <f>C40</f>
        <v>1062000</v>
      </c>
      <c r="E40" s="87"/>
      <c r="F40" s="87"/>
      <c r="G40" s="87"/>
      <c r="H40" s="87">
        <f>J40+K40+L40+M40</f>
        <v>85941</v>
      </c>
      <c r="I40" s="89">
        <f>H40/C40</f>
        <v>0.08092372881355932</v>
      </c>
      <c r="J40" s="87">
        <f>'BA'!M42</f>
        <v>46286</v>
      </c>
      <c r="K40" s="87">
        <f>'BA'!AH42</f>
        <v>22266</v>
      </c>
      <c r="L40" s="87">
        <f>'BA'!V42</f>
        <v>13102</v>
      </c>
      <c r="M40" s="87">
        <f>'BA'!AB42</f>
        <v>4287</v>
      </c>
      <c r="N40" s="87"/>
      <c r="O40" s="89">
        <f>J40/$D40</f>
        <v>0.04358380414312617</v>
      </c>
      <c r="P40" s="89">
        <f>K40/$D40</f>
        <v>0.02096610169491525</v>
      </c>
      <c r="Q40" s="89">
        <f>L40/$D40</f>
        <v>0.01233709981167608</v>
      </c>
      <c r="R40" s="89">
        <f>M40/$D40</f>
        <v>0.004036723163841808</v>
      </c>
      <c r="S40" s="87"/>
      <c r="T40" s="89">
        <f>J40/$H40</f>
        <v>0.538578792427363</v>
      </c>
      <c r="U40" s="89">
        <f>K40/$H40</f>
        <v>0.2590847209131846</v>
      </c>
      <c r="V40" s="89">
        <f>L40/$H40</f>
        <v>0.1524534273513224</v>
      </c>
      <c r="W40" s="89">
        <f>M40/$H40</f>
        <v>0.04988305930812999</v>
      </c>
      <c r="X40" s="84"/>
      <c r="Y40" s="88">
        <v>41457</v>
      </c>
      <c r="Z40" s="88">
        <v>58681</v>
      </c>
      <c r="AA40" s="88">
        <f>SUM(Y40:Z40)</f>
        <v>100138</v>
      </c>
      <c r="AB40" s="89">
        <f>AA40/D40</f>
        <v>0.09429190207156309</v>
      </c>
      <c r="AC40" s="84"/>
      <c r="AD40" s="87">
        <f>AA40-H40</f>
        <v>14197</v>
      </c>
      <c r="AE40" s="89">
        <f>AD40/D40</f>
        <v>0.01336817325800377</v>
      </c>
      <c r="AF40" s="84"/>
      <c r="AG40" s="84"/>
      <c r="AH40" s="84"/>
      <c r="AI40" s="84"/>
    </row>
    <row r="41" ht="12" customHeight="1">
      <c r="A41" s="85">
        <f>'BA'!A43</f>
        <v>33390</v>
      </c>
      <c r="B41" s="86">
        <v>1991</v>
      </c>
      <c r="C41" s="87">
        <f>'BA'!B43</f>
        <v>1108000</v>
      </c>
      <c r="D41" s="87">
        <f>C41</f>
        <v>1108000</v>
      </c>
      <c r="E41" s="87"/>
      <c r="F41" s="87"/>
      <c r="G41" s="87"/>
      <c r="H41" s="87">
        <f>J41+K41+L41+M41</f>
        <v>94158</v>
      </c>
      <c r="I41" s="89">
        <f>H41/C41</f>
        <v>0.08498014440433213</v>
      </c>
      <c r="J41" s="87">
        <f>'BA'!M43</f>
        <v>50999</v>
      </c>
      <c r="K41" s="87">
        <f>'BA'!AH43</f>
        <v>24593</v>
      </c>
      <c r="L41" s="87">
        <f>'BA'!V43</f>
        <v>13964</v>
      </c>
      <c r="M41" s="87">
        <f>'BA'!AB43</f>
        <v>4602</v>
      </c>
      <c r="N41" s="87"/>
      <c r="O41" s="89">
        <f>J41/$D41</f>
        <v>0.04602797833935018</v>
      </c>
      <c r="P41" s="89">
        <f>K41/$D41</f>
        <v>0.02219584837545126</v>
      </c>
      <c r="Q41" s="89">
        <f>L41/$D41</f>
        <v>0.0126028880866426</v>
      </c>
      <c r="R41" s="89">
        <f>M41/$D41</f>
        <v>0.004153429602888087</v>
      </c>
      <c r="S41" s="87"/>
      <c r="T41" s="89">
        <f>J41/$H41</f>
        <v>0.5416321502155951</v>
      </c>
      <c r="U41" s="89">
        <f>K41/$H41</f>
        <v>0.2611886403704411</v>
      </c>
      <c r="V41" s="89">
        <f>L41/$H41</f>
        <v>0.1483039146965738</v>
      </c>
      <c r="W41" s="89">
        <f>M41/$H41</f>
        <v>0.04887529471738992</v>
      </c>
      <c r="X41" s="84"/>
      <c r="Y41" s="88">
        <v>45412</v>
      </c>
      <c r="Z41" s="88">
        <v>64563</v>
      </c>
      <c r="AA41" s="88">
        <f>SUM(Y41:Z41)</f>
        <v>109975</v>
      </c>
      <c r="AB41" s="89">
        <f>AA41/D41</f>
        <v>0.09925541516245487</v>
      </c>
      <c r="AC41" s="84"/>
      <c r="AD41" s="87">
        <f>AA41-H41</f>
        <v>15817</v>
      </c>
      <c r="AE41" s="89">
        <f>AD41/D41</f>
        <v>0.01427527075812274</v>
      </c>
      <c r="AF41" s="84"/>
      <c r="AG41" s="84"/>
      <c r="AH41" s="84"/>
      <c r="AI41" s="84"/>
    </row>
    <row r="42" ht="12" customHeight="1">
      <c r="A42" s="85">
        <f>'BA'!A44</f>
        <v>33756</v>
      </c>
      <c r="B42" s="86">
        <v>1992</v>
      </c>
      <c r="C42" s="87">
        <f>'BA'!B44</f>
        <v>1150000</v>
      </c>
      <c r="D42" s="87">
        <f>C42</f>
        <v>1150000</v>
      </c>
      <c r="E42" s="87"/>
      <c r="F42" s="87"/>
      <c r="G42" s="87"/>
      <c r="H42" s="87">
        <f>J42+K42+L42+M42</f>
        <v>100797</v>
      </c>
      <c r="I42" s="89">
        <f>H42/C42</f>
        <v>0.0876495652173913</v>
      </c>
      <c r="J42" s="87">
        <f>'BA'!M44</f>
        <v>54195</v>
      </c>
      <c r="K42" s="87">
        <f>'BA'!AH44</f>
        <v>27027</v>
      </c>
      <c r="L42" s="87">
        <f>'BA'!V44</f>
        <v>14705</v>
      </c>
      <c r="M42" s="87">
        <f>'BA'!AB44</f>
        <v>4870</v>
      </c>
      <c r="N42" s="87"/>
      <c r="O42" s="89">
        <f>J42/$D42</f>
        <v>0.04712608695652174</v>
      </c>
      <c r="P42" s="89">
        <f>K42/$D42</f>
        <v>0.02350173913043478</v>
      </c>
      <c r="Q42" s="89">
        <f>L42/$D42</f>
        <v>0.01278695652173913</v>
      </c>
      <c r="R42" s="89">
        <f>M42/$D42</f>
        <v>0.004234782608695652</v>
      </c>
      <c r="S42" s="87"/>
      <c r="T42" s="89">
        <f>J42/$H42</f>
        <v>0.5376648114527218</v>
      </c>
      <c r="U42" s="89">
        <f>K42/$H42</f>
        <v>0.2681329801482187</v>
      </c>
      <c r="V42" s="89">
        <f>L42/$H42</f>
        <v>0.145887278391222</v>
      </c>
      <c r="W42" s="89">
        <f>M42/$H42</f>
        <v>0.04831493000783754</v>
      </c>
      <c r="X42" s="84"/>
      <c r="Y42" s="88">
        <v>49381</v>
      </c>
      <c r="Z42" s="88">
        <v>69647</v>
      </c>
      <c r="AA42" s="88">
        <f>SUM(Y42:Z42)</f>
        <v>119028</v>
      </c>
      <c r="AB42" s="89">
        <f>AA42/D42</f>
        <v>0.1035026086956522</v>
      </c>
      <c r="AC42" s="84"/>
      <c r="AD42" s="87">
        <f>AA42-H42</f>
        <v>18231</v>
      </c>
      <c r="AE42" s="89">
        <f>AD42/D42</f>
        <v>0.01585304347826087</v>
      </c>
      <c r="AF42" s="84"/>
      <c r="AG42" s="84"/>
      <c r="AH42" s="84"/>
      <c r="AI42" s="84"/>
    </row>
    <row r="43" ht="12" customHeight="1">
      <c r="A43" s="85">
        <f>'BA'!A45</f>
        <v>34121</v>
      </c>
      <c r="B43" s="86">
        <v>1993</v>
      </c>
      <c r="C43" s="87">
        <f>'BA'!B45</f>
        <v>1179000</v>
      </c>
      <c r="D43" s="87">
        <f>C43</f>
        <v>1179000</v>
      </c>
      <c r="E43" s="87"/>
      <c r="F43" s="87"/>
      <c r="G43" s="87"/>
      <c r="H43" s="87">
        <f>J43+K43+L43+M43</f>
        <v>103324</v>
      </c>
      <c r="I43" s="89">
        <f>H43/C43</f>
        <v>0.08763698049194232</v>
      </c>
      <c r="J43" s="87">
        <f>'BA'!M45</f>
        <v>55255</v>
      </c>
      <c r="K43" s="87">
        <f>'BA'!AH45</f>
        <v>27821</v>
      </c>
      <c r="L43" s="87">
        <f>'BA'!V45</f>
        <v>15383</v>
      </c>
      <c r="M43" s="87">
        <f>'BA'!AB45</f>
        <v>4865</v>
      </c>
      <c r="N43" s="87"/>
      <c r="O43" s="89">
        <f>J43/$D43</f>
        <v>0.04686598812553011</v>
      </c>
      <c r="P43" s="89">
        <f>K43/$D43</f>
        <v>0.02359711620016964</v>
      </c>
      <c r="Q43" s="89">
        <f>L43/$D43</f>
        <v>0.01304749787955895</v>
      </c>
      <c r="R43" s="89">
        <f>M43/$D43</f>
        <v>0.00412637828668363</v>
      </c>
      <c r="S43" s="87"/>
      <c r="T43" s="89">
        <f>J43/$H43</f>
        <v>0.5347741086291665</v>
      </c>
      <c r="U43" s="89">
        <f>K43/$H43</f>
        <v>0.2692598041113391</v>
      </c>
      <c r="V43" s="89">
        <f>L43/$H43</f>
        <v>0.1488811892687081</v>
      </c>
      <c r="W43" s="89">
        <f>M43/$H43</f>
        <v>0.04708489799078627</v>
      </c>
      <c r="X43" s="84"/>
      <c r="Y43" s="88">
        <v>51099</v>
      </c>
      <c r="Z43" s="88">
        <v>70017</v>
      </c>
      <c r="AA43" s="88">
        <f>SUM(Y43:Z43)</f>
        <v>121116</v>
      </c>
      <c r="AB43" s="89">
        <f>AA43/D43</f>
        <v>0.1027277353689567</v>
      </c>
      <c r="AC43" s="84"/>
      <c r="AD43" s="87">
        <f>AA43-H43</f>
        <v>17792</v>
      </c>
      <c r="AE43" s="89">
        <f>AD43/D43</f>
        <v>0.01509075487701442</v>
      </c>
      <c r="AF43" s="84"/>
      <c r="AG43" s="84"/>
      <c r="AH43" s="84"/>
      <c r="AI43" s="84"/>
    </row>
    <row r="44" ht="12" customHeight="1">
      <c r="A44" s="85">
        <f>'BA'!A46</f>
        <v>34486</v>
      </c>
      <c r="B44" s="86">
        <v>1994</v>
      </c>
      <c r="C44" s="87">
        <f>'BA'!B46</f>
        <v>1191139</v>
      </c>
      <c r="D44" s="87">
        <f>C44</f>
        <v>1191139</v>
      </c>
      <c r="E44" s="87"/>
      <c r="F44" s="87"/>
      <c r="G44" s="87"/>
      <c r="H44" s="87">
        <f>J44+K44+L44+M44</f>
        <v>100661</v>
      </c>
      <c r="I44" s="89">
        <f>H44/C44</f>
        <v>0.08450818922056956</v>
      </c>
      <c r="J44" s="87">
        <f>'BA'!M46</f>
        <v>53079</v>
      </c>
      <c r="K44" s="87">
        <f>'BA'!AH46</f>
        <v>27561</v>
      </c>
      <c r="L44" s="87">
        <f>'BA'!V46</f>
        <v>15304</v>
      </c>
      <c r="M44" s="87">
        <f>'BA'!AB46</f>
        <v>4717</v>
      </c>
      <c r="N44" s="87"/>
      <c r="O44" s="89">
        <f>J44/$D44</f>
        <v>0.04456154991147129</v>
      </c>
      <c r="P44" s="89">
        <f>K44/$D44</f>
        <v>0.02313835748808494</v>
      </c>
      <c r="Q44" s="89">
        <f>L44/$D44</f>
        <v>0.0128482066324753</v>
      </c>
      <c r="R44" s="89">
        <f>M44/$D44</f>
        <v>0.003960075188538029</v>
      </c>
      <c r="S44" s="87"/>
      <c r="T44" s="89">
        <f>J44/$H44</f>
        <v>0.5273045171416934</v>
      </c>
      <c r="U44" s="89">
        <f>K44/$H44</f>
        <v>0.2738001808048797</v>
      </c>
      <c r="V44" s="89">
        <f>L44/$H44</f>
        <v>0.1520350483305352</v>
      </c>
      <c r="W44" s="89">
        <f>M44/$H44</f>
        <v>0.04686025372289169</v>
      </c>
      <c r="X44" s="84"/>
      <c r="Y44" s="88">
        <v>50137</v>
      </c>
      <c r="Z44" s="88">
        <v>67528</v>
      </c>
      <c r="AA44" s="88">
        <f>SUM(Y44:Z44)</f>
        <v>117665</v>
      </c>
      <c r="AB44" s="89">
        <f>AA44/D44</f>
        <v>0.09878360124217241</v>
      </c>
      <c r="AC44" s="84"/>
      <c r="AD44" s="87">
        <f>AA44-H44</f>
        <v>17004</v>
      </c>
      <c r="AE44" s="89">
        <f>AD44/D44</f>
        <v>0.01427541202160285</v>
      </c>
      <c r="AF44" s="84"/>
      <c r="AG44" s="84"/>
      <c r="AH44" s="84"/>
      <c r="AI44" s="84"/>
    </row>
    <row r="45" ht="12" customHeight="1">
      <c r="A45" s="85">
        <f>'BA'!A47</f>
        <v>34851</v>
      </c>
      <c r="B45" s="86">
        <v>1995</v>
      </c>
      <c r="C45" s="87">
        <f>'BA'!B47</f>
        <v>1182780</v>
      </c>
      <c r="D45" s="87">
        <f>C45</f>
        <v>1182780</v>
      </c>
      <c r="E45" s="87"/>
      <c r="F45" s="87"/>
      <c r="G45" s="87"/>
      <c r="H45" s="87">
        <f>J45+K45+L45+M45</f>
        <v>96818</v>
      </c>
      <c r="I45" s="89">
        <f>H45/C45</f>
        <v>0.0818563046382252</v>
      </c>
      <c r="J45" s="87">
        <f>'BA'!M47</f>
        <v>51056</v>
      </c>
      <c r="K45" s="87">
        <f>'BA'!AH47</f>
        <v>26643</v>
      </c>
      <c r="L45" s="87">
        <f>'BA'!V47</f>
        <v>14658</v>
      </c>
      <c r="M45" s="87">
        <f>'BA'!AB47</f>
        <v>4461</v>
      </c>
      <c r="N45" s="87"/>
      <c r="O45" s="89">
        <f>J45/$D45</f>
        <v>0.04316610020460272</v>
      </c>
      <c r="P45" s="89">
        <f>K45/$D45</f>
        <v>0.02252574443260792</v>
      </c>
      <c r="Q45" s="89">
        <f>L45/$D45</f>
        <v>0.0123928372140212</v>
      </c>
      <c r="R45" s="89">
        <f>M45/$D45</f>
        <v>0.003771622786993355</v>
      </c>
      <c r="S45" s="87"/>
      <c r="T45" s="89">
        <f>J45/$H45</f>
        <v>0.5273399574459294</v>
      </c>
      <c r="U45" s="89">
        <f>K45/$H45</f>
        <v>0.2751864322749902</v>
      </c>
      <c r="V45" s="89">
        <f>L45/$H45</f>
        <v>0.1513974674130844</v>
      </c>
      <c r="W45" s="89">
        <f>M45/$H45</f>
        <v>0.04607614286599599</v>
      </c>
      <c r="X45" s="84"/>
      <c r="Y45" s="88">
        <v>49595</v>
      </c>
      <c r="Z45" s="88">
        <v>66405</v>
      </c>
      <c r="AA45" s="88">
        <f>SUM(Y45:Z45)</f>
        <v>116000</v>
      </c>
      <c r="AB45" s="89">
        <f>AA45/D45</f>
        <v>0.09807402898256649</v>
      </c>
      <c r="AC45" s="84"/>
      <c r="AD45" s="87">
        <f>AA45-H45</f>
        <v>19182</v>
      </c>
      <c r="AE45" s="89">
        <f>AD45/D45</f>
        <v>0.0162177243443413</v>
      </c>
      <c r="AF45" s="84"/>
      <c r="AG45" s="84"/>
      <c r="AH45" s="84"/>
      <c r="AI45" s="84"/>
    </row>
    <row r="46" ht="12" customHeight="1">
      <c r="A46" s="85">
        <f>'BA'!A48</f>
        <v>35217</v>
      </c>
      <c r="B46" s="86">
        <v>1996</v>
      </c>
      <c r="C46" s="87">
        <f>'BA'!B48</f>
        <v>1181637</v>
      </c>
      <c r="D46" s="87">
        <f>C46</f>
        <v>1181637</v>
      </c>
      <c r="E46" s="87"/>
      <c r="F46" s="87"/>
      <c r="G46" s="87"/>
      <c r="H46" s="87">
        <f>J46+K46+L46+M46</f>
        <v>95431</v>
      </c>
      <c r="I46" s="89">
        <f>H46/C46</f>
        <v>0.08076168908048749</v>
      </c>
      <c r="J46" s="87">
        <f>'BA'!M48</f>
        <v>49843</v>
      </c>
      <c r="K46" s="87">
        <f>'BA'!AH48</f>
        <v>26064</v>
      </c>
      <c r="L46" s="87">
        <f>'BA'!V48</f>
        <v>14937</v>
      </c>
      <c r="M46" s="87">
        <f>'BA'!AB48</f>
        <v>4587</v>
      </c>
      <c r="N46" s="87"/>
      <c r="O46" s="89">
        <f>J46/$D46</f>
        <v>0.04218131287358131</v>
      </c>
      <c r="P46" s="89">
        <f>K46/$D46</f>
        <v>0.02205753543600954</v>
      </c>
      <c r="Q46" s="89">
        <f>L46/$D46</f>
        <v>0.01264093795302618</v>
      </c>
      <c r="R46" s="89">
        <f>M46/$D46</f>
        <v>0.003881902817870463</v>
      </c>
      <c r="S46" s="87"/>
      <c r="T46" s="89">
        <f>J46/$H46</f>
        <v>0.5222935943246954</v>
      </c>
      <c r="U46" s="89">
        <f>K46/$H46</f>
        <v>0.2731187978749044</v>
      </c>
      <c r="V46" s="89">
        <f>L46/$H46</f>
        <v>0.1565214657710807</v>
      </c>
      <c r="W46" s="89">
        <f>M46/$H46</f>
        <v>0.04806614202931962</v>
      </c>
      <c r="X46" s="84"/>
      <c r="Y46" s="88">
        <v>48522</v>
      </c>
      <c r="Z46" s="88">
        <v>66430</v>
      </c>
      <c r="AA46" s="88">
        <f>SUM(Y46:Z46)</f>
        <v>114952</v>
      </c>
      <c r="AB46" s="89">
        <f>AA46/D46</f>
        <v>0.09728199100062032</v>
      </c>
      <c r="AC46" s="84"/>
      <c r="AD46" s="87">
        <f>AA46-H46</f>
        <v>19521</v>
      </c>
      <c r="AE46" s="89">
        <f>AD46/D46</f>
        <v>0.01652030192013283</v>
      </c>
      <c r="AF46" s="84"/>
      <c r="AG46" s="84"/>
      <c r="AH46" s="84"/>
      <c r="AI46" s="84"/>
    </row>
    <row r="47" ht="12" customHeight="1">
      <c r="A47" s="85">
        <f>'BA'!A49</f>
        <v>35582</v>
      </c>
      <c r="B47" s="86">
        <v>1997</v>
      </c>
      <c r="C47" s="87">
        <f>'BA'!B49</f>
        <v>1188385</v>
      </c>
      <c r="D47" s="87">
        <f>C47</f>
        <v>1188385</v>
      </c>
      <c r="E47" s="87"/>
      <c r="F47" s="87"/>
      <c r="G47" s="87"/>
      <c r="H47" s="87">
        <f>J47+K47+L47+M47</f>
        <v>92902</v>
      </c>
      <c r="I47" s="89">
        <f>H47/C47</f>
        <v>0.07817500220888011</v>
      </c>
      <c r="J47" s="87">
        <f>'BA'!M49</f>
        <v>48526</v>
      </c>
      <c r="K47" s="87">
        <f>'BA'!AH49</f>
        <v>25276</v>
      </c>
      <c r="L47" s="87">
        <f>'BA'!V49</f>
        <v>14562</v>
      </c>
      <c r="M47" s="87">
        <f>'BA'!AB49</f>
        <v>4538</v>
      </c>
      <c r="N47" s="87"/>
      <c r="O47" s="89">
        <f>J47/$D47</f>
        <v>0.04083356824598089</v>
      </c>
      <c r="P47" s="89">
        <f>K47/$D47</f>
        <v>0.02126920147931857</v>
      </c>
      <c r="Q47" s="89">
        <f>L47/$D47</f>
        <v>0.01225360468198437</v>
      </c>
      <c r="R47" s="89">
        <f>M47/$D47</f>
        <v>0.003818627801596284</v>
      </c>
      <c r="S47" s="87"/>
      <c r="T47" s="89">
        <f>J47/$H47</f>
        <v>0.5223353641471659</v>
      </c>
      <c r="U47" s="89">
        <f>K47/$H47</f>
        <v>0.2720716453897656</v>
      </c>
      <c r="V47" s="89">
        <f>L47/$H47</f>
        <v>0.1567458181739898</v>
      </c>
      <c r="W47" s="89">
        <f>M47/$H47</f>
        <v>0.04884717228907882</v>
      </c>
      <c r="X47" s="84"/>
      <c r="Y47" s="88">
        <v>47361</v>
      </c>
      <c r="Z47" s="88">
        <v>64929</v>
      </c>
      <c r="AA47" s="88">
        <f>SUM(Y47:Z47)</f>
        <v>112290</v>
      </c>
      <c r="AB47" s="89">
        <f>AA47/D47</f>
        <v>0.09448958039692523</v>
      </c>
      <c r="AC47" s="84"/>
      <c r="AD47" s="87">
        <f>AA47-H47</f>
        <v>19388</v>
      </c>
      <c r="AE47" s="89">
        <f>AD47/D47</f>
        <v>0.01631457818804512</v>
      </c>
      <c r="AF47" s="84"/>
      <c r="AG47" s="84"/>
      <c r="AH47" s="84"/>
      <c r="AI47" s="84"/>
    </row>
    <row r="48" ht="12" customHeight="1">
      <c r="A48" s="85">
        <f>'BA'!A50</f>
        <v>35947</v>
      </c>
      <c r="B48" s="86">
        <v>1998</v>
      </c>
      <c r="C48" s="87">
        <f>'BA'!B50</f>
        <v>1203827</v>
      </c>
      <c r="D48" s="87">
        <f>C48</f>
        <v>1203827</v>
      </c>
      <c r="E48" s="87"/>
      <c r="F48" s="87"/>
      <c r="G48" s="87"/>
      <c r="H48" s="87">
        <f>J48+K48+L48+M48</f>
        <v>94848</v>
      </c>
      <c r="I48" s="89">
        <f>H48/C48</f>
        <v>0.07878872960981935</v>
      </c>
      <c r="J48" s="87">
        <f>'BA'!M50</f>
        <v>48861</v>
      </c>
      <c r="K48" s="87">
        <f>'BA'!AH50</f>
        <v>25797</v>
      </c>
      <c r="L48" s="87">
        <f>'BA'!V50</f>
        <v>15319</v>
      </c>
      <c r="M48" s="87">
        <f>'BA'!AB50</f>
        <v>4871</v>
      </c>
      <c r="N48" s="87"/>
      <c r="O48" s="89">
        <f>J48/$D48</f>
        <v>0.0405880579186212</v>
      </c>
      <c r="P48" s="89">
        <f>K48/$D48</f>
        <v>0.0214291588409298</v>
      </c>
      <c r="Q48" s="89">
        <f>L48/$D48</f>
        <v>0.01272525038896785</v>
      </c>
      <c r="R48" s="89">
        <f>M48/$D48</f>
        <v>0.004046262461300502</v>
      </c>
      <c r="S48" s="87"/>
      <c r="T48" s="89">
        <f>J48/$H48</f>
        <v>0.515150556680162</v>
      </c>
      <c r="U48" s="89">
        <f>K48/$H48</f>
        <v>0.27198254048583</v>
      </c>
      <c r="V48" s="89">
        <f>L48/$H48</f>
        <v>0.1615110492577598</v>
      </c>
      <c r="W48" s="89">
        <f>M48/$H48</f>
        <v>0.05135585357624831</v>
      </c>
      <c r="X48" s="84"/>
      <c r="Y48" s="88">
        <v>48006</v>
      </c>
      <c r="Z48" s="88">
        <v>66913</v>
      </c>
      <c r="AA48" s="88">
        <f>SUM(Y48:Z48)</f>
        <v>114919</v>
      </c>
      <c r="AB48" s="89">
        <f>AA48/D48</f>
        <v>0.09546139104705244</v>
      </c>
      <c r="AC48" s="84"/>
      <c r="AD48" s="87">
        <f>AA48-H48</f>
        <v>20071</v>
      </c>
      <c r="AE48" s="89">
        <f>AD48/D48</f>
        <v>0.01667266143723309</v>
      </c>
      <c r="AF48" s="84"/>
      <c r="AG48" s="84"/>
      <c r="AH48" s="84"/>
      <c r="AI48" s="84"/>
    </row>
    <row r="49" ht="12" customHeight="1">
      <c r="A49" s="85">
        <f>'BA'!A51</f>
        <v>36678</v>
      </c>
      <c r="B49" s="86">
        <v>1999</v>
      </c>
      <c r="C49" s="87">
        <f>'BA'!B51</f>
        <v>1259231</v>
      </c>
      <c r="D49" s="87">
        <f>C49</f>
        <v>1259231</v>
      </c>
      <c r="E49" s="87"/>
      <c r="F49" s="87"/>
      <c r="G49" s="87"/>
      <c r="H49" s="87">
        <f>J49+K49+L49+M49</f>
        <v>96048</v>
      </c>
      <c r="I49" s="89">
        <f>H49/C49</f>
        <v>0.07627512346821194</v>
      </c>
      <c r="J49" s="87">
        <f>'BA'!M51</f>
        <v>49912</v>
      </c>
      <c r="K49" s="87">
        <f>'BA'!AH51</f>
        <v>25324</v>
      </c>
      <c r="L49" s="87">
        <f>'BA'!V51</f>
        <v>16005</v>
      </c>
      <c r="M49" s="87">
        <f>'BA'!AB51</f>
        <v>4807</v>
      </c>
      <c r="N49" s="87"/>
      <c r="O49" s="89">
        <f>J49/$D49</f>
        <v>0.03963688949843198</v>
      </c>
      <c r="P49" s="89">
        <f>K49/$D49</f>
        <v>0.02011068660158462</v>
      </c>
      <c r="Q49" s="89">
        <f>L49/$D49</f>
        <v>0.01271013817163015</v>
      </c>
      <c r="R49" s="89">
        <f>M49/$D49</f>
        <v>0.003817409196565205</v>
      </c>
      <c r="S49" s="87"/>
      <c r="T49" s="89">
        <f>J49/$H49</f>
        <v>0.5196568382475429</v>
      </c>
      <c r="U49" s="89">
        <f>K49/$H49</f>
        <v>0.2636598367482925</v>
      </c>
      <c r="V49" s="89">
        <f>L49/$H49</f>
        <v>0.1666354322838581</v>
      </c>
      <c r="W49" s="89">
        <f>M49/$H49</f>
        <v>0.05004789272030651</v>
      </c>
      <c r="X49" s="84"/>
      <c r="Y49" s="88">
        <v>46657</v>
      </c>
      <c r="Z49" s="88">
        <v>68847</v>
      </c>
      <c r="AA49" s="88">
        <f>SUM(Y49:Z49)</f>
        <v>115504</v>
      </c>
      <c r="AB49" s="89">
        <f>AA49/D49</f>
        <v>0.09172582314126637</v>
      </c>
      <c r="AC49" s="84"/>
      <c r="AD49" s="87">
        <f>AA49-H49</f>
        <v>19456</v>
      </c>
      <c r="AE49" s="89">
        <f>AD49/D49</f>
        <v>0.01545069967305443</v>
      </c>
      <c r="AF49" s="84"/>
      <c r="AG49" s="84"/>
      <c r="AH49" s="84"/>
      <c r="AI49" s="84"/>
    </row>
    <row r="50" ht="12" customHeight="1">
      <c r="A50" s="85">
        <f>'BA'!A52</f>
        <v>37043</v>
      </c>
      <c r="B50" s="86">
        <v>2000</v>
      </c>
      <c r="C50" s="87">
        <f>'BA'!B52</f>
        <v>1319233</v>
      </c>
      <c r="D50" s="87">
        <f>C50</f>
        <v>1319233</v>
      </c>
      <c r="E50" s="87"/>
      <c r="F50" s="87"/>
      <c r="G50" s="87"/>
      <c r="H50" s="87">
        <f>J50+K50+L50+M50</f>
        <v>107070</v>
      </c>
      <c r="I50" s="89">
        <f>H50/C50</f>
        <v>0.08116079570477694</v>
      </c>
      <c r="J50" s="87">
        <f>'BA'!M52</f>
        <v>53142</v>
      </c>
      <c r="K50" s="87">
        <f>'BA'!AH52</f>
        <v>27236</v>
      </c>
      <c r="L50" s="87">
        <f>'BA'!V52</f>
        <v>20810</v>
      </c>
      <c r="M50" s="87">
        <f>'BA'!AB52</f>
        <v>5882</v>
      </c>
      <c r="N50" s="87"/>
      <c r="O50" s="89">
        <f>J50/$D50</f>
        <v>0.04028249748149114</v>
      </c>
      <c r="P50" s="89">
        <f>K50/$D50</f>
        <v>0.02064532952101714</v>
      </c>
      <c r="Q50" s="89">
        <f>L50/$D50</f>
        <v>0.01577431734955084</v>
      </c>
      <c r="R50" s="89">
        <f>M50/$D50</f>
        <v>0.004458651352717829</v>
      </c>
      <c r="S50" s="87"/>
      <c r="T50" s="89">
        <f>J50/$H50</f>
        <v>0.4963295040627627</v>
      </c>
      <c r="U50" s="89">
        <f>K50/$H50</f>
        <v>0.2543756421032969</v>
      </c>
      <c r="V50" s="89">
        <f>L50/$H50</f>
        <v>0.1943588306715233</v>
      </c>
      <c r="W50" s="89">
        <f>M50/$H50</f>
        <v>0.05493602316241711</v>
      </c>
      <c r="X50" s="84"/>
      <c r="Y50" s="88">
        <v>51458</v>
      </c>
      <c r="Z50" s="88">
        <v>78405</v>
      </c>
      <c r="AA50" s="88">
        <f>SUM(Y50:Z50)</f>
        <v>129863</v>
      </c>
      <c r="AB50" s="89">
        <f>AA50/D50</f>
        <v>0.09843825920061126</v>
      </c>
      <c r="AC50" s="84"/>
      <c r="AD50" s="87">
        <f>AA50-H50</f>
        <v>22793</v>
      </c>
      <c r="AE50" s="89">
        <f>AD50/D50</f>
        <v>0.01727746349583432</v>
      </c>
      <c r="AF50" s="84"/>
      <c r="AG50" s="84"/>
      <c r="AH50" s="84"/>
      <c r="AI50" s="84"/>
    </row>
    <row r="51" ht="12" customHeight="1">
      <c r="A51" s="85">
        <f>'BA'!A53</f>
        <v>37408</v>
      </c>
      <c r="B51" s="86">
        <v>2001</v>
      </c>
      <c r="C51" s="87">
        <f>'BA'!B53</f>
        <v>1375026</v>
      </c>
      <c r="D51" s="87">
        <f>C51</f>
        <v>1375026</v>
      </c>
      <c r="E51" s="87"/>
      <c r="F51" s="87"/>
      <c r="G51" s="87"/>
      <c r="H51" s="87">
        <f>J51+K51+L51+M51</f>
        <v>111965</v>
      </c>
      <c r="I51" s="89">
        <f>H51/C51</f>
        <v>0.08142755118812299</v>
      </c>
      <c r="J51" s="87">
        <f>'BA'!M53</f>
        <v>55148</v>
      </c>
      <c r="K51" s="87">
        <f>'BA'!AH53</f>
        <v>28467</v>
      </c>
      <c r="L51" s="87">
        <f>'BA'!V53</f>
        <v>21759</v>
      </c>
      <c r="M51" s="87">
        <f>'BA'!AB53</f>
        <v>6591</v>
      </c>
      <c r="N51" s="87"/>
      <c r="O51" s="89">
        <f>J51/$D51</f>
        <v>0.04010687797903458</v>
      </c>
      <c r="P51" s="89">
        <f>K51/$D51</f>
        <v>0.020702881254609</v>
      </c>
      <c r="Q51" s="89">
        <f>L51/$D51</f>
        <v>0.01582442804717875</v>
      </c>
      <c r="R51" s="89">
        <f>M51/$D51</f>
        <v>0.004793363907300662</v>
      </c>
      <c r="S51" s="87"/>
      <c r="T51" s="89">
        <f>J51/$H51</f>
        <v>0.4925467780109856</v>
      </c>
      <c r="U51" s="89">
        <f>K51/$H51</f>
        <v>0.254249095699549</v>
      </c>
      <c r="V51" s="89">
        <f>L51/$H51</f>
        <v>0.1943375161880945</v>
      </c>
      <c r="W51" s="89">
        <f>M51/$H51</f>
        <v>0.05886661010137097</v>
      </c>
      <c r="X51" s="84"/>
      <c r="Y51" s="88">
        <v>53920</v>
      </c>
      <c r="Z51" s="88">
        <v>82194</v>
      </c>
      <c r="AA51" s="88">
        <f>SUM(Y51:Z51)</f>
        <v>136114</v>
      </c>
      <c r="AB51" s="89">
        <f>AA51/D51</f>
        <v>0.09899012818666701</v>
      </c>
      <c r="AC51" s="84"/>
      <c r="AD51" s="87">
        <f>AA51-H51</f>
        <v>24149</v>
      </c>
      <c r="AE51" s="89">
        <f>AD51/D51</f>
        <v>0.01756257699854403</v>
      </c>
      <c r="AF51" s="84"/>
      <c r="AG51" s="84"/>
      <c r="AH51" s="84"/>
      <c r="AI51" s="84"/>
    </row>
    <row r="52" ht="12" customHeight="1">
      <c r="A52" s="84"/>
      <c r="B52" s="84"/>
      <c r="C52" s="87"/>
      <c r="D52" s="87"/>
      <c r="E52" s="87"/>
      <c r="F52" s="87"/>
      <c r="G52" s="87"/>
      <c r="H52" s="87"/>
      <c r="I52" s="84"/>
      <c r="J52" s="87"/>
      <c r="K52" s="87"/>
      <c r="L52" s="87"/>
      <c r="M52" s="87"/>
      <c r="N52" s="87"/>
      <c r="O52" s="84"/>
      <c r="P52" s="84"/>
      <c r="Q52" s="84"/>
      <c r="R52" s="84"/>
      <c r="S52" s="87"/>
      <c r="T52" s="89"/>
      <c r="U52" s="89"/>
      <c r="V52" s="89"/>
      <c r="W52" s="89"/>
      <c r="X52" s="84"/>
      <c r="Y52" s="84"/>
      <c r="Z52" s="84"/>
      <c r="AA52" s="84"/>
      <c r="AB52" s="89"/>
      <c r="AC52" s="84"/>
      <c r="AD52" s="84"/>
      <c r="AE52" s="84"/>
      <c r="AF52" s="84"/>
      <c r="AG52" s="84"/>
      <c r="AH52" s="84"/>
      <c r="AI52" s="84"/>
    </row>
    <row r="53" ht="12" customHeight="1">
      <c r="A53" s="84"/>
      <c r="B53" s="84"/>
      <c r="C53" s="87"/>
      <c r="D53" s="87"/>
      <c r="E53" s="87"/>
      <c r="F53" s="87"/>
      <c r="G53" s="87"/>
      <c r="H53" s="87"/>
      <c r="I53" s="84"/>
      <c r="J53" s="87"/>
      <c r="K53" s="87"/>
      <c r="L53" s="87"/>
      <c r="M53" s="87"/>
      <c r="N53" s="87"/>
      <c r="O53" s="84"/>
      <c r="P53" s="84"/>
      <c r="Q53" s="84"/>
      <c r="R53" s="84"/>
      <c r="S53" s="87"/>
      <c r="T53" s="89"/>
      <c r="U53" s="89"/>
      <c r="V53" s="89"/>
      <c r="W53" s="89"/>
      <c r="X53" s="84"/>
      <c r="Y53" s="84"/>
      <c r="Z53" s="84"/>
      <c r="AA53" s="84"/>
      <c r="AB53" s="89"/>
      <c r="AC53" s="84"/>
      <c r="AD53" s="84"/>
      <c r="AE53" s="84"/>
      <c r="AF53" s="84"/>
      <c r="AG53" s="84"/>
      <c r="AH53" s="84"/>
      <c r="AI53" s="84"/>
    </row>
    <row r="54" ht="12" customHeight="1">
      <c r="A54" s="84"/>
      <c r="B54" s="84"/>
      <c r="C54" s="87"/>
      <c r="D54" s="87"/>
      <c r="E54" s="87"/>
      <c r="F54" s="87"/>
      <c r="G54" s="87"/>
      <c r="H54" s="87"/>
      <c r="I54" s="84"/>
      <c r="J54" s="87"/>
      <c r="K54" s="87"/>
      <c r="L54" s="87"/>
      <c r="M54" s="87"/>
      <c r="N54" s="87"/>
      <c r="O54" s="84"/>
      <c r="P54" s="84"/>
      <c r="Q54" s="84"/>
      <c r="R54" s="84"/>
      <c r="S54" s="87"/>
      <c r="T54" s="89"/>
      <c r="U54" s="89"/>
      <c r="V54" s="89"/>
      <c r="W54" s="89"/>
      <c r="X54" s="84"/>
      <c r="Y54" s="84"/>
      <c r="Z54" s="84"/>
      <c r="AA54" s="84"/>
      <c r="AB54" s="89"/>
      <c r="AC54" s="84"/>
      <c r="AD54" s="84"/>
      <c r="AE54" s="84"/>
      <c r="AF54" s="84"/>
      <c r="AG54" s="84"/>
      <c r="AH54" s="84"/>
      <c r="AI54" s="84"/>
    </row>
    <row r="55" ht="12" customHeight="1">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c r="AA55" s="84"/>
      <c r="AB55" s="89"/>
      <c r="AC55" s="84"/>
      <c r="AD55" s="84"/>
      <c r="AE55" s="84"/>
      <c r="AF55" s="84"/>
      <c r="AG55" s="84"/>
      <c r="AH55" s="84"/>
      <c r="AI55" s="84"/>
    </row>
    <row r="56" ht="12" customHeight="1">
      <c r="A56" s="86"/>
      <c r="B56" s="84"/>
      <c r="C56" s="84"/>
      <c r="D56" s="84"/>
      <c r="E56" s="84"/>
      <c r="F56" s="84"/>
      <c r="G56" s="84"/>
      <c r="H56" s="84"/>
      <c r="I56" s="84"/>
      <c r="J56" s="84"/>
      <c r="K56" s="84"/>
      <c r="L56" s="84"/>
      <c r="M56" s="84"/>
      <c r="N56" s="84"/>
      <c r="O56" s="84"/>
      <c r="P56" s="84"/>
      <c r="Q56" s="84"/>
      <c r="R56" s="84"/>
      <c r="S56" s="84"/>
      <c r="T56" s="84"/>
      <c r="U56" s="84"/>
      <c r="V56" s="84"/>
      <c r="W56" s="84"/>
      <c r="X56" s="84"/>
      <c r="Y56" s="84"/>
      <c r="Z56" s="84"/>
      <c r="AA56" s="84"/>
      <c r="AB56" s="89"/>
      <c r="AC56" s="84"/>
      <c r="AD56" s="84"/>
      <c r="AE56" s="84"/>
      <c r="AF56" s="84"/>
      <c r="AG56" s="84"/>
      <c r="AH56" s="84"/>
      <c r="AI56" s="84"/>
    </row>
    <row r="57" ht="66" customHeight="1">
      <c r="A57" s="85"/>
      <c r="B57" s="86"/>
      <c r="C57" s="84"/>
      <c r="D57" s="84"/>
      <c r="E57" s="84"/>
      <c r="F57" s="84"/>
      <c r="G57" s="84"/>
      <c r="H57" s="85"/>
      <c r="I57" t="s" s="83">
        <v>56</v>
      </c>
      <c r="J57" t="s" s="83">
        <v>57</v>
      </c>
      <c r="K57" t="s" s="83">
        <v>58</v>
      </c>
      <c r="L57" s="84"/>
      <c r="M57" s="84"/>
      <c r="N57" s="84"/>
      <c r="O57" s="89"/>
      <c r="P57" s="89"/>
      <c r="Q57" s="89"/>
      <c r="R57" s="89"/>
      <c r="S57" s="84"/>
      <c r="T57" s="84"/>
      <c r="U57" s="89"/>
      <c r="V57" s="84"/>
      <c r="W57" s="84"/>
      <c r="X57" s="84"/>
      <c r="Y57" s="84"/>
      <c r="Z57" s="84"/>
      <c r="AA57" s="84"/>
      <c r="AB57" s="89"/>
      <c r="AC57" s="84"/>
      <c r="AD57" s="84"/>
      <c r="AE57" s="84"/>
      <c r="AF57" s="84"/>
      <c r="AG57" s="84"/>
      <c r="AH57" s="84"/>
      <c r="AI57" s="84"/>
    </row>
    <row r="58" ht="12" customHeight="1">
      <c r="A58" s="84"/>
      <c r="B58" s="84"/>
      <c r="C58" s="84"/>
      <c r="D58" s="84"/>
      <c r="E58" s="84"/>
      <c r="F58" s="84"/>
      <c r="G58" s="84"/>
      <c r="H58" s="85">
        <v>17685</v>
      </c>
      <c r="I58" s="87">
        <v>247651.04</v>
      </c>
      <c r="J58" s="87">
        <v>240509.5152</v>
      </c>
      <c r="K58" s="87">
        <v>237937.324</v>
      </c>
      <c r="L58" s="84"/>
      <c r="M58" s="87">
        <f>$H3/I58</f>
        <v>0.1123597138941956</v>
      </c>
      <c r="N58" s="87">
        <f>$H3/J58</f>
        <v>0.1156960462743472</v>
      </c>
      <c r="O58" s="87">
        <f>$H3/K58</f>
        <v>0.1169467636779844</v>
      </c>
      <c r="P58" s="89">
        <f>(N58-O58)*100</f>
        <v>-0.1250717403637219</v>
      </c>
      <c r="Q58" s="84"/>
      <c r="R58" s="84"/>
      <c r="S58" s="84"/>
      <c r="T58" s="84"/>
      <c r="U58" s="84"/>
      <c r="V58" s="84"/>
      <c r="W58" s="84"/>
      <c r="X58" s="84"/>
      <c r="Y58" s="84"/>
      <c r="Z58" s="84"/>
      <c r="AA58" s="84"/>
      <c r="AB58" s="89"/>
      <c r="AC58" s="84"/>
      <c r="AD58" s="84"/>
      <c r="AE58" s="84"/>
      <c r="AF58" s="84"/>
      <c r="AG58" s="84"/>
      <c r="AH58" s="84"/>
      <c r="AI58" s="84"/>
    </row>
    <row r="59" ht="12" customHeight="1">
      <c r="A59" s="84"/>
      <c r="B59" s="84"/>
      <c r="C59" s="84"/>
      <c r="D59" s="84"/>
      <c r="E59" s="84"/>
      <c r="F59" s="84"/>
      <c r="G59" s="84"/>
      <c r="H59" s="85">
        <v>18050</v>
      </c>
      <c r="I59" s="87">
        <v>333636.94</v>
      </c>
      <c r="J59" s="87">
        <v>332420.2272</v>
      </c>
      <c r="K59" s="87">
        <v>331685.296</v>
      </c>
      <c r="L59" s="84"/>
      <c r="M59" s="87">
        <f>$H4/I59</f>
        <v>0.09664397473493193</v>
      </c>
      <c r="N59" s="87">
        <f>$H4/J59</f>
        <v>0.09699770760520074</v>
      </c>
      <c r="O59" s="87">
        <f>$H4/K59</f>
        <v>0.09721263013118313</v>
      </c>
      <c r="P59" s="89">
        <f>(N59-O59)*100</f>
        <v>-0.02149225259823889</v>
      </c>
      <c r="Q59" s="84"/>
      <c r="R59" s="84"/>
      <c r="S59" s="84"/>
      <c r="T59" s="84"/>
      <c r="U59" s="84"/>
      <c r="V59" s="84"/>
      <c r="W59" s="84"/>
      <c r="X59" s="84"/>
      <c r="Y59" s="84"/>
      <c r="Z59" s="84"/>
      <c r="AA59" s="84"/>
      <c r="AB59" s="89"/>
      <c r="AC59" s="84"/>
      <c r="AD59" s="84"/>
      <c r="AE59" s="84"/>
      <c r="AF59" s="84"/>
      <c r="AG59" s="84"/>
      <c r="AH59" s="84"/>
      <c r="AI59" s="84"/>
    </row>
    <row r="60" ht="12" customHeight="1">
      <c r="A60" s="84"/>
      <c r="B60" s="84"/>
      <c r="C60" s="84"/>
      <c r="D60" s="84"/>
      <c r="E60" s="84"/>
      <c r="F60" s="84"/>
      <c r="G60" s="84"/>
      <c r="H60" s="85">
        <v>18415</v>
      </c>
      <c r="I60" s="87">
        <v>394697.94</v>
      </c>
      <c r="J60" s="87"/>
      <c r="K60" s="87">
        <v>396666.452</v>
      </c>
      <c r="L60" s="84"/>
      <c r="M60" s="87">
        <f>$H5/I60</f>
        <v>0.09832328995687183</v>
      </c>
      <c r="N60" s="84">
        <f>$H5/J60</f>
      </c>
      <c r="O60" s="87">
        <f>$H5/K60</f>
        <v>0.09783534706383488</v>
      </c>
      <c r="P60" s="84">
        <f>(N60-O60)*100</f>
      </c>
      <c r="Q60" s="84"/>
      <c r="R60" s="84"/>
      <c r="S60" s="84"/>
      <c r="T60" s="84"/>
      <c r="U60" s="84"/>
      <c r="V60" s="84"/>
      <c r="W60" s="84"/>
      <c r="X60" s="84"/>
      <c r="Y60" s="84"/>
      <c r="Z60" s="84"/>
      <c r="AA60" s="84"/>
      <c r="AB60" s="89"/>
      <c r="AC60" s="84"/>
      <c r="AD60" s="84"/>
      <c r="AE60" s="84"/>
      <c r="AF60" s="84"/>
      <c r="AG60" s="84"/>
      <c r="AH60" s="84"/>
      <c r="AI60" s="84"/>
    </row>
    <row r="61" ht="12" customHeight="1">
      <c r="A61" s="84"/>
      <c r="B61" s="84"/>
      <c r="C61" s="84"/>
      <c r="D61" s="84"/>
      <c r="E61" s="84"/>
      <c r="F61" s="84"/>
      <c r="G61" s="84"/>
      <c r="H61" s="85">
        <v>18780</v>
      </c>
      <c r="I61" s="87">
        <v>349760.32</v>
      </c>
      <c r="J61" s="87">
        <v>347688.1216</v>
      </c>
      <c r="K61" s="87">
        <v>346652.016</v>
      </c>
      <c r="L61" s="84"/>
      <c r="M61" s="87">
        <f>$H6/I61</f>
        <v>0.1012579128472892</v>
      </c>
      <c r="N61" s="87">
        <f>$H6/J61</f>
        <v>0.1018614033663898</v>
      </c>
      <c r="O61" s="87">
        <f>$H6/K61</f>
        <v>0.1021658561477975</v>
      </c>
      <c r="P61" s="89">
        <f>(N61-O61)*100</f>
        <v>-0.03044527814076714</v>
      </c>
      <c r="Q61" s="84"/>
      <c r="R61" s="84"/>
      <c r="S61" s="84"/>
      <c r="T61" s="84"/>
      <c r="U61" s="84"/>
      <c r="V61" s="84"/>
      <c r="W61" s="84"/>
      <c r="X61" s="84"/>
      <c r="Y61" s="84"/>
      <c r="Z61" s="84"/>
      <c r="AA61" s="84"/>
      <c r="AB61" s="89"/>
      <c r="AC61" s="84"/>
      <c r="AD61" s="84"/>
      <c r="AE61" s="84"/>
      <c r="AF61" s="84"/>
      <c r="AG61" s="84"/>
      <c r="AH61" s="84"/>
      <c r="AI61" s="84"/>
    </row>
    <row r="62" ht="12" customHeight="1">
      <c r="A62" s="84"/>
      <c r="B62" s="84"/>
      <c r="C62" s="84"/>
      <c r="D62" s="84"/>
      <c r="E62" s="84"/>
      <c r="F62" s="84"/>
      <c r="G62" s="84"/>
      <c r="H62" s="85">
        <v>19146</v>
      </c>
      <c r="I62" s="87">
        <v>302050.84</v>
      </c>
      <c r="J62" s="87">
        <v>297432.3992</v>
      </c>
      <c r="K62" s="87">
        <v>295693.26</v>
      </c>
      <c r="L62" s="84"/>
      <c r="M62" s="87">
        <f>$H7/I62</f>
        <v>0.1031018486821622</v>
      </c>
      <c r="N62" s="87">
        <f>$H7/J62</f>
        <v>0.1047027831660647</v>
      </c>
      <c r="O62" s="87">
        <f>$H7/K62</f>
        <v>0.1053185994161653</v>
      </c>
      <c r="P62" s="89">
        <f>(N62-O62)*100</f>
        <v>-0.06158162501005565</v>
      </c>
      <c r="Q62" s="84"/>
      <c r="R62" s="84"/>
      <c r="S62" s="84"/>
      <c r="T62" s="84"/>
      <c r="U62" s="84"/>
      <c r="V62" s="84"/>
      <c r="W62" s="84"/>
      <c r="X62" s="84"/>
      <c r="Y62" s="84"/>
      <c r="Z62" s="84"/>
      <c r="AA62" s="84"/>
      <c r="AB62" s="89"/>
      <c r="AC62" s="84"/>
      <c r="AD62" s="84"/>
      <c r="AE62" s="84"/>
      <c r="AF62" s="84"/>
      <c r="AG62" s="84"/>
      <c r="AH62" s="84"/>
      <c r="AI62" s="84"/>
    </row>
    <row r="63" ht="12" customHeight="1">
      <c r="A63" s="84"/>
      <c r="B63" s="84"/>
      <c r="C63" s="84"/>
      <c r="D63" s="84"/>
      <c r="E63" s="84"/>
      <c r="F63" s="84"/>
      <c r="G63" s="84"/>
      <c r="H63" s="85">
        <v>19511</v>
      </c>
      <c r="I63" s="87">
        <v>277419.87</v>
      </c>
      <c r="J63" s="87">
        <v>271609.5456</v>
      </c>
      <c r="K63" s="87">
        <v>269540.432</v>
      </c>
      <c r="L63" s="84"/>
      <c r="M63" s="87">
        <f>$H8/I63</f>
        <v>0.1040696904659353</v>
      </c>
      <c r="N63" s="87">
        <f>$H8/J63</f>
        <v>0.1062959695920201</v>
      </c>
      <c r="O63" s="87">
        <f>$H8/K63</f>
        <v>0.1071119452683818</v>
      </c>
      <c r="P63" s="89">
        <f>(N63-O63)*100</f>
        <v>-0.0815975676361741</v>
      </c>
      <c r="Q63" s="84"/>
      <c r="R63" s="84"/>
      <c r="S63" s="84"/>
      <c r="T63" s="84"/>
      <c r="U63" s="84"/>
      <c r="V63" s="84"/>
      <c r="W63" s="84"/>
      <c r="X63" s="84"/>
      <c r="Y63" s="84"/>
      <c r="Z63" s="84"/>
      <c r="AA63" s="84"/>
      <c r="AB63" s="89"/>
      <c r="AC63" s="84"/>
      <c r="AD63" s="84"/>
      <c r="AE63" s="84"/>
      <c r="AF63" s="84"/>
      <c r="AG63" s="84"/>
      <c r="AH63" s="84"/>
      <c r="AI63" s="84"/>
    </row>
    <row r="64" ht="12" customHeight="1">
      <c r="A64" s="84"/>
      <c r="B64" s="84"/>
      <c r="C64" s="84"/>
      <c r="D64" s="84"/>
      <c r="E64" s="84"/>
      <c r="F64" s="84"/>
      <c r="G64" s="84"/>
      <c r="H64" s="85">
        <v>19876</v>
      </c>
      <c r="I64" s="87">
        <v>266520.8</v>
      </c>
      <c r="J64" s="87">
        <v>259992.914</v>
      </c>
      <c r="K64" s="87">
        <v>257800.074</v>
      </c>
      <c r="L64" s="84"/>
      <c r="M64" s="87">
        <f>$H9/I64</f>
        <v>0.1035153729089812</v>
      </c>
      <c r="N64" s="87">
        <f>$H9/J64</f>
        <v>0.1061144304879017</v>
      </c>
      <c r="O64" s="87">
        <f>$H9/K64</f>
        <v>0.1070170367755597</v>
      </c>
      <c r="P64" s="89">
        <f>(N64-O64)*100</f>
        <v>-0.0902606287657981</v>
      </c>
      <c r="Q64" s="84"/>
      <c r="R64" s="84"/>
      <c r="S64" s="84"/>
      <c r="T64" s="84"/>
      <c r="U64" s="84"/>
      <c r="V64" s="84"/>
      <c r="W64" s="84"/>
      <c r="X64" s="84"/>
      <c r="Y64" s="84"/>
      <c r="Z64" s="84"/>
      <c r="AA64" s="84"/>
      <c r="AB64" s="89"/>
      <c r="AC64" s="84"/>
      <c r="AD64" s="84"/>
      <c r="AE64" s="84"/>
      <c r="AF64" s="84"/>
      <c r="AG64" s="84"/>
      <c r="AH64" s="84"/>
      <c r="AI64" s="84"/>
    </row>
    <row r="65" ht="12" customHeight="1">
      <c r="A65" s="84"/>
      <c r="B65" s="84"/>
      <c r="C65" s="84"/>
      <c r="D65" s="84"/>
      <c r="E65" s="84"/>
      <c r="F65" s="84"/>
      <c r="G65" s="84"/>
      <c r="H65" s="85">
        <v>20241</v>
      </c>
      <c r="I65" s="87">
        <v>261534.91</v>
      </c>
      <c r="J65" s="87">
        <v>255606.1058</v>
      </c>
      <c r="K65" s="87">
        <v>253689.7</v>
      </c>
      <c r="L65" s="84"/>
      <c r="M65" s="87">
        <f>$H10/I65</f>
        <v>0.1069111576729852</v>
      </c>
      <c r="N65" s="87">
        <f>$H10/J65</f>
        <v>0.1093909705814234</v>
      </c>
      <c r="O65" s="87">
        <f>$H10/K65</f>
        <v>0.1102173245504252</v>
      </c>
      <c r="P65" s="89">
        <f>(N65-O65)*100</f>
        <v>-0.08263539690017835</v>
      </c>
      <c r="Q65" s="84"/>
      <c r="R65" s="84"/>
      <c r="S65" s="84"/>
      <c r="T65" s="84"/>
      <c r="U65" s="84"/>
      <c r="V65" s="84"/>
      <c r="W65" s="84"/>
      <c r="X65" s="84"/>
      <c r="Y65" s="84"/>
      <c r="Z65" s="84"/>
      <c r="AA65" s="84"/>
      <c r="AB65" s="89"/>
      <c r="AC65" s="84"/>
      <c r="AD65" s="84"/>
      <c r="AE65" s="84"/>
      <c r="AF65" s="84"/>
      <c r="AG65" s="84"/>
      <c r="AH65" s="84"/>
      <c r="AI65" s="84"/>
    </row>
    <row r="66" ht="12" customHeight="1">
      <c r="A66" s="84"/>
      <c r="B66" s="84"/>
      <c r="C66" s="84"/>
      <c r="D66" s="84"/>
      <c r="E66" s="84"/>
      <c r="F66" s="84"/>
      <c r="G66" s="84"/>
      <c r="H66" s="85">
        <v>20607</v>
      </c>
      <c r="I66" s="87">
        <v>283281.18</v>
      </c>
      <c r="J66" s="87">
        <v>279315.3734</v>
      </c>
      <c r="K66" s="87">
        <v>278102.6</v>
      </c>
      <c r="L66" s="84"/>
      <c r="M66" s="87">
        <f>$H11/I66</f>
        <v>0.1115252343978516</v>
      </c>
      <c r="N66" s="87">
        <f>$H11/J66</f>
        <v>0.1131087043846903</v>
      </c>
      <c r="O66" s="87">
        <f>$H11/K66</f>
        <v>0.1136019584139091</v>
      </c>
      <c r="P66" s="89">
        <f>(N66-O66)*100</f>
        <v>-0.04932540292187926</v>
      </c>
      <c r="Q66" s="84"/>
      <c r="R66" s="84"/>
      <c r="S66" s="84"/>
      <c r="T66" s="84"/>
      <c r="U66" s="84"/>
      <c r="V66" s="84"/>
      <c r="W66" s="84"/>
      <c r="X66" s="84"/>
      <c r="Y66" s="84"/>
      <c r="Z66" s="84"/>
      <c r="AA66" s="84"/>
      <c r="AB66" s="89"/>
      <c r="AC66" s="84"/>
      <c r="AD66" s="84"/>
      <c r="AE66" s="84"/>
      <c r="AF66" s="84"/>
      <c r="AG66" s="84"/>
      <c r="AH66" s="84"/>
      <c r="AI66" s="84"/>
    </row>
    <row r="67" ht="12" customHeight="1">
      <c r="A67" s="84"/>
      <c r="B67" s="84"/>
      <c r="C67" s="84"/>
      <c r="D67" s="84"/>
      <c r="E67" s="84"/>
      <c r="F67" s="84"/>
      <c r="G67" s="84"/>
      <c r="H67" s="85">
        <v>20972</v>
      </c>
      <c r="I67" s="87">
        <v>309715.77</v>
      </c>
      <c r="J67" s="87"/>
      <c r="K67" s="87">
        <v>306232.598</v>
      </c>
      <c r="L67" s="84"/>
      <c r="M67" s="87">
        <f>$H12/I67</f>
        <v>0.1106595250219257</v>
      </c>
      <c r="N67" s="84">
        <f>$H12/J67</f>
      </c>
      <c r="O67" s="87">
        <f>$H12/K67</f>
        <v>0.1119181962463709</v>
      </c>
      <c r="P67" s="84">
        <f>(N67-O67)*100</f>
      </c>
      <c r="Q67" s="84"/>
      <c r="R67" s="84"/>
      <c r="S67" s="84"/>
      <c r="T67" s="84"/>
      <c r="U67" s="84"/>
      <c r="V67" s="84"/>
      <c r="W67" s="84"/>
      <c r="X67" s="84"/>
      <c r="Y67" s="84"/>
      <c r="Z67" s="84"/>
      <c r="AA67" s="84"/>
      <c r="AB67" s="89"/>
      <c r="AC67" s="84"/>
      <c r="AD67" s="84"/>
      <c r="AE67" s="84"/>
      <c r="AF67" s="84"/>
      <c r="AG67" s="84"/>
      <c r="AH67" s="84"/>
      <c r="AI67" s="84"/>
    </row>
    <row r="68" ht="12" customHeight="1">
      <c r="A68" s="84"/>
      <c r="B68" s="84"/>
      <c r="C68" s="84"/>
      <c r="D68" s="84"/>
      <c r="E68" s="84"/>
      <c r="F68" s="84"/>
      <c r="G68" s="84"/>
      <c r="H68" s="85">
        <v>21337</v>
      </c>
      <c r="I68" s="87">
        <v>332830.68</v>
      </c>
      <c r="J68" s="87">
        <v>330660.2434</v>
      </c>
      <c r="K68" s="87">
        <v>330133.932</v>
      </c>
      <c r="L68" s="84"/>
      <c r="M68" s="87">
        <f>$H13/I68</f>
        <v>0.1112757994545455</v>
      </c>
      <c r="N68" s="87">
        <f>$H13/J68</f>
        <v>0.1120062080012368</v>
      </c>
      <c r="O68" s="87">
        <f>$H13/K68</f>
        <v>0.1121847723305219</v>
      </c>
      <c r="P68" s="89">
        <f>(N68-O68)*100</f>
        <v>-0.01785643292850497</v>
      </c>
      <c r="Q68" s="84"/>
      <c r="R68" s="84"/>
      <c r="S68" s="84"/>
      <c r="T68" s="84"/>
      <c r="U68" s="84"/>
      <c r="V68" s="84"/>
      <c r="W68" s="84"/>
      <c r="X68" s="84"/>
      <c r="Y68" s="84"/>
      <c r="Z68" s="84"/>
      <c r="AA68" s="84"/>
      <c r="AB68" s="89"/>
      <c r="AC68" s="84"/>
      <c r="AD68" s="84"/>
      <c r="AE68" s="84"/>
      <c r="AF68" s="84"/>
      <c r="AG68" s="84"/>
      <c r="AH68" s="84"/>
      <c r="AI68" s="84"/>
    </row>
    <row r="69" ht="12" customHeight="1">
      <c r="A69" s="84"/>
      <c r="B69" s="84"/>
      <c r="C69" s="84"/>
      <c r="D69" s="84"/>
      <c r="E69" s="84"/>
      <c r="F69" s="84"/>
      <c r="G69" s="84"/>
      <c r="H69" s="85">
        <v>21702</v>
      </c>
      <c r="I69" s="87">
        <v>348667.41</v>
      </c>
      <c r="J69" s="87"/>
      <c r="K69" s="87">
        <v>346383.262</v>
      </c>
      <c r="L69" s="84"/>
      <c r="M69" s="87">
        <f>$H14/I69</f>
        <v>0.1145934459432271</v>
      </c>
      <c r="N69" s="84">
        <f>$H14/J69</f>
      </c>
      <c r="O69" s="87">
        <f>$H14/K69</f>
        <v>0.1153491071401712</v>
      </c>
      <c r="P69" s="84">
        <f>(N69-O69)*100</f>
      </c>
      <c r="Q69" s="84"/>
      <c r="R69" s="84"/>
      <c r="S69" s="84"/>
      <c r="T69" s="84"/>
      <c r="U69" s="84"/>
      <c r="V69" s="84"/>
      <c r="W69" s="84"/>
      <c r="X69" s="84"/>
      <c r="Y69" s="84"/>
      <c r="Z69" s="84"/>
      <c r="AA69" s="84"/>
      <c r="AB69" s="89"/>
      <c r="AC69" s="84"/>
      <c r="AD69" s="84"/>
      <c r="AE69" s="84"/>
      <c r="AF69" s="84"/>
      <c r="AG69" s="84"/>
      <c r="AH69" s="84"/>
      <c r="AI69" s="84"/>
    </row>
    <row r="70" ht="12" customHeight="1">
      <c r="A70" s="84"/>
      <c r="B70" s="84"/>
      <c r="C70" s="84"/>
      <c r="D70" s="84"/>
      <c r="E70" s="84"/>
      <c r="F70" s="84"/>
      <c r="G70" s="84"/>
      <c r="H70" s="85">
        <v>22068</v>
      </c>
      <c r="I70" s="87">
        <v>359348.99</v>
      </c>
      <c r="J70" s="87">
        <v>358082.6662</v>
      </c>
      <c r="K70" s="87">
        <v>357976.082</v>
      </c>
      <c r="L70" s="84"/>
      <c r="M70" s="87">
        <f>$H15/I70</f>
        <v>0.1222516306501933</v>
      </c>
      <c r="N70" s="87">
        <f>$H15/J70</f>
        <v>0.1226839614053343</v>
      </c>
      <c r="O70" s="87">
        <f>$H15/K70</f>
        <v>0.1227204894655504</v>
      </c>
      <c r="P70" s="89">
        <f>(N70-O70)*100</f>
        <v>-0.003652806021609001</v>
      </c>
      <c r="Q70" s="84"/>
      <c r="R70" s="84"/>
      <c r="S70" s="84"/>
      <c r="T70" s="84"/>
      <c r="U70" s="84"/>
      <c r="V70" s="84"/>
      <c r="W70" s="84"/>
      <c r="X70" s="84"/>
      <c r="Y70" s="84"/>
      <c r="Z70" s="84"/>
      <c r="AA70" s="84"/>
      <c r="AB70" s="89"/>
      <c r="AC70" s="84"/>
      <c r="AD70" s="84"/>
      <c r="AE70" s="84"/>
      <c r="AF70" s="84"/>
      <c r="AG70" s="84"/>
      <c r="AH70" s="84"/>
      <c r="AI70" s="84"/>
    </row>
    <row r="71" ht="12" customHeight="1">
      <c r="A71" s="84"/>
      <c r="B71" s="84"/>
      <c r="C71" s="84"/>
      <c r="D71" s="84"/>
      <c r="E71" s="84"/>
      <c r="F71" s="84"/>
      <c r="G71" s="84"/>
      <c r="H71" s="85">
        <v>22433</v>
      </c>
      <c r="I71" s="87">
        <v>365337</v>
      </c>
      <c r="J71" s="87"/>
      <c r="K71" s="87">
        <v>365337</v>
      </c>
      <c r="L71" s="84"/>
      <c r="M71" s="87">
        <f>$H16/I71</f>
        <v>0.1309092700711945</v>
      </c>
      <c r="N71" s="84">
        <f>$H16/J71</f>
      </c>
      <c r="O71" s="87">
        <f>$H16/K71</f>
        <v>0.1309092700711945</v>
      </c>
      <c r="P71" s="84">
        <f>(N71-O71)*100</f>
      </c>
      <c r="Q71" s="84"/>
      <c r="R71" s="84"/>
      <c r="S71" s="84"/>
      <c r="T71" s="84"/>
      <c r="U71" s="84"/>
      <c r="V71" s="84"/>
      <c r="W71" s="84"/>
      <c r="X71" s="84"/>
      <c r="Y71" s="84"/>
      <c r="Z71" s="84"/>
      <c r="AA71" s="84"/>
      <c r="AB71" s="89"/>
      <c r="AC71" s="84"/>
      <c r="AD71" s="84"/>
      <c r="AE71" s="84"/>
      <c r="AF71" s="84"/>
      <c r="AG71" s="84"/>
      <c r="AH71" s="84"/>
      <c r="AI71" s="84"/>
    </row>
    <row r="72" ht="13.5" customHeight="1">
      <c r="A72" s="84"/>
      <c r="B72" s="84"/>
      <c r="C72" s="84"/>
      <c r="D72" s="84"/>
      <c r="E72" s="84"/>
      <c r="F72" s="84"/>
      <c r="G72" s="84"/>
      <c r="H72" s="85">
        <v>22798</v>
      </c>
      <c r="I72" s="87">
        <v>382822</v>
      </c>
      <c r="J72" s="87">
        <v>382822</v>
      </c>
      <c r="K72" s="87">
        <v>382822</v>
      </c>
      <c r="L72" s="84"/>
      <c r="M72" s="87">
        <f>$H17/I72</f>
        <v>0.139944935244056</v>
      </c>
      <c r="N72" s="87">
        <f>$H17/J72</f>
        <v>0.139944935244056</v>
      </c>
      <c r="O72" s="87">
        <f>$H17/K72</f>
        <v>0.139944935244056</v>
      </c>
      <c r="P72" s="89">
        <f>(N72-O72)*100</f>
        <v>0</v>
      </c>
      <c r="Q72" s="84"/>
      <c r="R72" s="84"/>
      <c r="S72" s="84"/>
      <c r="T72" s="84"/>
      <c r="U72" s="84"/>
      <c r="V72" s="84"/>
      <c r="W72" s="84"/>
      <c r="X72" s="84"/>
      <c r="Y72" s="84"/>
      <c r="Z72" s="84"/>
      <c r="AA72" s="84"/>
      <c r="AB72" s="89"/>
      <c r="AC72" s="84"/>
      <c r="AD72" s="84"/>
      <c r="AE72" s="84"/>
      <c r="AF72" s="84"/>
      <c r="AG72" s="84"/>
      <c r="AH72" s="84"/>
      <c r="AI72" s="84"/>
    </row>
    <row r="73" ht="12" customHeight="1">
      <c r="A73" s="84"/>
      <c r="B73" s="84"/>
      <c r="C73" s="84"/>
      <c r="D73" s="84"/>
      <c r="E73" s="84"/>
      <c r="F73" s="84"/>
      <c r="G73" s="84"/>
      <c r="H73" s="85">
        <v>23163</v>
      </c>
      <c r="I73" s="87">
        <v>410421</v>
      </c>
      <c r="J73" s="87">
        <v>410421</v>
      </c>
      <c r="K73" s="87">
        <v>410421</v>
      </c>
      <c r="L73" s="84"/>
      <c r="M73" s="87">
        <f>$H18/I73</f>
        <v>0.1513202297153411</v>
      </c>
      <c r="N73" s="87">
        <f>$H18/J73</f>
        <v>0.1513202297153411</v>
      </c>
      <c r="O73" s="87">
        <f>$H18/K73</f>
        <v>0.1513202297153411</v>
      </c>
      <c r="P73" s="89">
        <f>(N73-O73)*100</f>
        <v>0</v>
      </c>
      <c r="Q73" s="84"/>
      <c r="R73" s="84"/>
      <c r="S73" s="84"/>
      <c r="T73" s="84"/>
      <c r="U73" s="84"/>
      <c r="V73" s="84"/>
      <c r="W73" s="84"/>
      <c r="X73" s="84"/>
      <c r="Y73" s="84"/>
      <c r="Z73" s="84"/>
      <c r="AA73" s="84"/>
      <c r="AB73" s="89"/>
      <c r="AC73" s="84"/>
      <c r="AD73" s="84"/>
      <c r="AE73" s="84"/>
      <c r="AF73" s="84"/>
      <c r="AG73" s="84"/>
      <c r="AH73" s="84"/>
      <c r="AI73" s="84"/>
    </row>
    <row r="74" ht="12" customHeight="1">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c r="AA74" s="84"/>
      <c r="AB74" s="89"/>
      <c r="AC74" s="84"/>
      <c r="AD74" s="84"/>
      <c r="AE74" s="84"/>
      <c r="AF74" s="84"/>
      <c r="AG74" s="84"/>
      <c r="AH74" s="84"/>
      <c r="AI74" s="84"/>
    </row>
    <row r="75" ht="12" customHeight="1">
      <c r="A75" s="84"/>
      <c r="B75" t="s" s="83">
        <v>59</v>
      </c>
      <c r="C75" t="s" s="83">
        <v>60</v>
      </c>
      <c r="D75" t="s" s="83">
        <v>61</v>
      </c>
      <c r="E75" t="s" s="83">
        <v>62</v>
      </c>
      <c r="F75" t="s" s="83">
        <v>63</v>
      </c>
      <c r="G75" t="s" s="83">
        <v>64</v>
      </c>
      <c r="H75" t="s" s="83">
        <v>65</v>
      </c>
      <c r="I75" t="s" s="83">
        <v>66</v>
      </c>
      <c r="J75" t="s" s="83">
        <v>67</v>
      </c>
      <c r="K75" t="s" s="83">
        <v>68</v>
      </c>
      <c r="L75" t="s" s="83">
        <v>69</v>
      </c>
      <c r="M75" t="s" s="83">
        <v>70</v>
      </c>
      <c r="N75" t="s" s="83">
        <v>71</v>
      </c>
      <c r="O75" t="s" s="83">
        <v>72</v>
      </c>
      <c r="P75" t="s" s="83">
        <v>73</v>
      </c>
      <c r="Q75" t="s" s="83">
        <v>74</v>
      </c>
      <c r="R75" s="86"/>
      <c r="S75" t="s" s="83">
        <v>75</v>
      </c>
      <c r="T75" t="s" s="91">
        <v>76</v>
      </c>
      <c r="U75" s="84"/>
      <c r="V75" s="84"/>
      <c r="W75" s="84"/>
      <c r="X75" s="89"/>
      <c r="Y75" s="89"/>
      <c r="Z75" s="89"/>
      <c r="AA75" s="84"/>
      <c r="AB75" s="84"/>
      <c r="AC75" s="84"/>
      <c r="AD75" s="84"/>
      <c r="AE75" s="84"/>
      <c r="AF75" s="89"/>
      <c r="AG75" s="89"/>
      <c r="AH75" s="89"/>
      <c r="AI75" s="89"/>
    </row>
    <row r="76" ht="12" customHeight="1">
      <c r="A76" s="85">
        <v>17685</v>
      </c>
      <c r="B76" s="87">
        <v>272144</v>
      </c>
      <c r="C76" s="87">
        <f>B76-T76</f>
        <v>24492.959999999992</v>
      </c>
      <c r="D76" s="87">
        <f>J76+K76+L76</f>
        <v>19546</v>
      </c>
      <c r="E76" s="87">
        <f>M76-N76+O76-P76+Q76-R76</f>
        <v>4887.34</v>
      </c>
      <c r="F76" s="89">
        <f>D76/B76</f>
        <v>0.0718222705626433</v>
      </c>
      <c r="G76" s="89"/>
      <c r="H76" s="87">
        <f>F76*B76*0.4</f>
        <v>7818.400000000001</v>
      </c>
      <c r="I76" s="89">
        <f>H76/B76</f>
        <v>0.02872890822505732</v>
      </c>
      <c r="J76" s="87">
        <v>1689</v>
      </c>
      <c r="K76" s="87">
        <v>6867</v>
      </c>
      <c r="L76" s="87">
        <v>10990</v>
      </c>
      <c r="M76" s="87">
        <v>1611</v>
      </c>
      <c r="N76" s="87">
        <f>M76*0.25</f>
        <v>402.75</v>
      </c>
      <c r="O76" s="106">
        <v>3970</v>
      </c>
      <c r="P76" s="87">
        <f>O76*0.3</f>
        <v>1191</v>
      </c>
      <c r="Q76" s="87">
        <v>1233</v>
      </c>
      <c r="R76" s="87">
        <f>Q76*0.27</f>
        <v>332.91</v>
      </c>
      <c r="S76" s="93">
        <f>B76-D76-H76</f>
        <v>244779.6</v>
      </c>
      <c r="T76" s="94">
        <f>B76-0.09*B76</f>
        <v>247651.04</v>
      </c>
      <c r="U76" s="50"/>
      <c r="V76" s="84"/>
      <c r="W76" s="84"/>
      <c r="X76" s="89"/>
      <c r="Y76" s="89"/>
      <c r="Z76" s="89"/>
      <c r="AA76" s="84"/>
      <c r="AB76" s="84"/>
      <c r="AC76" s="84"/>
      <c r="AD76" s="84"/>
      <c r="AE76" s="84"/>
      <c r="AF76" s="89"/>
      <c r="AG76" s="89"/>
      <c r="AH76" s="89"/>
      <c r="AI76" s="89"/>
    </row>
    <row r="77" ht="12" customHeight="1">
      <c r="A77" s="85">
        <v>18050</v>
      </c>
      <c r="B77" s="87">
        <v>366634</v>
      </c>
      <c r="C77" s="87">
        <f>B77-T77</f>
        <v>32997.06</v>
      </c>
      <c r="D77" s="87">
        <f>J77+K77+L77</f>
        <v>21307</v>
      </c>
      <c r="E77" s="87">
        <f>M77-N77+O77-P77+Q77-R77</f>
        <v>3656.36</v>
      </c>
      <c r="F77" s="89">
        <f>D77/B77</f>
        <v>0.05811517753399848</v>
      </c>
      <c r="G77" s="89"/>
      <c r="H77" s="87">
        <f>F77*B77*0.4</f>
        <v>8522.800000000001</v>
      </c>
      <c r="I77" s="89">
        <f>H77/B77</f>
        <v>0.0232460710135994</v>
      </c>
      <c r="J77" s="87">
        <v>1765</v>
      </c>
      <c r="K77" s="87">
        <v>5176</v>
      </c>
      <c r="L77" s="87">
        <v>14366</v>
      </c>
      <c r="M77" s="87">
        <v>1019</v>
      </c>
      <c r="N77" s="87">
        <f>M77*0.25</f>
        <v>254.75</v>
      </c>
      <c r="O77" s="87">
        <v>3071</v>
      </c>
      <c r="P77" s="87">
        <f>O77*0.3</f>
        <v>921.3</v>
      </c>
      <c r="Q77" s="87">
        <v>1017</v>
      </c>
      <c r="R77" s="87">
        <f>Q77*0.27</f>
        <v>274.59</v>
      </c>
      <c r="S77" s="93">
        <f>B77-D77-H77</f>
        <v>336804.2</v>
      </c>
      <c r="T77" s="94">
        <f>B77-0.09*B77</f>
        <v>333636.94</v>
      </c>
      <c r="U77" s="50"/>
      <c r="V77" s="84"/>
      <c r="W77" s="84"/>
      <c r="X77" s="89"/>
      <c r="Y77" s="89"/>
      <c r="Z77" s="89"/>
      <c r="AA77" s="84"/>
      <c r="AB77" s="84"/>
      <c r="AC77" s="84"/>
      <c r="AD77" s="84"/>
      <c r="AE77" s="84"/>
      <c r="AF77" s="89"/>
      <c r="AG77" s="89"/>
      <c r="AH77" s="89"/>
      <c r="AI77" s="89"/>
    </row>
    <row r="78" ht="12" customHeight="1">
      <c r="A78" s="85">
        <v>18415</v>
      </c>
      <c r="B78" s="87">
        <v>433734</v>
      </c>
      <c r="C78" s="87">
        <f>B78-T78</f>
        <v>39036.06</v>
      </c>
      <c r="D78" s="87">
        <f>J78+K78+L78</f>
        <v>22503</v>
      </c>
      <c r="E78" s="87">
        <f>M78-N78+O78-P78+Q78-R78</f>
        <v>3973.82</v>
      </c>
      <c r="F78" s="89">
        <f>D78/B78</f>
        <v>0.05188202907772967</v>
      </c>
      <c r="G78" s="89"/>
      <c r="H78" s="87">
        <f>F78*B78*0.4</f>
        <v>9001.200000000001</v>
      </c>
      <c r="I78" s="89">
        <f>H78/B78</f>
        <v>0.02075281163109187</v>
      </c>
      <c r="J78" s="87">
        <v>2579</v>
      </c>
      <c r="K78" s="87">
        <v>5612</v>
      </c>
      <c r="L78" s="87">
        <v>14312</v>
      </c>
      <c r="M78" s="87">
        <v>1057</v>
      </c>
      <c r="N78" s="87">
        <f>M78*0.25</f>
        <v>264.25</v>
      </c>
      <c r="O78" s="87">
        <v>3221</v>
      </c>
      <c r="P78" s="87">
        <f>O78*0.3</f>
        <v>966.3</v>
      </c>
      <c r="Q78" s="87">
        <v>1269</v>
      </c>
      <c r="R78" s="87">
        <f>Q78*0.27</f>
        <v>342.63</v>
      </c>
      <c r="S78" s="93">
        <f>B78-D78-H78</f>
        <v>402229.8</v>
      </c>
      <c r="T78" s="94">
        <f>B78-0.09*B78</f>
        <v>394697.94</v>
      </c>
      <c r="U78" s="50"/>
      <c r="V78" s="84"/>
      <c r="W78" s="84"/>
      <c r="X78" s="89"/>
      <c r="Y78" s="89"/>
      <c r="Z78" s="89"/>
      <c r="AA78" s="84"/>
      <c r="AB78" s="84"/>
      <c r="AC78" s="84"/>
      <c r="AD78" s="84"/>
      <c r="AE78" s="84"/>
      <c r="AF78" s="89"/>
      <c r="AG78" s="89"/>
      <c r="AH78" s="89"/>
      <c r="AI78" s="89"/>
    </row>
    <row r="79" ht="12" customHeight="1">
      <c r="A79" s="85">
        <v>18780</v>
      </c>
      <c r="B79" s="87">
        <v>384352</v>
      </c>
      <c r="C79" s="87">
        <f>B79-T79</f>
        <v>34591.679999999993</v>
      </c>
      <c r="D79" s="87">
        <f>J79+K79+L79</f>
        <v>23155</v>
      </c>
      <c r="E79" s="87">
        <f>M79-N79+O79-P79+Q79-R79</f>
        <v>3773.56</v>
      </c>
      <c r="F79" s="89">
        <f>D79/B79</f>
        <v>0.06024425526600616</v>
      </c>
      <c r="G79" s="89"/>
      <c r="H79" s="87">
        <f>F79*B79*0.4</f>
        <v>9262</v>
      </c>
      <c r="I79" s="89">
        <f>H79/B79</f>
        <v>0.02409770210640247</v>
      </c>
      <c r="J79" s="87">
        <v>2803</v>
      </c>
      <c r="K79" s="87">
        <v>6014</v>
      </c>
      <c r="L79" s="87">
        <v>14338</v>
      </c>
      <c r="M79" s="87">
        <v>789</v>
      </c>
      <c r="N79" s="87">
        <f>M79*0.25</f>
        <v>197.25</v>
      </c>
      <c r="O79" s="87">
        <v>3464</v>
      </c>
      <c r="P79" s="87">
        <f>O79*0.3</f>
        <v>1039.2</v>
      </c>
      <c r="Q79" s="87">
        <v>1037</v>
      </c>
      <c r="R79" s="87">
        <f>Q79*0.27</f>
        <v>279.99</v>
      </c>
      <c r="S79" s="93">
        <f>B79-D79-H79</f>
        <v>351935</v>
      </c>
      <c r="T79" s="94">
        <f>B79-0.09*B79</f>
        <v>349760.32</v>
      </c>
      <c r="U79" s="50"/>
      <c r="V79" s="84"/>
      <c r="W79" s="84"/>
      <c r="X79" s="89"/>
      <c r="Y79" s="89"/>
      <c r="Z79" s="89"/>
      <c r="AA79" s="84"/>
      <c r="AB79" s="84"/>
      <c r="AC79" s="84"/>
      <c r="AD79" s="84"/>
      <c r="AE79" s="84"/>
      <c r="AF79" s="89"/>
      <c r="AG79" s="89"/>
      <c r="AH79" s="89"/>
      <c r="AI79" s="89"/>
    </row>
    <row r="80" ht="12" customHeight="1">
      <c r="A80" s="85">
        <v>19146</v>
      </c>
      <c r="B80" s="87">
        <v>331924</v>
      </c>
      <c r="C80" s="87">
        <f>B80-T80</f>
        <v>29873.159999999974</v>
      </c>
      <c r="D80" s="87">
        <f>J80+K80+L80</f>
        <v>21677</v>
      </c>
      <c r="E80" s="87">
        <f>M80-N80+O80-P80+Q80-R80</f>
        <v>4202.1</v>
      </c>
      <c r="F80" s="89">
        <f>D80/B80</f>
        <v>0.06530711849700534</v>
      </c>
      <c r="G80" s="89"/>
      <c r="H80" s="87">
        <f>F80*B80*0.4</f>
        <v>8670.800000000001</v>
      </c>
      <c r="I80" s="89">
        <f>H80/B80</f>
        <v>0.02612284739880214</v>
      </c>
      <c r="J80" s="87">
        <v>2918</v>
      </c>
      <c r="K80" s="87">
        <v>6201</v>
      </c>
      <c r="L80" s="87">
        <v>12558</v>
      </c>
      <c r="M80" s="87">
        <v>629</v>
      </c>
      <c r="N80" s="87">
        <f>M80*0.25</f>
        <v>157.25</v>
      </c>
      <c r="O80" s="87">
        <v>4208</v>
      </c>
      <c r="P80" s="87">
        <f>O80*0.3</f>
        <v>1262.4</v>
      </c>
      <c r="Q80" s="87">
        <v>1075</v>
      </c>
      <c r="R80" s="87">
        <f>Q80*0.27</f>
        <v>290.25</v>
      </c>
      <c r="S80" s="93">
        <f>B80-D80-H80</f>
        <v>301576.2</v>
      </c>
      <c r="T80" s="94">
        <f>B80-0.09*B80</f>
        <v>302050.84</v>
      </c>
      <c r="U80" s="50"/>
      <c r="V80" s="84"/>
      <c r="W80" s="84"/>
      <c r="X80" s="89"/>
      <c r="Y80" s="89"/>
      <c r="Z80" s="89"/>
      <c r="AA80" s="84"/>
      <c r="AB80" s="84"/>
      <c r="AC80" s="84"/>
      <c r="AD80" s="84"/>
      <c r="AE80" s="84"/>
      <c r="AF80" s="89"/>
      <c r="AG80" s="89"/>
      <c r="AH80" s="89"/>
      <c r="AI80" s="89"/>
    </row>
    <row r="81" ht="12" customHeight="1">
      <c r="A81" s="85">
        <v>19511</v>
      </c>
      <c r="B81" s="87">
        <v>304857</v>
      </c>
      <c r="C81" s="87">
        <f>B81-T81</f>
        <v>27437.13</v>
      </c>
      <c r="D81" s="87">
        <f>J81+K81+L81</f>
        <v>20950</v>
      </c>
      <c r="E81" s="87">
        <f>M81-N81+O81-P81+Q81-R81</f>
        <v>4276.12</v>
      </c>
      <c r="F81" s="89">
        <f>D81/B81</f>
        <v>0.06872074448019891</v>
      </c>
      <c r="G81" s="89"/>
      <c r="H81" s="87">
        <f>F81*B81*0.4</f>
        <v>8380</v>
      </c>
      <c r="I81" s="89">
        <f>H81/B81</f>
        <v>0.02748829779207956</v>
      </c>
      <c r="J81" s="87">
        <v>2935</v>
      </c>
      <c r="K81" s="87">
        <v>6686</v>
      </c>
      <c r="L81" s="87">
        <v>11329</v>
      </c>
      <c r="M81" s="87">
        <v>607</v>
      </c>
      <c r="N81" s="87">
        <f>M81*0.25</f>
        <v>151.75</v>
      </c>
      <c r="O81" s="87">
        <v>4500</v>
      </c>
      <c r="P81" s="87">
        <f>O81*0.3</f>
        <v>1350</v>
      </c>
      <c r="Q81" s="87">
        <v>919</v>
      </c>
      <c r="R81" s="87">
        <f>Q81*0.27</f>
        <v>248.13</v>
      </c>
      <c r="S81" s="93">
        <f>B81-D81-H81</f>
        <v>275527</v>
      </c>
      <c r="T81" s="94">
        <f>B81-0.09*B81</f>
        <v>277419.87</v>
      </c>
      <c r="U81" s="50"/>
      <c r="V81" s="84"/>
      <c r="W81" s="84"/>
      <c r="X81" s="89"/>
      <c r="Y81" s="89"/>
      <c r="Z81" s="89"/>
      <c r="AA81" s="84"/>
      <c r="AB81" s="84"/>
      <c r="AC81" s="84"/>
      <c r="AD81" s="84"/>
      <c r="AE81" s="84"/>
      <c r="AF81" s="89"/>
      <c r="AG81" s="89"/>
      <c r="AH81" s="89"/>
      <c r="AI81" s="89"/>
    </row>
    <row r="82" ht="12" customHeight="1">
      <c r="A82" s="85">
        <v>19876</v>
      </c>
      <c r="B82" s="87">
        <v>292880</v>
      </c>
      <c r="C82" s="87">
        <f>B82-T82</f>
        <v>26359.200000000012</v>
      </c>
      <c r="D82" s="87">
        <f>J82+K82+L82</f>
        <v>19157</v>
      </c>
      <c r="E82" s="87">
        <f>M82-N82+O82-P82+Q82-R82</f>
        <v>5900.09</v>
      </c>
      <c r="F82" s="89">
        <f>D82/B82</f>
        <v>0.06540904124556132</v>
      </c>
      <c r="G82" s="89"/>
      <c r="H82" s="87">
        <f>F82*B82*0.4</f>
        <v>7662.8</v>
      </c>
      <c r="I82" s="89">
        <f>H82/B82</f>
        <v>0.02616361649822453</v>
      </c>
      <c r="J82" s="87">
        <v>3102</v>
      </c>
      <c r="K82" s="87">
        <v>6757</v>
      </c>
      <c r="L82" s="87">
        <v>9298</v>
      </c>
      <c r="M82" s="87">
        <v>1596</v>
      </c>
      <c r="N82" s="87">
        <f>M82*0.25</f>
        <v>399</v>
      </c>
      <c r="O82" s="87">
        <v>4463</v>
      </c>
      <c r="P82" s="87">
        <f>O82*0.3</f>
        <v>1338.9</v>
      </c>
      <c r="Q82" s="87">
        <v>2163</v>
      </c>
      <c r="R82" s="87">
        <f>Q82*0.27</f>
        <v>584.01</v>
      </c>
      <c r="S82" s="93">
        <f>B82-D82-H82</f>
        <v>266060.2</v>
      </c>
      <c r="T82" s="94">
        <f>B82-0.09*B82</f>
        <v>266520.8</v>
      </c>
      <c r="U82" s="50"/>
      <c r="V82" s="84"/>
      <c r="W82" s="84"/>
      <c r="X82" s="89"/>
      <c r="Y82" s="89"/>
      <c r="Z82" s="89"/>
      <c r="AA82" s="84"/>
      <c r="AB82" s="84"/>
      <c r="AC82" s="84"/>
      <c r="AD82" s="84"/>
      <c r="AE82" s="84"/>
      <c r="AF82" s="89"/>
      <c r="AG82" s="89"/>
      <c r="AH82" s="89"/>
      <c r="AI82" s="89"/>
    </row>
    <row r="83" ht="12" customHeight="1">
      <c r="A83" s="85">
        <v>20241</v>
      </c>
      <c r="B83" s="87">
        <v>287401</v>
      </c>
      <c r="C83" s="87">
        <f>B83-T83</f>
        <v>25866.09</v>
      </c>
      <c r="D83" s="87">
        <f>J83+K83+L83</f>
        <v>18381</v>
      </c>
      <c r="E83" s="87">
        <f>M83-N83+O83-P83+Q83-R83</f>
        <v>5698.5</v>
      </c>
      <c r="F83" s="89">
        <f>D83/B83</f>
        <v>0.06395593613105034</v>
      </c>
      <c r="G83" s="89"/>
      <c r="H83" s="87">
        <f>F83*B83*0.4</f>
        <v>7352.400000000001</v>
      </c>
      <c r="I83" s="89">
        <f>H83/B83</f>
        <v>0.02558237445242014</v>
      </c>
      <c r="J83" s="87">
        <v>3099</v>
      </c>
      <c r="K83" s="87">
        <v>7056</v>
      </c>
      <c r="L83" s="87">
        <v>8226</v>
      </c>
      <c r="M83" s="87">
        <v>1536</v>
      </c>
      <c r="N83" s="87">
        <f>M83*0.25</f>
        <v>384</v>
      </c>
      <c r="O83" s="87">
        <v>4524</v>
      </c>
      <c r="P83" s="87">
        <f>O83*0.3</f>
        <v>1357.2</v>
      </c>
      <c r="Q83" s="87">
        <v>1890</v>
      </c>
      <c r="R83" s="87">
        <f>Q83*0.27</f>
        <v>510.3</v>
      </c>
      <c r="S83" s="93">
        <f>B83-D83-H83</f>
        <v>261667.6</v>
      </c>
      <c r="T83" s="94">
        <f>B83-0.09*B83</f>
        <v>261534.91</v>
      </c>
      <c r="U83" s="50"/>
      <c r="V83" s="84"/>
      <c r="W83" s="84"/>
      <c r="X83" s="89"/>
      <c r="Y83" s="89"/>
      <c r="Z83" s="89"/>
      <c r="AA83" s="84"/>
      <c r="AB83" s="84"/>
      <c r="AC83" s="84"/>
      <c r="AD83" s="84"/>
      <c r="AE83" s="84"/>
      <c r="AF83" s="89"/>
      <c r="AG83" s="89"/>
      <c r="AH83" s="89"/>
      <c r="AI83" s="89"/>
    </row>
    <row r="84" ht="12" customHeight="1">
      <c r="A84" s="85">
        <v>20607</v>
      </c>
      <c r="B84" s="87">
        <v>311298</v>
      </c>
      <c r="C84" s="87">
        <f>B84-T84</f>
        <v>28016.820000000007</v>
      </c>
      <c r="D84" s="87">
        <f>J84+K84+L84</f>
        <v>18147</v>
      </c>
      <c r="E84" s="87">
        <f>M84-N84+O84-P84+Q84-R84</f>
        <v>5564</v>
      </c>
      <c r="F84" s="89">
        <f>D84/B84</f>
        <v>0.05829462444345932</v>
      </c>
      <c r="G84" s="89"/>
      <c r="H84" s="87">
        <f>F84*B84*0.4</f>
        <v>7258.8</v>
      </c>
      <c r="I84" s="89">
        <f>H84/B84</f>
        <v>0.02331784977738373</v>
      </c>
      <c r="J84" s="87">
        <v>3009</v>
      </c>
      <c r="K84" s="87">
        <v>6853</v>
      </c>
      <c r="L84" s="87">
        <v>8285</v>
      </c>
      <c r="M84" s="87">
        <v>1592</v>
      </c>
      <c r="N84" s="87">
        <f>M84*0.25</f>
        <v>398</v>
      </c>
      <c r="O84" s="87">
        <v>4397</v>
      </c>
      <c r="P84" s="87">
        <f>O84*0.3</f>
        <v>1319.1</v>
      </c>
      <c r="Q84" s="87">
        <v>1770</v>
      </c>
      <c r="R84" s="87">
        <f>Q84*0.27</f>
        <v>477.9</v>
      </c>
      <c r="S84" s="93">
        <f>B84-D84-H84</f>
        <v>285892.2</v>
      </c>
      <c r="T84" s="94">
        <f>B84-0.09*B84</f>
        <v>283281.18</v>
      </c>
      <c r="U84" s="50"/>
      <c r="V84" s="84"/>
      <c r="W84" s="84"/>
      <c r="X84" s="89"/>
      <c r="Y84" s="89"/>
      <c r="Z84" s="89"/>
      <c r="AA84" s="84"/>
      <c r="AB84" s="84"/>
      <c r="AC84" s="84"/>
      <c r="AD84" s="84"/>
      <c r="AE84" s="84"/>
      <c r="AF84" s="89"/>
      <c r="AG84" s="89"/>
      <c r="AH84" s="89"/>
      <c r="AI84" s="89"/>
    </row>
    <row r="85" ht="12" customHeight="1">
      <c r="A85" s="85">
        <v>20972</v>
      </c>
      <c r="B85" s="87">
        <v>340347</v>
      </c>
      <c r="C85" s="87">
        <f>B85-T85</f>
        <v>30631.229999999981</v>
      </c>
      <c r="D85" s="87">
        <f>J85+K85+L85</f>
        <v>18655</v>
      </c>
      <c r="E85" s="87">
        <f>M85-N85+O85-P85+Q85-R85</f>
        <v>5712.43</v>
      </c>
      <c r="F85" s="89">
        <f>D85/B85</f>
        <v>0.05481170687562987</v>
      </c>
      <c r="G85" s="89"/>
      <c r="H85" s="87">
        <f>F85*B85*0.4</f>
        <v>7462</v>
      </c>
      <c r="I85" s="89">
        <f>H85/B85</f>
        <v>0.02192468275025195</v>
      </c>
      <c r="J85" s="87">
        <v>3038</v>
      </c>
      <c r="K85" s="87">
        <v>6785</v>
      </c>
      <c r="L85" s="87">
        <v>8832</v>
      </c>
      <c r="M85" s="87">
        <v>1542</v>
      </c>
      <c r="N85" s="87">
        <f>M85*0.25</f>
        <v>385.5</v>
      </c>
      <c r="O85" s="87">
        <v>4526</v>
      </c>
      <c r="P85" s="87">
        <f>O85*0.3</f>
        <v>1357.8</v>
      </c>
      <c r="Q85" s="87">
        <v>1901</v>
      </c>
      <c r="R85" s="87">
        <f>Q85*0.27</f>
        <v>513.27</v>
      </c>
      <c r="S85" s="93">
        <f>B85-D85-H85</f>
        <v>314230</v>
      </c>
      <c r="T85" s="94">
        <f>B85-0.09*B85</f>
        <v>309715.77</v>
      </c>
      <c r="U85" s="50"/>
      <c r="V85" s="84"/>
      <c r="W85" s="84"/>
      <c r="X85" s="89"/>
      <c r="Y85" s="89"/>
      <c r="Z85" s="89"/>
      <c r="AA85" s="84"/>
      <c r="AB85" s="84"/>
      <c r="AC85" s="84"/>
      <c r="AD85" s="84"/>
      <c r="AE85" s="84"/>
      <c r="AF85" s="89"/>
      <c r="AG85" s="89"/>
      <c r="AH85" s="89"/>
      <c r="AI85" s="89"/>
    </row>
    <row r="86" ht="12" customHeight="1">
      <c r="A86" s="85">
        <v>21337</v>
      </c>
      <c r="B86" s="87">
        <v>365748</v>
      </c>
      <c r="C86" s="87">
        <f>B86-T86</f>
        <v>32917.320000000007</v>
      </c>
      <c r="D86" s="87">
        <f>J86+K86+L86</f>
        <v>19359</v>
      </c>
      <c r="E86" s="87">
        <f>M86-N86+O86-P86+Q86-R86</f>
        <v>6079.62</v>
      </c>
      <c r="F86" s="89">
        <f>D86/B86</f>
        <v>0.05292988615112044</v>
      </c>
      <c r="G86" s="89"/>
      <c r="H86" s="87">
        <f>F86*B86*0.4</f>
        <v>7743.6</v>
      </c>
      <c r="I86" s="89">
        <f>H86/B86</f>
        <v>0.02117195446044818</v>
      </c>
      <c r="J86" s="87">
        <v>3065</v>
      </c>
      <c r="K86" s="87">
        <v>6861</v>
      </c>
      <c r="L86" s="87">
        <v>9433</v>
      </c>
      <c r="M86" s="87">
        <v>1690</v>
      </c>
      <c r="N86" s="87">
        <f>M86*0.25</f>
        <v>422.5</v>
      </c>
      <c r="O86" s="87">
        <v>4795</v>
      </c>
      <c r="P86" s="87">
        <f>O86*0.3</f>
        <v>1438.5</v>
      </c>
      <c r="Q86" s="87">
        <v>1994</v>
      </c>
      <c r="R86" s="87">
        <f>Q86*0.27</f>
        <v>538.38</v>
      </c>
      <c r="S86" s="93">
        <f>B86-D86-H86</f>
        <v>338645.4</v>
      </c>
      <c r="T86" s="94">
        <f>B86-0.09*B86</f>
        <v>332830.68</v>
      </c>
      <c r="U86" s="50"/>
      <c r="V86" s="84"/>
      <c r="W86" s="84"/>
      <c r="X86" s="89"/>
      <c r="Y86" s="89"/>
      <c r="Z86" s="89"/>
      <c r="AA86" s="84"/>
      <c r="AB86" s="84"/>
      <c r="AC86" s="84"/>
      <c r="AD86" s="84"/>
      <c r="AE86" s="84"/>
      <c r="AF86" s="89"/>
      <c r="AG86" s="89"/>
      <c r="AH86" s="89"/>
      <c r="AI86" s="89"/>
    </row>
    <row r="87" ht="12" customHeight="1">
      <c r="A87" s="85">
        <v>21702</v>
      </c>
      <c r="B87" s="87">
        <v>383151</v>
      </c>
      <c r="C87" s="87">
        <f>B87-T87</f>
        <v>34483.589999999967</v>
      </c>
      <c r="D87" s="87">
        <f>J87+K87+L87</f>
        <v>19943</v>
      </c>
      <c r="E87" s="87">
        <f>M87-N87+O87-P87+Q87-R87</f>
        <v>6319.67</v>
      </c>
      <c r="F87" s="89">
        <f>D87/B87</f>
        <v>0.05204997507510094</v>
      </c>
      <c r="G87" s="89"/>
      <c r="H87" s="87">
        <f>F87*B87*0.4</f>
        <v>7977.200000000001</v>
      </c>
      <c r="I87" s="89">
        <f>H87/B87</f>
        <v>0.02081999003004038</v>
      </c>
      <c r="J87" s="87">
        <v>3150</v>
      </c>
      <c r="K87" s="87">
        <v>6868</v>
      </c>
      <c r="L87" s="87">
        <v>9925</v>
      </c>
      <c r="M87" s="87">
        <v>1756</v>
      </c>
      <c r="N87" s="87">
        <f>M87*0.25</f>
        <v>439</v>
      </c>
      <c r="O87" s="87">
        <v>4989</v>
      </c>
      <c r="P87" s="87">
        <f>O87*0.3</f>
        <v>1496.7</v>
      </c>
      <c r="Q87" s="87">
        <v>2069</v>
      </c>
      <c r="R87" s="87">
        <f>Q87*0.27</f>
        <v>558.63</v>
      </c>
      <c r="S87" s="93">
        <f>B87-D87-H87</f>
        <v>355230.8</v>
      </c>
      <c r="T87" s="94">
        <f>B87-0.09*B87</f>
        <v>348667.41</v>
      </c>
      <c r="U87" s="50"/>
      <c r="V87" s="84"/>
      <c r="W87" s="84"/>
      <c r="X87" s="89"/>
      <c r="Y87" s="89"/>
      <c r="Z87" s="89"/>
      <c r="AA87" s="84"/>
      <c r="AB87" s="84"/>
      <c r="AC87" s="84"/>
      <c r="AD87" s="84"/>
      <c r="AE87" s="84"/>
      <c r="AF87" s="89"/>
      <c r="AG87" s="89"/>
      <c r="AH87" s="89"/>
      <c r="AI87" s="89"/>
    </row>
    <row r="88" ht="13.5" customHeight="1">
      <c r="A88" s="85">
        <v>22068</v>
      </c>
      <c r="B88" s="87">
        <v>394889</v>
      </c>
      <c r="C88" s="87">
        <f>B88-T88</f>
        <v>35540.010000000009</v>
      </c>
      <c r="D88" s="87">
        <f>J88+K88+L88</f>
        <v>19635</v>
      </c>
      <c r="E88" s="87">
        <f>M88-N88+O88-P88+Q88-R88</f>
        <v>7588.289067613903</v>
      </c>
      <c r="F88" s="89">
        <f>D88/B88</f>
        <v>0.04972283350511156</v>
      </c>
      <c r="G88" s="89"/>
      <c r="H88" s="87">
        <f>F88*B88*0.4</f>
        <v>7854</v>
      </c>
      <c r="I88" s="89">
        <f>H88/B88</f>
        <v>0.01988913340204463</v>
      </c>
      <c r="J88" s="87">
        <v>3247</v>
      </c>
      <c r="K88" s="87">
        <v>7074</v>
      </c>
      <c r="L88" s="87">
        <v>9314</v>
      </c>
      <c r="M88" s="87">
        <v>1938</v>
      </c>
      <c r="N88" s="87">
        <f>M88*0.25</f>
        <v>484.5</v>
      </c>
      <c r="O88" s="87">
        <v>5184</v>
      </c>
      <c r="P88" s="87">
        <f>O88*P93*F89/F88</f>
        <v>698.2809323860957</v>
      </c>
      <c r="Q88" s="87">
        <v>2259</v>
      </c>
      <c r="R88" s="87">
        <f>Q88*0.27</f>
        <v>609.9300000000001</v>
      </c>
      <c r="S88" s="93">
        <f>B88-D88-H88</f>
        <v>367400</v>
      </c>
      <c r="T88" s="94">
        <f>B88-0.09*B88</f>
        <v>359348.99</v>
      </c>
      <c r="U88" s="50"/>
      <c r="V88" s="84"/>
      <c r="W88" s="84"/>
      <c r="X88" s="89"/>
      <c r="Y88" s="89"/>
      <c r="Z88" s="89"/>
      <c r="AA88" s="84"/>
      <c r="AB88" s="84"/>
      <c r="AC88" s="84"/>
      <c r="AD88" s="84"/>
      <c r="AE88" s="84"/>
      <c r="AF88" s="89"/>
      <c r="AG88" s="89"/>
      <c r="AH88" s="89"/>
      <c r="AI88" s="89"/>
    </row>
    <row r="89" ht="12" customHeight="1">
      <c r="A89" s="85">
        <v>22433</v>
      </c>
      <c r="B89" s="87">
        <v>401784</v>
      </c>
      <c r="C89" s="87">
        <f>B89-T89</f>
        <v>36447</v>
      </c>
      <c r="D89" s="87">
        <f>J89+K89+L89</f>
        <v>19789</v>
      </c>
      <c r="E89" s="87">
        <f>M89-N89+O89-P89+Q89-R89</f>
        <v>5250</v>
      </c>
      <c r="F89" s="89">
        <f>D89/B89</f>
        <v>0.04925283236764032</v>
      </c>
      <c r="G89" s="89"/>
      <c r="H89" s="87">
        <f>C89-D89</f>
        <v>16658</v>
      </c>
      <c r="I89" s="89">
        <f>H89/B89</f>
        <v>0.04146008800748661</v>
      </c>
      <c r="J89" s="87">
        <v>3289</v>
      </c>
      <c r="K89" s="87">
        <v>6986</v>
      </c>
      <c r="L89" s="87">
        <v>9514</v>
      </c>
      <c r="M89" s="87">
        <v>1561</v>
      </c>
      <c r="N89" s="87">
        <v>439</v>
      </c>
      <c r="O89" s="87">
        <v>3855</v>
      </c>
      <c r="P89" s="87">
        <v>1164</v>
      </c>
      <c r="Q89" s="87">
        <v>1975</v>
      </c>
      <c r="R89" s="87">
        <v>538</v>
      </c>
      <c r="S89" s="87">
        <f>B89-D89-H89</f>
        <v>365337</v>
      </c>
      <c r="T89" s="99">
        <v>365337</v>
      </c>
      <c r="U89" s="84"/>
      <c r="V89" s="84"/>
      <c r="W89" s="84"/>
      <c r="X89" s="89"/>
      <c r="Y89" s="89"/>
      <c r="Z89" s="89"/>
      <c r="AA89" s="84"/>
      <c r="AB89" s="84"/>
      <c r="AC89" s="84"/>
      <c r="AD89" s="84"/>
      <c r="AE89" s="84"/>
      <c r="AF89" s="89"/>
      <c r="AG89" s="89"/>
      <c r="AH89" s="89"/>
      <c r="AI89" s="89"/>
    </row>
    <row r="90" ht="12" customHeight="1">
      <c r="A90" s="85">
        <v>22798</v>
      </c>
      <c r="B90" s="87">
        <v>420485</v>
      </c>
      <c r="C90" s="87">
        <f>B90-T90</f>
        <v>37663</v>
      </c>
      <c r="D90" s="87">
        <f>J90+K90+L90</f>
        <v>19826</v>
      </c>
      <c r="E90" s="87">
        <f>M90-N90+O90-P90+Q90-R90</f>
        <v>7922</v>
      </c>
      <c r="F90" s="89">
        <f>D90/B90</f>
        <v>0.04715031451775925</v>
      </c>
      <c r="G90" s="89"/>
      <c r="H90" s="87">
        <f>C90-D90</f>
        <v>17837</v>
      </c>
      <c r="I90" s="89">
        <f>H90/B90</f>
        <v>0.04242006254682093</v>
      </c>
      <c r="J90" s="87">
        <v>3209</v>
      </c>
      <c r="K90" s="87">
        <v>7183</v>
      </c>
      <c r="L90" s="87">
        <v>9434</v>
      </c>
      <c r="M90" s="87">
        <f>423+1619</f>
        <v>2042</v>
      </c>
      <c r="N90" s="87">
        <v>423</v>
      </c>
      <c r="O90" s="87">
        <f>4323+673</f>
        <v>4996</v>
      </c>
      <c r="P90" s="87">
        <v>673</v>
      </c>
      <c r="Q90" s="87">
        <f>654+1980</f>
        <v>2634</v>
      </c>
      <c r="R90" s="87">
        <v>654</v>
      </c>
      <c r="S90" s="87">
        <f>B90-D90-H90</f>
        <v>382822</v>
      </c>
      <c r="T90" s="87">
        <v>382822</v>
      </c>
      <c r="U90" s="84"/>
      <c r="V90" s="84"/>
      <c r="W90" s="84"/>
      <c r="X90" s="89"/>
      <c r="Y90" s="89"/>
      <c r="Z90" s="89"/>
      <c r="AA90" s="84"/>
      <c r="AB90" s="84"/>
      <c r="AC90" s="84"/>
      <c r="AD90" s="84"/>
      <c r="AE90" s="84"/>
      <c r="AF90" s="89"/>
      <c r="AG90" s="89"/>
      <c r="AH90" s="89"/>
      <c r="AI90" s="89"/>
    </row>
    <row r="91" ht="12" customHeight="1">
      <c r="A91" s="85">
        <v>23163</v>
      </c>
      <c r="B91" s="87">
        <v>450592</v>
      </c>
      <c r="C91" s="87">
        <f>B91-T91</f>
        <v>40171</v>
      </c>
      <c r="D91" s="87">
        <f>J91+K91+L91</f>
        <v>20650</v>
      </c>
      <c r="E91" s="87">
        <f>M91-N91+O91-P91+Q91-R91</f>
        <v>8757</v>
      </c>
      <c r="F91" s="89">
        <f>D91/B91</f>
        <v>0.04582859882110646</v>
      </c>
      <c r="G91" s="89"/>
      <c r="H91" s="87">
        <f>C91-D91</f>
        <v>19521</v>
      </c>
      <c r="I91" s="89">
        <f>H91/B91</f>
        <v>0.04332300617853846</v>
      </c>
      <c r="J91" s="87">
        <v>3191</v>
      </c>
      <c r="K91" s="87">
        <v>7278</v>
      </c>
      <c r="L91" s="87">
        <f>9948+233</f>
        <v>10181</v>
      </c>
      <c r="M91" s="87">
        <f>1889+465</f>
        <v>2354</v>
      </c>
      <c r="N91" s="87">
        <v>462</v>
      </c>
      <c r="O91" s="87">
        <f>4615+293</f>
        <v>4908</v>
      </c>
      <c r="P91" s="87">
        <v>293</v>
      </c>
      <c r="Q91" s="87">
        <f>825+2250</f>
        <v>3075</v>
      </c>
      <c r="R91" s="87">
        <v>825</v>
      </c>
      <c r="S91" s="87">
        <f>B91-D91-H91</f>
        <v>410421</v>
      </c>
      <c r="T91" s="87">
        <v>410421</v>
      </c>
      <c r="U91" s="84"/>
      <c r="V91" s="84"/>
      <c r="W91" s="84"/>
      <c r="X91" s="89"/>
      <c r="Y91" s="89"/>
      <c r="Z91" s="89"/>
      <c r="AA91" s="84"/>
      <c r="AB91" s="84"/>
      <c r="AC91" s="84"/>
      <c r="AD91" s="84"/>
      <c r="AE91" s="84"/>
      <c r="AF91" s="89"/>
      <c r="AG91" s="89"/>
      <c r="AH91" s="89"/>
      <c r="AI91" s="89"/>
    </row>
    <row r="92" ht="12" customHeight="1">
      <c r="A92" s="84"/>
      <c r="B92" s="87"/>
      <c r="C92" s="87"/>
      <c r="D92" s="87"/>
      <c r="E92" s="87"/>
      <c r="F92" s="89"/>
      <c r="G92" s="89"/>
      <c r="H92" s="87"/>
      <c r="I92" s="84"/>
      <c r="J92" s="87"/>
      <c r="K92" s="87"/>
      <c r="L92" s="87"/>
      <c r="M92" s="87"/>
      <c r="N92" s="87"/>
      <c r="O92" s="87"/>
      <c r="P92" s="87"/>
      <c r="Q92" s="87"/>
      <c r="R92" s="87"/>
      <c r="S92" s="87"/>
      <c r="T92" s="87"/>
      <c r="U92" s="84"/>
      <c r="V92" s="84"/>
      <c r="W92" s="84"/>
      <c r="X92" s="89"/>
      <c r="Y92" s="89"/>
      <c r="Z92" s="89"/>
      <c r="AA92" s="84"/>
      <c r="AB92" s="84"/>
      <c r="AC92" s="84"/>
      <c r="AD92" s="84"/>
      <c r="AE92" s="84"/>
      <c r="AF92" s="89"/>
      <c r="AG92" s="89"/>
      <c r="AH92" s="89"/>
      <c r="AI92" s="89"/>
    </row>
    <row r="93" ht="12" customHeight="1">
      <c r="A93" s="84"/>
      <c r="B93" s="84"/>
      <c r="C93" s="89">
        <f>C89/B89</f>
        <v>0.09071292037512693</v>
      </c>
      <c r="D93" s="84"/>
      <c r="E93" s="84"/>
      <c r="F93" s="84"/>
      <c r="G93" s="84"/>
      <c r="H93" s="84"/>
      <c r="I93" s="107">
        <f>I89/F89</f>
        <v>0.8417807873060791</v>
      </c>
      <c r="J93" s="84"/>
      <c r="K93" s="84"/>
      <c r="L93" s="89"/>
      <c r="M93" s="84"/>
      <c r="N93" s="89">
        <f>(M89-N89)/$D89</f>
        <v>0.05669816564758199</v>
      </c>
      <c r="O93" s="84"/>
      <c r="P93" s="89">
        <f>(O89-P89)/$D89</f>
        <v>0.1359846379301632</v>
      </c>
      <c r="Q93" s="84"/>
      <c r="R93" s="89">
        <f>R89/Q89</f>
        <v>0.2724050632911392</v>
      </c>
      <c r="S93" s="89"/>
      <c r="T93" s="89"/>
      <c r="U93" s="84"/>
      <c r="V93" s="84"/>
      <c r="W93" s="84"/>
      <c r="X93" s="84"/>
      <c r="Y93" s="84"/>
      <c r="Z93" s="84"/>
      <c r="AA93" s="84"/>
      <c r="AB93" s="89"/>
      <c r="AC93" s="84"/>
      <c r="AD93" s="84"/>
      <c r="AE93" s="84"/>
      <c r="AF93" s="84"/>
      <c r="AG93" s="84"/>
      <c r="AH93" s="84"/>
      <c r="AI93" s="84"/>
    </row>
    <row r="94" ht="12" customHeight="1">
      <c r="A94" s="84"/>
      <c r="B94" s="84"/>
      <c r="C94" s="89">
        <f>C90/B90</f>
        <v>0.08957037706458018</v>
      </c>
      <c r="D94" s="84"/>
      <c r="E94" s="84"/>
      <c r="F94" s="84"/>
      <c r="G94" s="84"/>
      <c r="H94" s="84"/>
      <c r="I94" s="107">
        <f>I90/F90</f>
        <v>0.8996771915666297</v>
      </c>
      <c r="J94" s="84"/>
      <c r="K94" s="84"/>
      <c r="L94" s="89"/>
      <c r="M94" s="84"/>
      <c r="N94" s="89">
        <f>(M90-N90)/$D90</f>
        <v>0.0816604458791486</v>
      </c>
      <c r="O94" s="84"/>
      <c r="P94" s="89">
        <f>(O90-P90)/$D90</f>
        <v>0.2180470089781096</v>
      </c>
      <c r="Q94" s="84"/>
      <c r="R94" s="89">
        <f>R90/Q90</f>
        <v>0.2482915717539863</v>
      </c>
      <c r="S94" s="89"/>
      <c r="T94" s="89"/>
      <c r="U94" s="84"/>
      <c r="V94" s="84"/>
      <c r="W94" s="84"/>
      <c r="X94" s="84"/>
      <c r="Y94" s="84"/>
      <c r="Z94" s="84"/>
      <c r="AA94" s="84"/>
      <c r="AB94" s="89"/>
      <c r="AC94" s="84"/>
      <c r="AD94" s="84"/>
      <c r="AE94" s="84"/>
      <c r="AF94" s="84"/>
      <c r="AG94" s="84"/>
      <c r="AH94" s="84"/>
      <c r="AI94" s="84"/>
    </row>
    <row r="95" ht="12" customHeight="1">
      <c r="A95" s="84"/>
      <c r="B95" s="84"/>
      <c r="C95" s="89">
        <f>C91/B91</f>
        <v>0.08915160499964492</v>
      </c>
      <c r="D95" s="84"/>
      <c r="E95" s="84"/>
      <c r="F95" s="84"/>
      <c r="G95" s="84"/>
      <c r="H95" s="84"/>
      <c r="I95" s="107">
        <f>I91/F91</f>
        <v>0.9453268765133171</v>
      </c>
      <c r="J95" s="84"/>
      <c r="K95" s="84"/>
      <c r="L95" s="89"/>
      <c r="M95" s="84"/>
      <c r="N95" s="89">
        <f>(M91-N91)/$D91</f>
        <v>0.09162227602905569</v>
      </c>
      <c r="O95" s="84"/>
      <c r="P95" s="89">
        <f>(O91-P91)/$D91</f>
        <v>0.2234866828087167</v>
      </c>
      <c r="Q95" s="84"/>
      <c r="R95" s="89">
        <f>R91/Q91</f>
        <v>0.2682926829268293</v>
      </c>
      <c r="S95" s="89"/>
      <c r="T95" s="89"/>
      <c r="U95" s="84"/>
      <c r="V95" s="84"/>
      <c r="W95" s="84"/>
      <c r="X95" s="84"/>
      <c r="Y95" s="84"/>
      <c r="Z95" s="84"/>
      <c r="AA95" s="84"/>
      <c r="AB95" s="89"/>
      <c r="AC95" s="84"/>
      <c r="AD95" s="84"/>
      <c r="AE95" s="84"/>
      <c r="AF95" s="84"/>
      <c r="AG95" s="84"/>
      <c r="AH95" s="84"/>
      <c r="AI95" s="84"/>
    </row>
    <row r="96" ht="12" customHeight="1">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c r="AA96" s="84"/>
      <c r="AB96" s="89"/>
      <c r="AC96" s="84"/>
      <c r="AD96" s="84"/>
      <c r="AE96" s="84"/>
      <c r="AF96" s="84"/>
      <c r="AG96" s="84"/>
      <c r="AH96" s="84"/>
      <c r="AI96" s="84"/>
    </row>
    <row r="97" ht="12" customHeight="1">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c r="AA97" s="84"/>
      <c r="AB97" s="89"/>
      <c r="AC97" s="84"/>
      <c r="AD97" s="84"/>
      <c r="AE97" s="84"/>
      <c r="AF97" s="84"/>
      <c r="AG97" s="84"/>
      <c r="AH97" s="84"/>
      <c r="AI97" s="84"/>
    </row>
    <row r="98" ht="12" customHeight="1">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c r="AA98" s="84"/>
      <c r="AB98" s="89"/>
      <c r="AC98" s="84"/>
      <c r="AD98" s="84"/>
      <c r="AE98" s="84"/>
      <c r="AF98" s="84"/>
      <c r="AG98" s="84"/>
      <c r="AH98" s="84"/>
      <c r="AI98" s="84"/>
    </row>
    <row r="99" ht="12" customHeight="1">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c r="AA99" s="84"/>
      <c r="AB99" s="89"/>
      <c r="AC99" s="84"/>
      <c r="AD99" s="84"/>
      <c r="AE99" s="84"/>
      <c r="AF99" s="84"/>
      <c r="AG99" s="84"/>
      <c r="AH99" s="84"/>
      <c r="AI99" s="84"/>
    </row>
    <row r="100" ht="12" customHeight="1">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c r="AA100" s="84"/>
      <c r="AB100" s="89"/>
      <c r="AC100" s="84"/>
      <c r="AD100" s="84"/>
      <c r="AE100" s="84"/>
      <c r="AF100" s="84"/>
      <c r="AG100" s="84"/>
      <c r="AH100" s="84"/>
      <c r="AI100" s="84"/>
    </row>
    <row r="101" ht="12" customHeight="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c r="AA101" s="84"/>
      <c r="AB101" s="89"/>
      <c r="AC101" s="84"/>
      <c r="AD101" s="84"/>
      <c r="AE101" s="84"/>
      <c r="AF101" s="84"/>
      <c r="AG101" s="84"/>
      <c r="AH101" s="84"/>
      <c r="AI101" s="84"/>
    </row>
    <row r="102" ht="12" customHeight="1">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c r="AA102" s="84"/>
      <c r="AB102" s="89"/>
      <c r="AC102" s="84"/>
      <c r="AD102" s="84"/>
      <c r="AE102" s="84"/>
      <c r="AF102" s="84"/>
      <c r="AG102" s="84"/>
      <c r="AH102" s="84"/>
      <c r="AI102" s="84"/>
    </row>
    <row r="103" ht="12" customHeight="1">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9"/>
      <c r="AC103" s="84"/>
      <c r="AD103" s="84"/>
      <c r="AE103" s="84"/>
      <c r="AF103" s="84"/>
      <c r="AG103" s="84"/>
      <c r="AH103" s="84"/>
      <c r="AI103" s="84"/>
    </row>
    <row r="104" ht="12" customHeight="1">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c r="AA104" s="84"/>
      <c r="AB104" s="89"/>
      <c r="AC104" s="84"/>
      <c r="AD104" s="84"/>
      <c r="AE104" s="84"/>
      <c r="AF104" s="84"/>
      <c r="AG104" s="84"/>
      <c r="AH104" s="84"/>
      <c r="AI104" s="84"/>
    </row>
    <row r="105" ht="12" customHeight="1">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c r="AA105" s="84"/>
      <c r="AB105" s="89"/>
      <c r="AC105" s="84"/>
      <c r="AD105" s="84"/>
      <c r="AE105" s="84"/>
      <c r="AF105" s="84"/>
      <c r="AG105" s="84"/>
      <c r="AH105" s="84"/>
      <c r="AI105" s="84"/>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