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showInkAnnotation="0" autoCompressPictures="0"/>
  <mc:AlternateContent xmlns:mc="http://schemas.openxmlformats.org/markup-compatibility/2006">
    <mc:Choice Requires="x15">
      <x15ac:absPath xmlns:x15ac="http://schemas.microsoft.com/office/spreadsheetml/2010/11/ac" url="/Users/villalobosmac/Dropbox/REsearch projects/TCGA/Final documents for submission/"/>
    </mc:Choice>
  </mc:AlternateContent>
  <bookViews>
    <workbookView xWindow="9020" yWindow="1400" windowWidth="35760" windowHeight="21540" tabRatio="500" activeTab="1"/>
  </bookViews>
  <sheets>
    <sheet name="Master clinical dataset" sheetId="1" r:id="rId1"/>
    <sheet name="Legend" sheetId="2" r:id="rId2"/>
  </sheets>
  <definedNames>
    <definedName name="_xlnm._FilterDatabase" localSheetId="0" hidden="1">'Master clinical dataset'!$A$1:$BS$588</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T4" i="1" l="1"/>
  <c r="BT6" i="1"/>
  <c r="BT8" i="1"/>
  <c r="BT9" i="1"/>
  <c r="BT11" i="1"/>
  <c r="BT577" i="1"/>
  <c r="BT576" i="1"/>
  <c r="BT575" i="1"/>
  <c r="BT574" i="1"/>
  <c r="BT573" i="1"/>
  <c r="BT572" i="1"/>
  <c r="BT571" i="1"/>
  <c r="BT570" i="1"/>
  <c r="BT569" i="1"/>
  <c r="BT568" i="1"/>
  <c r="BT567" i="1"/>
  <c r="BT566" i="1"/>
  <c r="BT565" i="1"/>
  <c r="BT564" i="1"/>
  <c r="BT563" i="1"/>
  <c r="BT562" i="1"/>
  <c r="BT561" i="1"/>
  <c r="BT560" i="1"/>
  <c r="BT559" i="1"/>
  <c r="BT558" i="1"/>
  <c r="BT557" i="1"/>
  <c r="BT556" i="1"/>
  <c r="BT555" i="1"/>
  <c r="BT554" i="1"/>
  <c r="BT553" i="1"/>
  <c r="BT552" i="1"/>
  <c r="BT551" i="1"/>
  <c r="BT550" i="1"/>
  <c r="BT549" i="1"/>
  <c r="BT548" i="1"/>
  <c r="BT547" i="1"/>
  <c r="BT546" i="1"/>
  <c r="BT545" i="1"/>
  <c r="BT544" i="1"/>
  <c r="BT543" i="1"/>
  <c r="BT542" i="1"/>
  <c r="BT541" i="1"/>
  <c r="BT540" i="1"/>
  <c r="BT539" i="1"/>
  <c r="BT538" i="1"/>
  <c r="BT537" i="1"/>
  <c r="BT536" i="1"/>
  <c r="BT535" i="1"/>
  <c r="BT534" i="1"/>
  <c r="BT533" i="1"/>
  <c r="BT532" i="1"/>
  <c r="BT531" i="1"/>
  <c r="BT530" i="1"/>
  <c r="BT529" i="1"/>
  <c r="BT528" i="1"/>
  <c r="BT527" i="1"/>
  <c r="BT526" i="1"/>
  <c r="BT525" i="1"/>
  <c r="BT524" i="1"/>
  <c r="BT523" i="1"/>
  <c r="BT522" i="1"/>
  <c r="BT521" i="1"/>
  <c r="BT520" i="1"/>
  <c r="BT519" i="1"/>
  <c r="BT518" i="1"/>
  <c r="BT517" i="1"/>
  <c r="BT516" i="1"/>
  <c r="BT515" i="1"/>
  <c r="BT514" i="1"/>
  <c r="BT513" i="1"/>
  <c r="BT512" i="1"/>
  <c r="BT511" i="1"/>
  <c r="BT510" i="1"/>
  <c r="BT509" i="1"/>
  <c r="BT508" i="1"/>
  <c r="BT507" i="1"/>
  <c r="BT506" i="1"/>
  <c r="BT505" i="1"/>
  <c r="BT504" i="1"/>
  <c r="BT503" i="1"/>
  <c r="BT502" i="1"/>
  <c r="BT501" i="1"/>
  <c r="BT500" i="1"/>
  <c r="BT499" i="1"/>
  <c r="BT498" i="1"/>
  <c r="BT497" i="1"/>
  <c r="BT496" i="1"/>
  <c r="BT495" i="1"/>
  <c r="BT494" i="1"/>
  <c r="BT493" i="1"/>
  <c r="BT492" i="1"/>
  <c r="BT491" i="1"/>
  <c r="BT490" i="1"/>
  <c r="BT489" i="1"/>
  <c r="BT488" i="1"/>
  <c r="BT487" i="1"/>
  <c r="BT486" i="1"/>
  <c r="BT485" i="1"/>
  <c r="BT484" i="1"/>
  <c r="BT483" i="1"/>
  <c r="BT482" i="1"/>
  <c r="BT481" i="1"/>
  <c r="BT480" i="1"/>
  <c r="BT479" i="1"/>
  <c r="BT478" i="1"/>
  <c r="BT477" i="1"/>
  <c r="BT476" i="1"/>
  <c r="BT475" i="1"/>
  <c r="BT474" i="1"/>
  <c r="BT473" i="1"/>
  <c r="BT472" i="1"/>
  <c r="BT471" i="1"/>
  <c r="BT470" i="1"/>
  <c r="BT469" i="1"/>
  <c r="BT468" i="1"/>
  <c r="BT467" i="1"/>
  <c r="BT466" i="1"/>
  <c r="BT465" i="1"/>
  <c r="BT464" i="1"/>
  <c r="BT463" i="1"/>
  <c r="BT462" i="1"/>
  <c r="BT461" i="1"/>
  <c r="BT460" i="1"/>
  <c r="BT459" i="1"/>
  <c r="BT458" i="1"/>
  <c r="BT457" i="1"/>
  <c r="BT456" i="1"/>
  <c r="BT455" i="1"/>
  <c r="BT454" i="1"/>
  <c r="BT453" i="1"/>
  <c r="BT452" i="1"/>
  <c r="BT451" i="1"/>
  <c r="BT450" i="1"/>
  <c r="BT449" i="1"/>
  <c r="BT448" i="1"/>
  <c r="BT447" i="1"/>
  <c r="BT446" i="1"/>
  <c r="BT445" i="1"/>
  <c r="BT444" i="1"/>
  <c r="BT443" i="1"/>
  <c r="BT442" i="1"/>
  <c r="BT441" i="1"/>
  <c r="BT440" i="1"/>
  <c r="BT439" i="1"/>
  <c r="BT438" i="1"/>
  <c r="BT437" i="1"/>
  <c r="BT436" i="1"/>
  <c r="BT435" i="1"/>
  <c r="BT434" i="1"/>
  <c r="BT433" i="1"/>
  <c r="BT432" i="1"/>
  <c r="BT431" i="1"/>
  <c r="BT430" i="1"/>
  <c r="BT429" i="1"/>
  <c r="BT428" i="1"/>
  <c r="BT427" i="1"/>
  <c r="BT426" i="1"/>
  <c r="BT425" i="1"/>
  <c r="BT424" i="1"/>
  <c r="BT423" i="1"/>
  <c r="BT422" i="1"/>
  <c r="BT421" i="1"/>
  <c r="BT420" i="1"/>
  <c r="BT419" i="1"/>
  <c r="BT418" i="1"/>
  <c r="BT417" i="1"/>
  <c r="BT416" i="1"/>
  <c r="BT415" i="1"/>
  <c r="BT414" i="1"/>
  <c r="BT413" i="1"/>
  <c r="BT412" i="1"/>
  <c r="BT411" i="1"/>
  <c r="BT410" i="1"/>
  <c r="BT409" i="1"/>
  <c r="BT408" i="1"/>
  <c r="BT407" i="1"/>
  <c r="BT406" i="1"/>
  <c r="BT405" i="1"/>
  <c r="BT404" i="1"/>
  <c r="BT403" i="1"/>
  <c r="BT402" i="1"/>
  <c r="BT401" i="1"/>
  <c r="BT400" i="1"/>
  <c r="BT399" i="1"/>
  <c r="BT398" i="1"/>
  <c r="BT397" i="1"/>
  <c r="BT396" i="1"/>
  <c r="BT395" i="1"/>
  <c r="BT394" i="1"/>
  <c r="BT393" i="1"/>
  <c r="BT392" i="1"/>
  <c r="BT391" i="1"/>
  <c r="BT390" i="1"/>
  <c r="BT389" i="1"/>
  <c r="BT388" i="1"/>
  <c r="BT387" i="1"/>
  <c r="BT386" i="1"/>
  <c r="BT385" i="1"/>
  <c r="BT384" i="1"/>
  <c r="BT383" i="1"/>
  <c r="BT382" i="1"/>
  <c r="BT381" i="1"/>
  <c r="BT380" i="1"/>
  <c r="BT379" i="1"/>
  <c r="BT378" i="1"/>
  <c r="BT377" i="1"/>
  <c r="BT376" i="1"/>
  <c r="BT375" i="1"/>
  <c r="BT374" i="1"/>
  <c r="BT373" i="1"/>
  <c r="BT372" i="1"/>
  <c r="BT371" i="1"/>
  <c r="BT370" i="1"/>
  <c r="BT369" i="1"/>
  <c r="BT368" i="1"/>
  <c r="BT367" i="1"/>
  <c r="BT366" i="1"/>
  <c r="BT365" i="1"/>
  <c r="BT364" i="1"/>
  <c r="BT363" i="1"/>
  <c r="BT362" i="1"/>
  <c r="BT361" i="1"/>
  <c r="BT360" i="1"/>
  <c r="BT359" i="1"/>
  <c r="BT358" i="1"/>
  <c r="BT357" i="1"/>
  <c r="BT356" i="1"/>
  <c r="BT355" i="1"/>
  <c r="BT354" i="1"/>
  <c r="BT353" i="1"/>
  <c r="BT352" i="1"/>
  <c r="BT351" i="1"/>
  <c r="BT350" i="1"/>
  <c r="BT349" i="1"/>
  <c r="BT348" i="1"/>
  <c r="BT347" i="1"/>
  <c r="BT346" i="1"/>
  <c r="BT345" i="1"/>
  <c r="BT344" i="1"/>
  <c r="BT343" i="1"/>
  <c r="BT342" i="1"/>
  <c r="BT341" i="1"/>
  <c r="BT340" i="1"/>
  <c r="BT339" i="1"/>
  <c r="BT338" i="1"/>
  <c r="BT337" i="1"/>
  <c r="BT336" i="1"/>
  <c r="BT335" i="1"/>
  <c r="BT334" i="1"/>
  <c r="BT333" i="1"/>
  <c r="BT332" i="1"/>
  <c r="BT331" i="1"/>
  <c r="BT330" i="1"/>
  <c r="BT329" i="1"/>
  <c r="BT328" i="1"/>
  <c r="BT327" i="1"/>
  <c r="BT326" i="1"/>
  <c r="BT325" i="1"/>
  <c r="BT324" i="1"/>
  <c r="BT323" i="1"/>
  <c r="BT322" i="1"/>
  <c r="BT321" i="1"/>
  <c r="BT320" i="1"/>
  <c r="BT319" i="1"/>
  <c r="BT318" i="1"/>
  <c r="BT317" i="1"/>
  <c r="BT316" i="1"/>
  <c r="BT315" i="1"/>
  <c r="BT314" i="1"/>
  <c r="BT313" i="1"/>
  <c r="BT312" i="1"/>
  <c r="BT311" i="1"/>
  <c r="BT310" i="1"/>
  <c r="BT309" i="1"/>
  <c r="BT308" i="1"/>
  <c r="BT307" i="1"/>
  <c r="BT306" i="1"/>
  <c r="BT305" i="1"/>
  <c r="BT304" i="1"/>
  <c r="BT303" i="1"/>
  <c r="BT302" i="1"/>
  <c r="BT301" i="1"/>
  <c r="BT300" i="1"/>
  <c r="BT299" i="1"/>
  <c r="BT298" i="1"/>
  <c r="BT297" i="1"/>
  <c r="BT296" i="1"/>
  <c r="BT295" i="1"/>
  <c r="BT294" i="1"/>
  <c r="BT293" i="1"/>
  <c r="BT292" i="1"/>
  <c r="BT291" i="1"/>
  <c r="BT290" i="1"/>
  <c r="BT289" i="1"/>
  <c r="BT288" i="1"/>
  <c r="BT287" i="1"/>
  <c r="BT286" i="1"/>
  <c r="BT285" i="1"/>
  <c r="BT284" i="1"/>
  <c r="BT283" i="1"/>
  <c r="BT282" i="1"/>
  <c r="BT281" i="1"/>
  <c r="BT280" i="1"/>
  <c r="BT279" i="1"/>
  <c r="BT278" i="1"/>
  <c r="BT277" i="1"/>
  <c r="BT276" i="1"/>
  <c r="BT275" i="1"/>
  <c r="BT274" i="1"/>
  <c r="BT273" i="1"/>
  <c r="BT272" i="1"/>
  <c r="BT271" i="1"/>
  <c r="BT270" i="1"/>
  <c r="BT269" i="1"/>
  <c r="BT268" i="1"/>
  <c r="BT267" i="1"/>
  <c r="BT266" i="1"/>
  <c r="BT265" i="1"/>
  <c r="BT264" i="1"/>
  <c r="BT263" i="1"/>
  <c r="BT262" i="1"/>
  <c r="BT261" i="1"/>
  <c r="BT260" i="1"/>
  <c r="BT259" i="1"/>
  <c r="BT258" i="1"/>
  <c r="BT257" i="1"/>
  <c r="BT256" i="1"/>
  <c r="BT255" i="1"/>
  <c r="BT254" i="1"/>
  <c r="BT253" i="1"/>
  <c r="BT252" i="1"/>
  <c r="BT251" i="1"/>
  <c r="BT250" i="1"/>
  <c r="BT249" i="1"/>
  <c r="BT248" i="1"/>
  <c r="BT247" i="1"/>
  <c r="BT246" i="1"/>
  <c r="BT245" i="1"/>
  <c r="BT244" i="1"/>
  <c r="BT243" i="1"/>
  <c r="BT242" i="1"/>
  <c r="BT241" i="1"/>
  <c r="BT240" i="1"/>
  <c r="BT239" i="1"/>
  <c r="BT238" i="1"/>
  <c r="BT237" i="1"/>
  <c r="BT236" i="1"/>
  <c r="BT235" i="1"/>
  <c r="BT234" i="1"/>
  <c r="BT233" i="1"/>
  <c r="BT232" i="1"/>
  <c r="BT231" i="1"/>
  <c r="BT230" i="1"/>
  <c r="BT229" i="1"/>
  <c r="BT228" i="1"/>
  <c r="BT227" i="1"/>
  <c r="BT226" i="1"/>
  <c r="BT225" i="1"/>
  <c r="BT224" i="1"/>
  <c r="BT223" i="1"/>
  <c r="BT222" i="1"/>
  <c r="BT221" i="1"/>
  <c r="BT220" i="1"/>
  <c r="BT219" i="1"/>
  <c r="BT218" i="1"/>
  <c r="BT217" i="1"/>
  <c r="BT216" i="1"/>
  <c r="BT215" i="1"/>
  <c r="BT214" i="1"/>
  <c r="BT213" i="1"/>
  <c r="BT212" i="1"/>
  <c r="BT211" i="1"/>
  <c r="BT210" i="1"/>
  <c r="BT209" i="1"/>
  <c r="BT208" i="1"/>
  <c r="BT207" i="1"/>
  <c r="BT206" i="1"/>
  <c r="BT205" i="1"/>
  <c r="BT204" i="1"/>
  <c r="BT203" i="1"/>
  <c r="BT202" i="1"/>
  <c r="BT201" i="1"/>
  <c r="BT200" i="1"/>
  <c r="BT199" i="1"/>
  <c r="BT198" i="1"/>
  <c r="BT197" i="1"/>
  <c r="BT196" i="1"/>
  <c r="BT195" i="1"/>
  <c r="BT194" i="1"/>
  <c r="BT193" i="1"/>
  <c r="BT192" i="1"/>
  <c r="BT191" i="1"/>
  <c r="BT190" i="1"/>
  <c r="BT189" i="1"/>
  <c r="BT188" i="1"/>
  <c r="BT187" i="1"/>
  <c r="BT186" i="1"/>
  <c r="BT185" i="1"/>
  <c r="BT184" i="1"/>
  <c r="BT183" i="1"/>
  <c r="BT182" i="1"/>
  <c r="BT181" i="1"/>
  <c r="BT180" i="1"/>
  <c r="BT179" i="1"/>
  <c r="BT178" i="1"/>
  <c r="BT177" i="1"/>
  <c r="BT176" i="1"/>
  <c r="BT175" i="1"/>
  <c r="BT174" i="1"/>
  <c r="BT173" i="1"/>
  <c r="BT172" i="1"/>
  <c r="BT171" i="1"/>
  <c r="BT170" i="1"/>
  <c r="BT169" i="1"/>
  <c r="BT168" i="1"/>
  <c r="BT167" i="1"/>
  <c r="BT166" i="1"/>
  <c r="BT165" i="1"/>
  <c r="BT164" i="1"/>
  <c r="BT163" i="1"/>
  <c r="BT162" i="1"/>
  <c r="BT161" i="1"/>
  <c r="BT160" i="1"/>
  <c r="BT159" i="1"/>
  <c r="BT158" i="1"/>
  <c r="BT157" i="1"/>
  <c r="BT156" i="1"/>
  <c r="BT155" i="1"/>
  <c r="BT154" i="1"/>
  <c r="BT153" i="1"/>
  <c r="BT152" i="1"/>
  <c r="BT151" i="1"/>
  <c r="BT150" i="1"/>
  <c r="BT149" i="1"/>
  <c r="BT148" i="1"/>
  <c r="BT147" i="1"/>
  <c r="BT146" i="1"/>
  <c r="BT145" i="1"/>
  <c r="BT144" i="1"/>
  <c r="BT143" i="1"/>
  <c r="BT142" i="1"/>
  <c r="BT141" i="1"/>
  <c r="BT140" i="1"/>
  <c r="BT139" i="1"/>
  <c r="BT138" i="1"/>
  <c r="BT137" i="1"/>
  <c r="BT136" i="1"/>
  <c r="BT135" i="1"/>
  <c r="BT134" i="1"/>
  <c r="BT133" i="1"/>
  <c r="BT132" i="1"/>
  <c r="BT131" i="1"/>
  <c r="BT130" i="1"/>
  <c r="BT129" i="1"/>
  <c r="BT128" i="1"/>
  <c r="BT127" i="1"/>
  <c r="BT126" i="1"/>
  <c r="BT125" i="1"/>
  <c r="BT124" i="1"/>
  <c r="BT123" i="1"/>
  <c r="BT122" i="1"/>
  <c r="BT121" i="1"/>
  <c r="BT120" i="1"/>
  <c r="BT119" i="1"/>
  <c r="BT118" i="1"/>
  <c r="BT117" i="1"/>
  <c r="BT116" i="1"/>
  <c r="BT115" i="1"/>
  <c r="BT114" i="1"/>
  <c r="BT113" i="1"/>
  <c r="BT112" i="1"/>
  <c r="BT111" i="1"/>
  <c r="BT110" i="1"/>
  <c r="BT109" i="1"/>
  <c r="BT108" i="1"/>
  <c r="BT107" i="1"/>
  <c r="BT106" i="1"/>
  <c r="BT105" i="1"/>
  <c r="BT104" i="1"/>
  <c r="BT103" i="1"/>
  <c r="BT102" i="1"/>
  <c r="BT101" i="1"/>
  <c r="BT100" i="1"/>
  <c r="BT99" i="1"/>
  <c r="BT98" i="1"/>
  <c r="BT97" i="1"/>
  <c r="BT96" i="1"/>
  <c r="BT95" i="1"/>
  <c r="BT94" i="1"/>
  <c r="BT93" i="1"/>
  <c r="BT92" i="1"/>
  <c r="BT91" i="1"/>
  <c r="BT90" i="1"/>
  <c r="BT89" i="1"/>
  <c r="BT88" i="1"/>
  <c r="BT87" i="1"/>
  <c r="BT86" i="1"/>
  <c r="BT85" i="1"/>
  <c r="BT84" i="1"/>
  <c r="BT83" i="1"/>
  <c r="BT82" i="1"/>
  <c r="BT81" i="1"/>
  <c r="BT80" i="1"/>
  <c r="BT79" i="1"/>
  <c r="BT78" i="1"/>
  <c r="BT77" i="1"/>
  <c r="BT76" i="1"/>
  <c r="BT75" i="1"/>
  <c r="BT74" i="1"/>
  <c r="BT73" i="1"/>
  <c r="BT72" i="1"/>
  <c r="BT71" i="1"/>
  <c r="BT70" i="1"/>
  <c r="BT69" i="1"/>
  <c r="BT68" i="1"/>
  <c r="BT67" i="1"/>
  <c r="BT66" i="1"/>
  <c r="BT65" i="1"/>
  <c r="BT64" i="1"/>
  <c r="BT63" i="1"/>
  <c r="BT62" i="1"/>
  <c r="BT61" i="1"/>
  <c r="BT60" i="1"/>
  <c r="BT59" i="1"/>
  <c r="BT58" i="1"/>
  <c r="BT57" i="1"/>
  <c r="BT56" i="1"/>
  <c r="BT55" i="1"/>
  <c r="BT54" i="1"/>
  <c r="BT53" i="1"/>
  <c r="BT52" i="1"/>
  <c r="BT51" i="1"/>
  <c r="BT50" i="1"/>
  <c r="BT49" i="1"/>
  <c r="BT48" i="1"/>
  <c r="BT47" i="1"/>
  <c r="BT46" i="1"/>
  <c r="BT45" i="1"/>
  <c r="BT44" i="1"/>
  <c r="BT43" i="1"/>
  <c r="BT42" i="1"/>
  <c r="BT41" i="1"/>
  <c r="BT40" i="1"/>
  <c r="BT39" i="1"/>
  <c r="BT38" i="1"/>
  <c r="BT37" i="1"/>
  <c r="BT36" i="1"/>
  <c r="BT35" i="1"/>
  <c r="BT34" i="1"/>
  <c r="BT33" i="1"/>
  <c r="BT32" i="1"/>
  <c r="BT31" i="1"/>
  <c r="BT30" i="1"/>
  <c r="BT29" i="1"/>
  <c r="BT28" i="1"/>
  <c r="BT27" i="1"/>
  <c r="BT26" i="1"/>
  <c r="BT25" i="1"/>
  <c r="BT24" i="1"/>
  <c r="BT23" i="1"/>
  <c r="BT22" i="1"/>
  <c r="BT21" i="1"/>
  <c r="BT20" i="1"/>
  <c r="BT19" i="1"/>
  <c r="BT18" i="1"/>
  <c r="BT17" i="1"/>
  <c r="BT16" i="1"/>
  <c r="BT15" i="1"/>
  <c r="BT14" i="1"/>
  <c r="BT3" i="1"/>
  <c r="BT2" i="1"/>
  <c r="K13" i="1"/>
  <c r="L13" i="1"/>
  <c r="M13" i="1"/>
  <c r="N13" i="1"/>
  <c r="O13" i="1"/>
  <c r="BT13" i="1"/>
  <c r="J12" i="1"/>
  <c r="BT12" i="1"/>
  <c r="J10" i="1"/>
  <c r="K10" i="1"/>
  <c r="L10" i="1"/>
  <c r="BT10" i="1"/>
  <c r="K7" i="1"/>
  <c r="L7" i="1"/>
  <c r="BT7" i="1"/>
  <c r="BT5" i="1"/>
  <c r="BS60" i="1"/>
  <c r="BR566" i="1"/>
  <c r="BR565" i="1"/>
  <c r="BR562" i="1"/>
  <c r="BR561" i="1"/>
  <c r="BR560" i="1"/>
  <c r="BR559" i="1"/>
  <c r="BR558" i="1"/>
  <c r="BR555" i="1"/>
  <c r="BR549" i="1"/>
  <c r="BR548" i="1"/>
  <c r="BR543" i="1"/>
  <c r="BR541" i="1"/>
  <c r="BR539" i="1"/>
  <c r="BR536" i="1"/>
  <c r="BR535" i="1"/>
  <c r="BR533" i="1"/>
  <c r="BR532" i="1"/>
  <c r="BR531" i="1"/>
  <c r="BR526" i="1"/>
  <c r="BR524" i="1"/>
  <c r="BR520" i="1"/>
  <c r="BR516" i="1"/>
  <c r="BR514" i="1"/>
  <c r="BS505" i="1"/>
  <c r="BR505" i="1"/>
  <c r="BR497" i="1"/>
  <c r="BR495" i="1"/>
  <c r="BR493" i="1"/>
  <c r="BR492" i="1"/>
  <c r="BR491" i="1"/>
  <c r="BR489" i="1"/>
  <c r="BR487" i="1"/>
  <c r="BR486" i="1"/>
  <c r="BR483" i="1"/>
  <c r="BR476" i="1"/>
  <c r="BR470" i="1"/>
  <c r="BR462" i="1"/>
  <c r="BR461" i="1"/>
  <c r="BR459" i="1"/>
  <c r="BR437" i="1"/>
  <c r="BR436" i="1"/>
  <c r="BR432" i="1"/>
  <c r="BR427" i="1"/>
  <c r="BR426" i="1"/>
  <c r="BR425" i="1"/>
  <c r="BR424" i="1"/>
  <c r="BR423" i="1"/>
  <c r="BR417" i="1"/>
  <c r="BR410" i="1"/>
  <c r="BR338" i="1"/>
  <c r="BR313" i="1"/>
  <c r="BR311" i="1"/>
  <c r="BR310" i="1"/>
  <c r="BR309" i="1"/>
  <c r="BR308" i="1"/>
  <c r="BR307" i="1"/>
  <c r="BR306" i="1"/>
  <c r="BR305" i="1"/>
  <c r="BR304" i="1"/>
  <c r="BR278" i="1"/>
  <c r="BR277" i="1"/>
  <c r="BR266" i="1"/>
  <c r="BR265" i="1"/>
  <c r="BR264" i="1"/>
  <c r="BR263" i="1"/>
  <c r="BR262" i="1"/>
  <c r="BR260" i="1"/>
  <c r="BR259" i="1"/>
  <c r="BR258" i="1"/>
  <c r="BR257" i="1"/>
  <c r="BR256" i="1"/>
  <c r="BR246" i="1"/>
  <c r="BR242" i="1"/>
  <c r="BR237" i="1"/>
  <c r="BR234" i="1"/>
  <c r="BR230" i="1"/>
  <c r="BR229" i="1"/>
  <c r="BR227" i="1"/>
  <c r="BR222" i="1"/>
  <c r="BR215" i="1"/>
  <c r="BR211" i="1"/>
  <c r="BR207" i="1"/>
  <c r="BR206" i="1"/>
  <c r="BR205" i="1"/>
  <c r="BR204" i="1"/>
  <c r="BR202" i="1"/>
  <c r="BR200" i="1"/>
  <c r="BR197" i="1"/>
  <c r="BR196" i="1"/>
  <c r="BR195" i="1"/>
  <c r="BR194" i="1"/>
  <c r="BR193" i="1"/>
  <c r="BR192" i="1"/>
  <c r="BR191" i="1"/>
  <c r="BR188" i="1"/>
  <c r="BR187" i="1"/>
  <c r="BR186" i="1"/>
  <c r="BR185" i="1"/>
  <c r="BR184" i="1"/>
  <c r="BR183" i="1"/>
  <c r="BR182" i="1"/>
  <c r="BR181" i="1"/>
  <c r="BR172" i="1"/>
  <c r="BR161" i="1"/>
  <c r="BR160" i="1"/>
  <c r="BR159" i="1"/>
  <c r="BR158" i="1"/>
  <c r="BR157" i="1"/>
  <c r="BR156" i="1"/>
  <c r="BR155" i="1"/>
  <c r="BR154" i="1"/>
  <c r="BR153" i="1"/>
  <c r="BR152" i="1"/>
  <c r="BR151" i="1"/>
  <c r="BR149" i="1"/>
  <c r="BR147" i="1"/>
  <c r="BR146" i="1"/>
  <c r="BR141" i="1"/>
  <c r="BR139" i="1"/>
  <c r="BR138" i="1"/>
  <c r="BR136" i="1"/>
  <c r="BR134" i="1"/>
  <c r="BR128" i="1"/>
  <c r="BR127" i="1"/>
  <c r="BR126" i="1"/>
  <c r="BR124" i="1"/>
  <c r="BR123" i="1"/>
  <c r="BR116" i="1"/>
  <c r="BR115" i="1"/>
  <c r="BR114" i="1"/>
  <c r="BR113" i="1"/>
  <c r="BR106" i="1"/>
  <c r="BR102" i="1"/>
  <c r="BR74" i="1"/>
  <c r="BR73" i="1"/>
  <c r="BR71" i="1"/>
  <c r="BR69" i="1"/>
  <c r="BR65" i="1"/>
  <c r="BR63" i="1"/>
  <c r="BR62" i="1"/>
  <c r="BR61" i="1"/>
  <c r="BR60" i="1"/>
  <c r="BR58" i="1"/>
  <c r="BR57" i="1"/>
  <c r="BR40" i="1"/>
  <c r="BR29" i="1"/>
  <c r="BR27" i="1"/>
  <c r="BR25" i="1"/>
  <c r="BR12" i="1"/>
  <c r="BR5" i="1"/>
  <c r="BS577" i="1"/>
  <c r="BR552" i="1"/>
  <c r="J515" i="1"/>
  <c r="Y515" i="1"/>
  <c r="BS500" i="1"/>
  <c r="K415" i="1"/>
  <c r="AC415" i="1"/>
  <c r="J415" i="1"/>
  <c r="AK415" i="1"/>
  <c r="L415" i="1"/>
  <c r="BS21" i="1"/>
  <c r="BR18" i="1"/>
  <c r="BR577" i="1"/>
  <c r="BR576" i="1"/>
  <c r="BR575" i="1"/>
  <c r="BR574" i="1"/>
  <c r="BR573" i="1"/>
  <c r="BR572" i="1"/>
  <c r="BR571" i="1"/>
  <c r="BR570" i="1"/>
  <c r="BR569" i="1"/>
  <c r="BR568" i="1"/>
  <c r="BR567" i="1"/>
  <c r="BR564" i="1"/>
  <c r="BR563" i="1"/>
  <c r="BR557" i="1"/>
  <c r="BR554" i="1"/>
  <c r="BR553" i="1"/>
  <c r="BR551" i="1"/>
  <c r="BR550" i="1"/>
  <c r="BR546" i="1"/>
  <c r="BR545" i="1"/>
  <c r="BR544" i="1"/>
  <c r="BR542" i="1"/>
  <c r="BR540" i="1"/>
  <c r="BR538" i="1"/>
  <c r="BR537" i="1"/>
  <c r="BR534" i="1"/>
  <c r="BR530" i="1"/>
  <c r="BR529" i="1"/>
  <c r="BR527" i="1"/>
  <c r="BR525" i="1"/>
  <c r="BR523" i="1"/>
  <c r="BR521" i="1"/>
  <c r="BR519" i="1"/>
  <c r="BR518" i="1"/>
  <c r="BR515" i="1"/>
  <c r="BR513" i="1"/>
  <c r="BR512" i="1"/>
  <c r="BR503" i="1"/>
  <c r="BR502" i="1"/>
  <c r="BR501" i="1"/>
  <c r="BR500" i="1"/>
  <c r="BR499" i="1"/>
  <c r="BR496" i="1"/>
  <c r="BR494" i="1"/>
  <c r="BR490" i="1"/>
  <c r="BR488" i="1"/>
  <c r="BR485" i="1"/>
  <c r="BR482" i="1"/>
  <c r="BR480" i="1"/>
  <c r="BR479" i="1"/>
  <c r="BR478" i="1"/>
  <c r="BR475" i="1"/>
  <c r="BR474" i="1"/>
  <c r="BR473" i="1"/>
  <c r="BR472" i="1"/>
  <c r="BR471" i="1"/>
  <c r="BR469" i="1"/>
  <c r="BR467" i="1"/>
  <c r="BR466" i="1"/>
  <c r="BR465" i="1"/>
  <c r="BR463" i="1"/>
  <c r="BR460" i="1"/>
  <c r="BR458" i="1"/>
  <c r="BR457" i="1"/>
  <c r="BR456" i="1"/>
  <c r="BR455" i="1"/>
  <c r="BR454" i="1"/>
  <c r="BR453" i="1"/>
  <c r="BR452" i="1"/>
  <c r="BR451" i="1"/>
  <c r="BR450" i="1"/>
  <c r="BR448" i="1"/>
  <c r="BR445" i="1"/>
  <c r="BR440" i="1"/>
  <c r="BR439" i="1"/>
  <c r="BR438" i="1"/>
  <c r="BR435" i="1"/>
  <c r="BR434" i="1"/>
  <c r="BR433" i="1"/>
  <c r="BR431" i="1"/>
  <c r="BR430" i="1"/>
  <c r="BR429" i="1"/>
  <c r="BR428" i="1"/>
  <c r="BR422" i="1"/>
  <c r="BR421" i="1"/>
  <c r="BR420" i="1"/>
  <c r="BR419" i="1"/>
  <c r="BR418" i="1"/>
  <c r="BR416" i="1"/>
  <c r="BR415" i="1"/>
  <c r="BR414" i="1"/>
  <c r="BR413" i="1"/>
  <c r="BR412" i="1"/>
  <c r="BR411" i="1"/>
  <c r="BR409" i="1"/>
  <c r="BR408" i="1"/>
  <c r="BR407" i="1"/>
  <c r="BR406" i="1"/>
  <c r="BR405" i="1"/>
  <c r="BR404" i="1"/>
  <c r="BR403" i="1"/>
  <c r="BR401" i="1"/>
  <c r="BR400" i="1"/>
  <c r="BR399" i="1"/>
  <c r="BR397" i="1"/>
  <c r="BR396" i="1"/>
  <c r="BR395" i="1"/>
  <c r="BR394" i="1"/>
  <c r="BR393" i="1"/>
  <c r="BR392" i="1"/>
  <c r="BR391" i="1"/>
  <c r="BR390" i="1"/>
  <c r="BR389" i="1"/>
  <c r="BR387" i="1"/>
  <c r="BR386" i="1"/>
  <c r="BR385" i="1"/>
  <c r="BR382" i="1"/>
  <c r="BR380" i="1"/>
  <c r="BR378" i="1"/>
  <c r="BR377" i="1"/>
  <c r="BR376" i="1"/>
  <c r="BR375" i="1"/>
  <c r="BR374" i="1"/>
  <c r="BR373" i="1"/>
  <c r="BR372" i="1"/>
  <c r="BR371" i="1"/>
  <c r="BR370" i="1"/>
  <c r="BR368" i="1"/>
  <c r="BR367" i="1"/>
  <c r="BR365" i="1"/>
  <c r="BR364" i="1"/>
  <c r="BR363" i="1"/>
  <c r="BR361" i="1"/>
  <c r="BR360" i="1"/>
  <c r="BR358" i="1"/>
  <c r="BR357" i="1"/>
  <c r="BR356" i="1"/>
  <c r="BR355" i="1"/>
  <c r="BR354" i="1"/>
  <c r="BR353" i="1"/>
  <c r="BR352" i="1"/>
  <c r="BR351" i="1"/>
  <c r="BR350" i="1"/>
  <c r="BR349" i="1"/>
  <c r="BR348" i="1"/>
  <c r="BR347" i="1"/>
  <c r="BR345" i="1"/>
  <c r="BR344" i="1"/>
  <c r="BR343" i="1"/>
  <c r="BR341" i="1"/>
  <c r="BR340" i="1"/>
  <c r="BR339" i="1"/>
  <c r="BR337" i="1"/>
  <c r="BR335" i="1"/>
  <c r="BR332" i="1"/>
  <c r="BR331" i="1"/>
  <c r="BR329" i="1"/>
  <c r="BR328" i="1"/>
  <c r="BR327" i="1"/>
  <c r="BR326" i="1"/>
  <c r="BR325" i="1"/>
  <c r="BR324" i="1"/>
  <c r="BR323" i="1"/>
  <c r="BR322" i="1"/>
  <c r="BR321" i="1"/>
  <c r="BR320" i="1"/>
  <c r="BR318" i="1"/>
  <c r="BR317" i="1"/>
  <c r="BR316" i="1"/>
  <c r="BR315" i="1"/>
  <c r="BR314" i="1"/>
  <c r="BR312" i="1"/>
  <c r="BR303" i="1"/>
  <c r="BR302" i="1"/>
  <c r="BR300" i="1"/>
  <c r="BR299" i="1"/>
  <c r="BR298" i="1"/>
  <c r="BR297" i="1"/>
  <c r="BR296" i="1"/>
  <c r="BR295" i="1"/>
  <c r="BR294" i="1"/>
  <c r="BR293" i="1"/>
  <c r="BR292" i="1"/>
  <c r="BR291" i="1"/>
  <c r="BR290" i="1"/>
  <c r="BR289" i="1"/>
  <c r="BR288" i="1"/>
  <c r="BR287" i="1"/>
  <c r="BR286" i="1"/>
  <c r="BR285" i="1"/>
  <c r="BR284" i="1"/>
  <c r="BR283" i="1"/>
  <c r="BR282" i="1"/>
  <c r="BR281" i="1"/>
  <c r="BR280" i="1"/>
  <c r="BR276" i="1"/>
  <c r="BR275" i="1"/>
  <c r="BR274" i="1"/>
  <c r="BR273" i="1"/>
  <c r="BR272" i="1"/>
  <c r="BR271" i="1"/>
  <c r="BR270" i="1"/>
  <c r="BR269" i="1"/>
  <c r="BR268" i="1"/>
  <c r="BR267" i="1"/>
  <c r="BR255" i="1"/>
  <c r="BR254" i="1"/>
  <c r="BR253" i="1"/>
  <c r="BR252" i="1"/>
  <c r="BR251" i="1"/>
  <c r="BR250" i="1"/>
  <c r="BR248" i="1"/>
  <c r="BR240" i="1"/>
  <c r="BR239" i="1"/>
  <c r="BR238" i="1"/>
  <c r="BR236" i="1"/>
  <c r="BR235" i="1"/>
  <c r="BR233" i="1"/>
  <c r="BR232" i="1"/>
  <c r="BR231" i="1"/>
  <c r="BR228" i="1"/>
  <c r="BR226" i="1"/>
  <c r="BR225" i="1"/>
  <c r="BR224" i="1"/>
  <c r="BR223" i="1"/>
  <c r="BR221" i="1"/>
  <c r="BR217" i="1"/>
  <c r="BR216" i="1"/>
  <c r="BR214" i="1"/>
  <c r="BR213" i="1"/>
  <c r="BR212" i="1"/>
  <c r="BR210" i="1"/>
  <c r="BR209" i="1"/>
  <c r="BR208" i="1"/>
  <c r="BR203" i="1"/>
  <c r="BR201" i="1"/>
  <c r="BR199" i="1"/>
  <c r="BR198" i="1"/>
  <c r="BR190" i="1"/>
  <c r="BR189" i="1"/>
  <c r="BR180" i="1"/>
  <c r="BR179" i="1"/>
  <c r="BR178" i="1"/>
  <c r="BR177" i="1"/>
  <c r="BR176" i="1"/>
  <c r="BR175" i="1"/>
  <c r="BR174" i="1"/>
  <c r="BR173" i="1"/>
  <c r="BR171" i="1"/>
  <c r="BR170" i="1"/>
  <c r="BR169" i="1"/>
  <c r="BR168" i="1"/>
  <c r="BR167" i="1"/>
  <c r="BR166" i="1"/>
  <c r="BR165" i="1"/>
  <c r="BR164" i="1"/>
  <c r="BR163" i="1"/>
  <c r="BR162" i="1"/>
  <c r="BR148" i="1"/>
  <c r="BR144" i="1"/>
  <c r="BR143" i="1"/>
  <c r="BR142" i="1"/>
  <c r="BR140" i="1"/>
  <c r="BR137" i="1"/>
  <c r="BR135" i="1"/>
  <c r="BR133" i="1"/>
  <c r="BR132" i="1"/>
  <c r="BR131" i="1"/>
  <c r="BR130" i="1"/>
  <c r="BR129" i="1"/>
  <c r="BR125" i="1"/>
  <c r="BR122" i="1"/>
  <c r="BR121" i="1"/>
  <c r="BR120" i="1"/>
  <c r="BR119" i="1"/>
  <c r="BR118" i="1"/>
  <c r="BR117" i="1"/>
  <c r="BR112" i="1"/>
  <c r="BR111" i="1"/>
  <c r="BR110" i="1"/>
  <c r="BR109" i="1"/>
  <c r="BR108" i="1"/>
  <c r="BR107" i="1"/>
  <c r="BR105" i="1"/>
  <c r="BR104" i="1"/>
  <c r="BR103" i="1"/>
  <c r="BR101" i="1"/>
  <c r="BR99" i="1"/>
  <c r="BR98" i="1"/>
  <c r="BR97" i="1"/>
  <c r="BR96" i="1"/>
  <c r="BR94" i="1"/>
  <c r="BR93" i="1"/>
  <c r="BR92" i="1"/>
  <c r="BR91" i="1"/>
  <c r="BR90" i="1"/>
  <c r="BR89" i="1"/>
  <c r="BR88" i="1"/>
  <c r="BR87" i="1"/>
  <c r="BR86" i="1"/>
  <c r="BR85" i="1"/>
  <c r="BR84" i="1"/>
  <c r="BR83" i="1"/>
  <c r="BR82" i="1"/>
  <c r="BR81" i="1"/>
  <c r="BR80" i="1"/>
  <c r="BR79" i="1"/>
  <c r="BR77" i="1"/>
  <c r="BR76" i="1"/>
  <c r="BR75" i="1"/>
  <c r="BR72" i="1"/>
  <c r="BR70" i="1"/>
  <c r="BR68" i="1"/>
  <c r="BR66" i="1"/>
  <c r="BR59" i="1"/>
  <c r="BR56" i="1"/>
  <c r="BR55" i="1"/>
  <c r="BR54" i="1"/>
  <c r="BR53" i="1"/>
  <c r="BR52" i="1"/>
  <c r="BR51" i="1"/>
  <c r="BR50" i="1"/>
  <c r="BR49" i="1"/>
  <c r="BR48" i="1"/>
  <c r="BR47" i="1"/>
  <c r="BR46" i="1"/>
  <c r="BR45" i="1"/>
  <c r="BR44" i="1"/>
  <c r="BR43" i="1"/>
  <c r="BR42" i="1"/>
  <c r="BR41" i="1"/>
  <c r="BR39" i="1"/>
  <c r="BR38" i="1"/>
  <c r="BR37" i="1"/>
  <c r="BR36" i="1"/>
  <c r="BR35" i="1"/>
  <c r="BR34" i="1"/>
  <c r="BR33" i="1"/>
  <c r="BR32" i="1"/>
  <c r="BR30" i="1"/>
  <c r="BR28" i="1"/>
  <c r="BR26" i="1"/>
  <c r="BR24" i="1"/>
  <c r="BR23" i="1"/>
  <c r="BR22" i="1"/>
  <c r="BR21" i="1"/>
  <c r="BR14" i="1"/>
  <c r="BR13" i="1"/>
  <c r="BR10" i="1"/>
  <c r="BR7" i="1"/>
  <c r="BR3" i="1"/>
  <c r="BR2" i="1"/>
  <c r="J558" i="1"/>
  <c r="J172" i="1"/>
  <c r="J459" i="1"/>
  <c r="J213" i="1"/>
  <c r="Y213" i="1"/>
  <c r="K213" i="1"/>
  <c r="AG214" i="1"/>
  <c r="AE414" i="1"/>
  <c r="AA414" i="1"/>
  <c r="AC414" i="1"/>
  <c r="J414" i="1"/>
  <c r="AI413" i="1"/>
  <c r="AA413" i="1"/>
  <c r="J413" i="1"/>
  <c r="Y413" i="1"/>
  <c r="AE415" i="1"/>
  <c r="AA415" i="1"/>
  <c r="AA412" i="1"/>
  <c r="J412" i="1"/>
  <c r="Y412" i="1"/>
  <c r="Y410" i="1"/>
  <c r="AE409" i="1"/>
  <c r="J409" i="1"/>
  <c r="J408" i="1"/>
  <c r="Y408" i="1"/>
  <c r="AA407" i="1"/>
  <c r="AE407" i="1"/>
  <c r="AI407" i="1"/>
  <c r="J407" i="1"/>
  <c r="Y407" i="1"/>
  <c r="J406" i="1"/>
  <c r="AA405" i="1"/>
  <c r="AI405" i="1"/>
  <c r="AE405" i="1"/>
  <c r="J405" i="1"/>
  <c r="Y405" i="1"/>
  <c r="J403" i="1"/>
  <c r="J401" i="1"/>
  <c r="J400" i="1"/>
  <c r="AC399" i="1"/>
  <c r="AA399" i="1"/>
  <c r="AI399" i="1"/>
  <c r="AE399" i="1"/>
  <c r="J399" i="1"/>
  <c r="Y399" i="1"/>
  <c r="AG397" i="1"/>
  <c r="AI397" i="1"/>
  <c r="AE397" i="1"/>
  <c r="AA397" i="1"/>
  <c r="Y397" i="1"/>
  <c r="J396" i="1"/>
  <c r="AE395" i="1"/>
  <c r="AG395" i="1"/>
  <c r="Y395" i="1"/>
  <c r="AE394" i="1"/>
  <c r="AG394" i="1"/>
  <c r="Y394" i="1"/>
  <c r="J391" i="1"/>
  <c r="J390" i="1"/>
  <c r="Y390" i="1"/>
  <c r="J386" i="1"/>
  <c r="J385" i="1"/>
  <c r="J377" i="1"/>
  <c r="K376" i="1"/>
  <c r="AC376" i="1"/>
  <c r="J376" i="1"/>
  <c r="J375" i="1"/>
  <c r="J374" i="1"/>
  <c r="J372" i="1"/>
  <c r="J371" i="1"/>
  <c r="J370" i="1"/>
  <c r="J365" i="1"/>
  <c r="J355" i="1"/>
  <c r="J354" i="1"/>
  <c r="J353" i="1"/>
  <c r="J352" i="1"/>
  <c r="J348" i="1"/>
  <c r="J347" i="1"/>
  <c r="J345" i="1"/>
  <c r="J344" i="1"/>
  <c r="J343" i="1"/>
  <c r="J416" i="1"/>
  <c r="AK418" i="1"/>
  <c r="J418" i="1"/>
  <c r="Y418" i="1"/>
  <c r="L418" i="1"/>
  <c r="AC418" i="1"/>
  <c r="J419" i="1"/>
  <c r="K419" i="1"/>
  <c r="Y419" i="1"/>
  <c r="L421" i="1"/>
  <c r="AK421" i="1"/>
  <c r="J421" i="1"/>
  <c r="Y421" i="1"/>
  <c r="AE421" i="1"/>
  <c r="J423" i="1"/>
  <c r="J428" i="1"/>
  <c r="AG429" i="1"/>
  <c r="AE429" i="1"/>
  <c r="AA429" i="1"/>
  <c r="Y429" i="1"/>
  <c r="Y430" i="1"/>
  <c r="J434" i="1"/>
  <c r="Y434" i="1"/>
  <c r="Y437" i="1"/>
  <c r="J440" i="1"/>
  <c r="J445" i="1"/>
  <c r="Y448" i="1"/>
  <c r="Y452" i="1"/>
  <c r="AA453" i="1"/>
  <c r="AK453" i="1"/>
  <c r="AE453" i="1"/>
  <c r="J453" i="1"/>
  <c r="Y453" i="1"/>
  <c r="L455" i="1"/>
  <c r="K455" i="1"/>
  <c r="J456" i="1"/>
  <c r="J457" i="1"/>
  <c r="AA457" i="1"/>
  <c r="AC457" i="1"/>
  <c r="J460" i="1"/>
  <c r="J465" i="1"/>
  <c r="J466" i="1"/>
  <c r="Y470" i="1"/>
  <c r="J471" i="1"/>
  <c r="J473" i="1"/>
  <c r="Y473" i="1"/>
  <c r="J474" i="1"/>
  <c r="J475" i="1"/>
  <c r="J478" i="1"/>
  <c r="Y478" i="1"/>
  <c r="AA478" i="1"/>
  <c r="J480" i="1"/>
  <c r="J482" i="1"/>
  <c r="Y482" i="1"/>
  <c r="Y489" i="1"/>
  <c r="J490" i="1"/>
  <c r="Y491" i="1"/>
  <c r="AK496" i="1"/>
  <c r="Y497" i="1"/>
  <c r="J500" i="1"/>
  <c r="Y516" i="1"/>
  <c r="Y520" i="1"/>
  <c r="J523" i="1"/>
  <c r="Y524" i="1"/>
  <c r="J527" i="1"/>
  <c r="J529" i="1"/>
  <c r="Y530" i="1"/>
  <c r="J534" i="1"/>
  <c r="Y535" i="1"/>
  <c r="J537" i="1"/>
  <c r="J538" i="1"/>
  <c r="Y539" i="1"/>
  <c r="AK540" i="1"/>
  <c r="J540" i="1"/>
  <c r="Y540" i="1"/>
  <c r="Y543" i="1"/>
  <c r="J544" i="1"/>
  <c r="Y544" i="1"/>
  <c r="J551" i="1"/>
  <c r="Y552" i="1"/>
  <c r="J553" i="1"/>
  <c r="Y553" i="1"/>
  <c r="AE554" i="1"/>
  <c r="J554" i="1"/>
  <c r="K554" i="1"/>
  <c r="Y554" i="1"/>
  <c r="Y555" i="1"/>
  <c r="J557" i="1"/>
  <c r="Y557" i="1"/>
  <c r="Y558" i="1"/>
  <c r="Y559" i="1"/>
  <c r="AI563" i="1"/>
  <c r="AA563" i="1"/>
  <c r="AG563" i="1"/>
  <c r="AE563" i="1"/>
  <c r="J563" i="1"/>
  <c r="Y563" i="1"/>
  <c r="AG564" i="1"/>
  <c r="AK564" i="1"/>
  <c r="AC564" i="1"/>
  <c r="AA564" i="1"/>
  <c r="J564" i="1"/>
  <c r="Y564" i="1"/>
  <c r="J565" i="1"/>
  <c r="Y565" i="1"/>
  <c r="J566" i="1"/>
  <c r="Y566" i="1"/>
  <c r="AI567" i="1"/>
  <c r="AE567" i="1"/>
  <c r="J567" i="1"/>
  <c r="Y567" i="1"/>
  <c r="J568" i="1"/>
  <c r="Y569" i="1"/>
  <c r="AC569" i="1"/>
  <c r="AA569" i="1"/>
  <c r="AK570" i="1"/>
  <c r="J570" i="1"/>
  <c r="Y570" i="1"/>
  <c r="AI571" i="1"/>
  <c r="AE571" i="1"/>
  <c r="AA571" i="1"/>
  <c r="AG571" i="1"/>
  <c r="J571" i="1"/>
  <c r="Y571" i="1"/>
  <c r="J572" i="1"/>
  <c r="AE573" i="1"/>
  <c r="J573" i="1"/>
  <c r="Y573" i="1"/>
  <c r="J575" i="1"/>
  <c r="Y577" i="1"/>
  <c r="J577" i="1"/>
  <c r="AA577" i="1"/>
  <c r="J439" i="1"/>
  <c r="Y439" i="1"/>
  <c r="J341" i="1"/>
  <c r="Y341" i="1"/>
  <c r="Y338" i="1"/>
  <c r="J337" i="1"/>
  <c r="O335" i="1"/>
  <c r="Y335" i="1"/>
  <c r="AG335" i="1"/>
  <c r="J335" i="1"/>
  <c r="J332" i="1"/>
  <c r="J331" i="1"/>
  <c r="Y330" i="1"/>
  <c r="AG330" i="1"/>
  <c r="K328" i="1"/>
  <c r="AG328" i="1"/>
  <c r="L328" i="1"/>
  <c r="J327" i="1"/>
  <c r="J326" i="1"/>
  <c r="J294" i="1"/>
  <c r="Y294" i="1"/>
  <c r="X5" i="1"/>
  <c r="J325" i="1"/>
  <c r="J324" i="1"/>
  <c r="J323" i="1"/>
  <c r="J322" i="1"/>
  <c r="Y321" i="1"/>
  <c r="J320" i="1"/>
  <c r="K318" i="1"/>
  <c r="J318" i="1"/>
  <c r="AC317" i="1"/>
  <c r="L317" i="1"/>
  <c r="J317" i="1"/>
  <c r="J316" i="1"/>
  <c r="J314" i="1"/>
  <c r="N312" i="1"/>
  <c r="M312" i="1"/>
  <c r="L312" i="1"/>
  <c r="K312" i="1"/>
  <c r="J304" i="1"/>
  <c r="J303" i="1"/>
  <c r="J302" i="1"/>
  <c r="J299" i="1"/>
  <c r="J298" i="1"/>
  <c r="J297" i="1"/>
  <c r="Y297" i="1"/>
  <c r="J296" i="1"/>
  <c r="J295" i="1"/>
  <c r="J293" i="1"/>
  <c r="O292" i="1"/>
  <c r="L292" i="1"/>
  <c r="Y292" i="1"/>
  <c r="AK292" i="1"/>
  <c r="J292" i="1"/>
  <c r="AG292" i="1"/>
  <c r="Y291" i="1"/>
  <c r="J289" i="1"/>
  <c r="AC288" i="1"/>
  <c r="J288" i="1"/>
  <c r="Y288" i="1"/>
  <c r="AA288" i="1"/>
  <c r="AG287" i="1"/>
  <c r="AE287" i="1"/>
  <c r="AC287" i="1"/>
  <c r="J287" i="1"/>
  <c r="Y287" i="1"/>
  <c r="AA287" i="1"/>
  <c r="M286" i="1"/>
  <c r="L286" i="1"/>
  <c r="J286" i="1"/>
  <c r="J284" i="1"/>
  <c r="J282" i="1"/>
  <c r="L280" i="1"/>
  <c r="K280" i="1"/>
  <c r="J280" i="1"/>
  <c r="J276" i="1"/>
  <c r="J275" i="1"/>
  <c r="J274" i="1"/>
  <c r="J273" i="1"/>
  <c r="J272" i="1"/>
  <c r="J271" i="1"/>
  <c r="J270" i="1"/>
  <c r="J269" i="1"/>
  <c r="J268" i="1"/>
  <c r="J267" i="1"/>
  <c r="Y267" i="1"/>
  <c r="AA267" i="1"/>
  <c r="J256" i="1"/>
  <c r="O255" i="1"/>
  <c r="AK255" i="1"/>
  <c r="J255" i="1"/>
  <c r="J42" i="1"/>
  <c r="J34" i="1"/>
  <c r="J33" i="1"/>
  <c r="J30" i="1"/>
  <c r="J29" i="1"/>
  <c r="J28" i="1"/>
  <c r="J24" i="1"/>
  <c r="J22" i="1"/>
  <c r="J21" i="1"/>
  <c r="Y10" i="1"/>
  <c r="J2" i="1"/>
  <c r="J3" i="1"/>
  <c r="J254" i="1"/>
  <c r="J253" i="1"/>
  <c r="J252" i="1"/>
  <c r="J251" i="1"/>
  <c r="J250" i="1"/>
  <c r="J248" i="1"/>
  <c r="J242" i="1"/>
  <c r="J240" i="1"/>
  <c r="J238" i="1"/>
  <c r="K236" i="1"/>
  <c r="J236" i="1"/>
  <c r="L235" i="1"/>
  <c r="AE235" i="1"/>
  <c r="J235" i="1"/>
  <c r="Y234" i="1"/>
  <c r="J233" i="1"/>
  <c r="J231" i="1"/>
  <c r="J226" i="1"/>
  <c r="AC224" i="1"/>
  <c r="J224" i="1"/>
  <c r="Y224" i="1"/>
  <c r="AK224" i="1"/>
  <c r="J223" i="1"/>
  <c r="J216" i="1"/>
  <c r="AE214" i="1"/>
  <c r="J214" i="1"/>
  <c r="Y214" i="1"/>
  <c r="J212" i="1"/>
  <c r="J210" i="1"/>
  <c r="J209" i="1"/>
  <c r="Y202" i="1"/>
  <c r="AK201" i="1"/>
  <c r="J201" i="1"/>
  <c r="AA200" i="1"/>
  <c r="K199" i="1"/>
  <c r="L199" i="1"/>
  <c r="J199" i="1"/>
  <c r="J190" i="1"/>
  <c r="Y190" i="1"/>
  <c r="J186" i="1"/>
  <c r="J183" i="1"/>
  <c r="J180" i="1"/>
  <c r="J178" i="1"/>
  <c r="J177" i="1"/>
  <c r="J176" i="1"/>
  <c r="J174" i="1"/>
  <c r="J171" i="1"/>
  <c r="J170" i="1"/>
  <c r="K170" i="1"/>
  <c r="Y170" i="1"/>
  <c r="J169" i="1"/>
  <c r="J168" i="1"/>
  <c r="J167" i="1"/>
  <c r="Y167" i="1"/>
  <c r="J165" i="1"/>
  <c r="J164" i="1"/>
  <c r="J162" i="1"/>
  <c r="J161" i="1"/>
  <c r="J152" i="1"/>
  <c r="J144" i="1"/>
  <c r="J143" i="1"/>
  <c r="J142" i="1"/>
  <c r="J140" i="1"/>
  <c r="J137" i="1"/>
  <c r="J135" i="1"/>
  <c r="J133" i="1"/>
  <c r="J132" i="1"/>
  <c r="J131" i="1"/>
  <c r="J130" i="1"/>
  <c r="J129" i="1"/>
  <c r="J127" i="1"/>
  <c r="Y127" i="1"/>
  <c r="J126" i="1"/>
  <c r="J125" i="1"/>
  <c r="J122" i="1"/>
  <c r="J121" i="1"/>
  <c r="J119" i="1"/>
  <c r="J118" i="1"/>
  <c r="J112" i="1"/>
  <c r="J111" i="1"/>
  <c r="J110" i="1"/>
  <c r="J109" i="1"/>
  <c r="J108" i="1"/>
  <c r="N107" i="1"/>
  <c r="J107" i="1"/>
  <c r="J104" i="1"/>
  <c r="J103" i="1"/>
  <c r="J101" i="1"/>
  <c r="J99" i="1"/>
  <c r="J98" i="1"/>
  <c r="J97" i="1"/>
  <c r="J96" i="1"/>
  <c r="J94" i="1"/>
  <c r="J93" i="1"/>
  <c r="Y93" i="1"/>
  <c r="J90" i="1"/>
  <c r="J89" i="1"/>
  <c r="J88" i="1"/>
  <c r="J87" i="1"/>
  <c r="J86" i="1"/>
  <c r="J85" i="1"/>
  <c r="J84" i="1"/>
  <c r="J82" i="1"/>
  <c r="J81" i="1"/>
  <c r="J80" i="1"/>
  <c r="J79" i="1"/>
  <c r="N77" i="1"/>
  <c r="AI77" i="1"/>
  <c r="M77" i="1"/>
  <c r="AE77" i="1"/>
  <c r="L77" i="1"/>
  <c r="AC77" i="1"/>
  <c r="K77" i="1"/>
  <c r="AA77" i="1"/>
  <c r="J77" i="1"/>
  <c r="Y77" i="1"/>
  <c r="J76" i="1"/>
  <c r="AE75" i="1"/>
  <c r="AC75" i="1"/>
  <c r="AA75" i="1"/>
  <c r="J75" i="1"/>
  <c r="Y75" i="1"/>
  <c r="J74" i="1"/>
  <c r="Y73" i="1"/>
  <c r="J72" i="1"/>
  <c r="J71" i="1"/>
  <c r="J70" i="1"/>
  <c r="Y69" i="1"/>
  <c r="J68" i="1"/>
  <c r="J66" i="1"/>
  <c r="Y66" i="1"/>
  <c r="AK66" i="1"/>
  <c r="J65" i="1"/>
  <c r="Y65" i="1"/>
  <c r="Y63" i="1"/>
  <c r="Y60" i="1"/>
  <c r="J57" i="1"/>
  <c r="AE56" i="1"/>
  <c r="K56" i="1"/>
  <c r="AA56" i="1"/>
  <c r="J56" i="1"/>
  <c r="Y56" i="1"/>
  <c r="J55" i="1"/>
  <c r="J54" i="1"/>
  <c r="Y54" i="1"/>
  <c r="AA54" i="1"/>
  <c r="J53" i="1"/>
  <c r="Y53" i="1"/>
  <c r="J52" i="1"/>
  <c r="J51" i="1"/>
  <c r="J50" i="1"/>
  <c r="J49" i="1"/>
  <c r="J48" i="1"/>
  <c r="J47" i="1"/>
  <c r="J45" i="1"/>
  <c r="J44" i="1"/>
  <c r="J43" i="1"/>
  <c r="J38" i="1"/>
  <c r="J37" i="1"/>
  <c r="J36" i="1"/>
  <c r="J35" i="1"/>
  <c r="J32" i="1"/>
  <c r="J26" i="1"/>
  <c r="J39" i="1"/>
  <c r="J46" i="1"/>
  <c r="Y45" i="1"/>
  <c r="Y44" i="1"/>
  <c r="Y43" i="1"/>
  <c r="AC42" i="1"/>
  <c r="K41" i="1"/>
  <c r="J41" i="1"/>
  <c r="K37" i="1"/>
  <c r="K36" i="1"/>
  <c r="AK35" i="1"/>
  <c r="AE35" i="1"/>
  <c r="AC35" i="1"/>
  <c r="Y35" i="1"/>
  <c r="K34" i="1"/>
  <c r="K33" i="1"/>
  <c r="K30" i="1"/>
  <c r="Y29" i="1"/>
  <c r="O28" i="1"/>
  <c r="AK28" i="1"/>
  <c r="AE28" i="1"/>
  <c r="Y28" i="1"/>
  <c r="J25" i="1"/>
  <c r="J23" i="1"/>
  <c r="K21" i="1"/>
  <c r="J18" i="1"/>
  <c r="Y18" i="1"/>
  <c r="J15" i="1"/>
  <c r="Y15" i="1"/>
  <c r="L15" i="1"/>
  <c r="K15" i="1"/>
  <c r="AC13" i="1"/>
  <c r="Y13" i="1"/>
  <c r="AK13" i="1"/>
  <c r="Y576" i="1"/>
  <c r="AE575" i="1"/>
  <c r="Y575" i="1"/>
  <c r="AG574" i="1"/>
  <c r="AE574" i="1"/>
  <c r="Y574" i="1"/>
  <c r="Y572" i="1"/>
  <c r="Y568" i="1"/>
  <c r="Y562" i="1"/>
  <c r="Y561" i="1"/>
  <c r="Y560" i="1"/>
  <c r="AE551" i="1"/>
  <c r="Y551" i="1"/>
  <c r="AC550" i="1"/>
  <c r="Y550" i="1"/>
  <c r="Y549" i="1"/>
  <c r="Y548" i="1"/>
  <c r="Y542" i="1"/>
  <c r="Y541" i="1"/>
  <c r="AA538" i="1"/>
  <c r="Y538" i="1"/>
  <c r="AI537" i="1"/>
  <c r="AG537" i="1"/>
  <c r="AE537" i="1"/>
  <c r="Y537" i="1"/>
  <c r="Y536" i="1"/>
  <c r="Y534" i="1"/>
  <c r="Y533" i="1"/>
  <c r="Y532" i="1"/>
  <c r="Y531" i="1"/>
  <c r="Y529" i="1"/>
  <c r="AI527" i="1"/>
  <c r="AG527" i="1"/>
  <c r="AE527" i="1"/>
  <c r="Y527" i="1"/>
  <c r="Y526" i="1"/>
  <c r="AK525" i="1"/>
  <c r="AE525" i="1"/>
  <c r="Y525" i="1"/>
  <c r="AE523" i="1"/>
  <c r="Y523" i="1"/>
  <c r="Y521" i="1"/>
  <c r="AK519" i="1"/>
  <c r="Y519" i="1"/>
  <c r="AK518" i="1"/>
  <c r="AI518" i="1"/>
  <c r="AE518" i="1"/>
  <c r="AC518" i="1"/>
  <c r="AA518" i="1"/>
  <c r="Y514" i="1"/>
  <c r="Y513" i="1"/>
  <c r="AA512" i="1"/>
  <c r="Y505" i="1"/>
  <c r="AK503" i="1"/>
  <c r="AG503" i="1"/>
  <c r="AE503" i="1"/>
  <c r="Y503" i="1"/>
  <c r="Y502" i="1"/>
  <c r="Y501" i="1"/>
  <c r="Y500" i="1"/>
  <c r="AK499" i="1"/>
  <c r="AG499" i="1"/>
  <c r="AE499" i="1"/>
  <c r="Y499" i="1"/>
  <c r="Y495" i="1"/>
  <c r="Y494" i="1"/>
  <c r="Y493" i="1"/>
  <c r="Y492" i="1"/>
  <c r="Y490" i="1"/>
  <c r="Y488" i="1"/>
  <c r="Y487" i="1"/>
  <c r="Y486" i="1"/>
  <c r="Y485" i="1"/>
  <c r="Y483" i="1"/>
  <c r="Y480" i="1"/>
  <c r="AI479" i="1"/>
  <c r="Y479" i="1"/>
  <c r="Y476" i="1"/>
  <c r="Y475" i="1"/>
  <c r="AE474" i="1"/>
  <c r="AA474" i="1"/>
  <c r="Y474" i="1"/>
  <c r="AE472" i="1"/>
  <c r="AA472" i="1"/>
  <c r="AE471" i="1"/>
  <c r="Y471" i="1"/>
  <c r="Y469" i="1"/>
  <c r="Y467" i="1"/>
  <c r="AK466" i="1"/>
  <c r="Y466" i="1"/>
  <c r="AI465" i="1"/>
  <c r="Y465" i="1"/>
  <c r="AE463" i="1"/>
  <c r="Y463" i="1"/>
  <c r="Y461" i="1"/>
  <c r="Y460" i="1"/>
  <c r="Y459" i="1"/>
  <c r="Y458" i="1"/>
  <c r="Y455" i="1"/>
  <c r="AI454" i="1"/>
  <c r="AE454" i="1"/>
  <c r="AA454" i="1"/>
  <c r="Y454" i="1"/>
  <c r="AI451" i="1"/>
  <c r="AE451" i="1"/>
  <c r="Y451" i="1"/>
  <c r="AG450" i="1"/>
  <c r="AE450" i="1"/>
  <c r="Y450" i="1"/>
  <c r="AK445" i="1"/>
  <c r="AG445" i="1"/>
  <c r="AE445" i="1"/>
  <c r="AC445" i="1"/>
  <c r="Y445" i="1"/>
  <c r="AE440" i="1"/>
  <c r="Y440" i="1"/>
  <c r="AG438" i="1"/>
  <c r="AE438" i="1"/>
  <c r="Y438" i="1"/>
  <c r="Y436" i="1"/>
  <c r="Y435" i="1"/>
  <c r="Y433" i="1"/>
  <c r="Y432" i="1"/>
  <c r="AC431" i="1"/>
  <c r="AA431" i="1"/>
  <c r="Y431" i="1"/>
  <c r="Y428" i="1"/>
  <c r="Y426" i="1"/>
  <c r="Y425" i="1"/>
  <c r="Y424" i="1"/>
  <c r="AC422" i="1"/>
  <c r="Y422" i="1"/>
  <c r="AK420" i="1"/>
  <c r="AI420" i="1"/>
  <c r="Y417" i="1"/>
  <c r="AK416" i="1"/>
  <c r="AE416" i="1"/>
  <c r="Y416" i="1"/>
  <c r="Y411" i="1"/>
  <c r="AE406" i="1"/>
  <c r="AC406" i="1"/>
  <c r="Y406" i="1"/>
  <c r="AG404" i="1"/>
  <c r="AE404" i="1"/>
  <c r="Y404" i="1"/>
  <c r="AE403" i="1"/>
  <c r="AA403" i="1"/>
  <c r="Y403" i="1"/>
  <c r="AK401" i="1"/>
  <c r="AG401" i="1"/>
  <c r="AE401" i="1"/>
  <c r="AC401" i="1"/>
  <c r="Y401" i="1"/>
  <c r="AE400" i="1"/>
  <c r="AC400" i="1"/>
  <c r="AA400" i="1"/>
  <c r="Y400" i="1"/>
  <c r="AI396" i="1"/>
  <c r="AE396" i="1"/>
  <c r="AC396" i="1"/>
  <c r="AA396" i="1"/>
  <c r="Y396" i="1"/>
  <c r="Y391" i="1"/>
  <c r="Y389" i="1"/>
  <c r="Y387" i="1"/>
  <c r="Y386" i="1"/>
  <c r="Y385" i="1"/>
  <c r="AE382" i="1"/>
  <c r="Y382" i="1"/>
  <c r="Y380" i="1"/>
  <c r="Y378" i="1"/>
  <c r="Y377" i="1"/>
  <c r="AC375" i="1"/>
  <c r="AA375" i="1"/>
  <c r="Y373" i="1"/>
  <c r="Y371" i="1"/>
  <c r="Y370" i="1"/>
  <c r="Y368" i="1"/>
  <c r="AI367" i="1"/>
  <c r="Y367" i="1"/>
  <c r="AE365" i="1"/>
  <c r="Y364" i="1"/>
  <c r="Y363" i="1"/>
  <c r="Y361" i="1"/>
  <c r="AE360" i="1"/>
  <c r="Y358" i="1"/>
  <c r="AE357" i="1"/>
  <c r="Y357" i="1"/>
  <c r="Y356" i="1"/>
  <c r="AG355" i="1"/>
  <c r="AE354" i="1"/>
  <c r="Y353" i="1"/>
  <c r="AG352" i="1"/>
  <c r="Y352" i="1"/>
  <c r="Y351" i="1"/>
  <c r="AG350" i="1"/>
  <c r="Y350" i="1"/>
  <c r="Y349" i="1"/>
  <c r="AG348" i="1"/>
  <c r="Y348" i="1"/>
  <c r="AG347" i="1"/>
  <c r="Y347" i="1"/>
  <c r="AG345" i="1"/>
  <c r="AE345" i="1"/>
  <c r="Y345" i="1"/>
  <c r="Y343" i="1"/>
  <c r="AI341" i="1"/>
  <c r="AG341" i="1"/>
  <c r="AC341" i="1"/>
  <c r="AC340" i="1"/>
  <c r="Y340" i="1"/>
  <c r="Y339" i="1"/>
  <c r="AE337" i="1"/>
  <c r="Y337" i="1"/>
  <c r="Y332" i="1"/>
  <c r="AK331" i="1"/>
  <c r="Y331" i="1"/>
  <c r="AE329" i="1"/>
  <c r="AC329" i="1"/>
  <c r="Y329" i="1"/>
  <c r="Y328" i="1"/>
  <c r="AG327" i="1"/>
  <c r="Y327" i="1"/>
  <c r="AG326" i="1"/>
  <c r="AE326" i="1"/>
  <c r="AC326" i="1"/>
  <c r="AA326" i="1"/>
  <c r="Y326" i="1"/>
  <c r="Y325" i="1"/>
  <c r="AK324" i="1"/>
  <c r="AG324" i="1"/>
  <c r="AE324" i="1"/>
  <c r="AC324" i="1"/>
  <c r="Y324" i="1"/>
  <c r="Y323" i="1"/>
  <c r="Y322" i="1"/>
  <c r="AG320" i="1"/>
  <c r="AE320" i="1"/>
  <c r="AC320" i="1"/>
  <c r="AA320" i="1"/>
  <c r="Y320" i="1"/>
  <c r="AI318" i="1"/>
  <c r="AG318" i="1"/>
  <c r="AE318" i="1"/>
  <c r="Y318" i="1"/>
  <c r="Y317" i="1"/>
  <c r="Y316" i="1"/>
  <c r="AK315" i="1"/>
  <c r="AE315" i="1"/>
  <c r="Y315" i="1"/>
  <c r="AG314" i="1"/>
  <c r="Y313" i="1"/>
  <c r="AG312" i="1"/>
  <c r="AC312" i="1"/>
  <c r="Y312" i="1"/>
  <c r="Y311" i="1"/>
  <c r="Y310" i="1"/>
  <c r="Y309" i="1"/>
  <c r="Y308" i="1"/>
  <c r="Y307" i="1"/>
  <c r="Y306" i="1"/>
  <c r="Y305" i="1"/>
  <c r="Y304" i="1"/>
  <c r="Y303" i="1"/>
  <c r="AE302" i="1"/>
  <c r="Y302" i="1"/>
  <c r="Y301" i="1"/>
  <c r="AG300" i="1"/>
  <c r="AC300" i="1"/>
  <c r="Y300" i="1"/>
  <c r="AG299" i="1"/>
  <c r="Y299" i="1"/>
  <c r="AG298" i="1"/>
  <c r="Y298" i="1"/>
  <c r="AG297" i="1"/>
  <c r="AE297" i="1"/>
  <c r="AC297" i="1"/>
  <c r="AG296" i="1"/>
  <c r="AC296" i="1"/>
  <c r="AA296" i="1"/>
  <c r="Y296" i="1"/>
  <c r="AG295" i="1"/>
  <c r="AE295" i="1"/>
  <c r="Y295" i="1"/>
  <c r="AG294" i="1"/>
  <c r="AI293" i="1"/>
  <c r="AE293" i="1"/>
  <c r="AC293" i="1"/>
  <c r="AG290" i="1"/>
  <c r="Y290" i="1"/>
  <c r="AG289" i="1"/>
  <c r="Y289" i="1"/>
  <c r="AG288" i="1"/>
  <c r="AE288" i="1"/>
  <c r="AG286" i="1"/>
  <c r="AA286" i="1"/>
  <c r="Y286" i="1"/>
  <c r="Y285" i="1"/>
  <c r="AE284" i="1"/>
  <c r="AC284" i="1"/>
  <c r="Y284" i="1"/>
  <c r="Y283" i="1"/>
  <c r="AG282" i="1"/>
  <c r="AE282" i="1"/>
  <c r="Y282" i="1"/>
  <c r="AE281" i="1"/>
  <c r="Y281" i="1"/>
  <c r="AG280" i="1"/>
  <c r="Y280" i="1"/>
  <c r="Y278" i="1"/>
  <c r="Y277" i="1"/>
  <c r="Y276" i="1"/>
  <c r="AG275" i="1"/>
  <c r="Y275" i="1"/>
  <c r="AG274" i="1"/>
  <c r="Y274" i="1"/>
  <c r="AC273" i="1"/>
  <c r="AA273" i="1"/>
  <c r="Y273" i="1"/>
  <c r="AG272" i="1"/>
  <c r="Y272" i="1"/>
  <c r="AK271" i="1"/>
  <c r="AG271" i="1"/>
  <c r="AE271" i="1"/>
  <c r="AC271" i="1"/>
  <c r="AA271" i="1"/>
  <c r="Y271" i="1"/>
  <c r="AG270" i="1"/>
  <c r="AE270" i="1"/>
  <c r="AC270" i="1"/>
  <c r="AG269" i="1"/>
  <c r="AE269" i="1"/>
  <c r="Y269" i="1"/>
  <c r="AG268" i="1"/>
  <c r="AE268" i="1"/>
  <c r="Y268" i="1"/>
  <c r="Y266" i="1"/>
  <c r="Y265" i="1"/>
  <c r="Y264" i="1"/>
  <c r="Y263" i="1"/>
  <c r="Y262" i="1"/>
  <c r="Y260" i="1"/>
  <c r="Y259" i="1"/>
  <c r="Y258" i="1"/>
  <c r="Y257" i="1"/>
  <c r="Y256" i="1"/>
  <c r="Y255" i="1"/>
  <c r="AE254" i="1"/>
  <c r="AC254" i="1"/>
  <c r="Y254" i="1"/>
  <c r="Y253" i="1"/>
  <c r="Y252" i="1"/>
  <c r="Y251" i="1"/>
  <c r="Y250" i="1"/>
  <c r="AI249" i="1"/>
  <c r="Y249" i="1"/>
  <c r="Y247" i="1"/>
  <c r="Y246" i="1"/>
  <c r="Y242" i="1"/>
  <c r="AK240" i="1"/>
  <c r="AG240" i="1"/>
  <c r="AE240" i="1"/>
  <c r="AC240" i="1"/>
  <c r="Y240" i="1"/>
  <c r="AK239" i="1"/>
  <c r="AE239" i="1"/>
  <c r="AC239" i="1"/>
  <c r="Y239" i="1"/>
  <c r="AE238" i="1"/>
  <c r="AA238" i="1"/>
  <c r="Y238" i="1"/>
  <c r="Y237" i="1"/>
  <c r="Y236" i="1"/>
  <c r="AI235" i="1"/>
  <c r="Y235" i="1"/>
  <c r="AI233" i="1"/>
  <c r="AG233" i="1"/>
  <c r="AE233" i="1"/>
  <c r="AC233" i="1"/>
  <c r="AA233" i="1"/>
  <c r="AG232" i="1"/>
  <c r="AE232" i="1"/>
  <c r="Y232" i="1"/>
  <c r="AI231" i="1"/>
  <c r="AA231" i="1"/>
  <c r="Y230" i="1"/>
  <c r="Y229" i="1"/>
  <c r="AA228" i="1"/>
  <c r="AA227" i="1"/>
  <c r="AI226" i="1"/>
  <c r="AG226" i="1"/>
  <c r="AC226" i="1"/>
  <c r="AA226" i="1"/>
  <c r="AK225" i="1"/>
  <c r="Y225" i="1"/>
  <c r="AG224" i="1"/>
  <c r="AE224" i="1"/>
  <c r="AE223" i="1"/>
  <c r="AC223" i="1"/>
  <c r="Y222" i="1"/>
  <c r="Y221" i="1"/>
  <c r="AK217" i="1"/>
  <c r="AG217" i="1"/>
  <c r="AE217" i="1"/>
  <c r="Y217" i="1"/>
  <c r="AE216" i="1"/>
  <c r="Y216" i="1"/>
  <c r="Y215" i="1"/>
  <c r="AK212" i="1"/>
  <c r="Y212" i="1"/>
  <c r="Y211" i="1"/>
  <c r="AK210" i="1"/>
  <c r="AG210" i="1"/>
  <c r="AE210" i="1"/>
  <c r="AA210" i="1"/>
  <c r="Y210" i="1"/>
  <c r="AK209" i="1"/>
  <c r="AG209" i="1"/>
  <c r="AC209" i="1"/>
  <c r="AA209" i="1"/>
  <c r="Y209" i="1"/>
  <c r="AI208" i="1"/>
  <c r="AG208" i="1"/>
  <c r="AE208" i="1"/>
  <c r="AC208" i="1"/>
  <c r="Y208" i="1"/>
  <c r="Y207" i="1"/>
  <c r="Y206" i="1"/>
  <c r="Y205" i="1"/>
  <c r="Y204" i="1"/>
  <c r="Y203" i="1"/>
  <c r="AI199" i="1"/>
  <c r="Y199" i="1"/>
  <c r="AG198" i="1"/>
  <c r="Y198" i="1"/>
  <c r="Y197" i="1"/>
  <c r="Y196" i="1"/>
  <c r="Y195" i="1"/>
  <c r="Y194" i="1"/>
  <c r="Y193" i="1"/>
  <c r="Y192" i="1"/>
  <c r="Y191" i="1"/>
  <c r="AE189" i="1"/>
  <c r="Y189" i="1"/>
  <c r="Y188" i="1"/>
  <c r="AK187" i="1"/>
  <c r="Y186" i="1"/>
  <c r="Y185" i="1"/>
  <c r="Y184" i="1"/>
  <c r="Y182" i="1"/>
  <c r="Y181" i="1"/>
  <c r="Y180" i="1"/>
  <c r="Y179" i="1"/>
  <c r="Y178" i="1"/>
  <c r="Y177" i="1"/>
  <c r="Y176" i="1"/>
  <c r="Y175" i="1"/>
  <c r="Y173" i="1"/>
  <c r="Y172" i="1"/>
  <c r="Y171" i="1"/>
  <c r="Y169" i="1"/>
  <c r="Y166" i="1"/>
  <c r="Y165" i="1"/>
  <c r="Y161" i="1"/>
  <c r="Y160" i="1"/>
  <c r="Y158" i="1"/>
  <c r="Y157" i="1"/>
  <c r="Y156" i="1"/>
  <c r="Y155" i="1"/>
  <c r="Y154" i="1"/>
  <c r="Y153" i="1"/>
  <c r="Y152" i="1"/>
  <c r="Y151" i="1"/>
  <c r="Y149" i="1"/>
  <c r="AA148" i="1"/>
  <c r="Y147" i="1"/>
  <c r="Y146" i="1"/>
  <c r="Y144" i="1"/>
  <c r="Y143" i="1"/>
  <c r="Y142" i="1"/>
  <c r="Y141" i="1"/>
  <c r="Y140" i="1"/>
  <c r="Y139" i="1"/>
  <c r="Y138" i="1"/>
  <c r="Y137" i="1"/>
  <c r="Y136" i="1"/>
  <c r="Y135" i="1"/>
  <c r="Y134" i="1"/>
  <c r="Y133" i="1"/>
  <c r="Y132" i="1"/>
  <c r="Y131" i="1"/>
  <c r="Y130" i="1"/>
  <c r="Y129" i="1"/>
  <c r="Y128" i="1"/>
  <c r="Y126" i="1"/>
  <c r="Y125" i="1"/>
  <c r="Y124" i="1"/>
  <c r="Y123" i="1"/>
  <c r="Y121" i="1"/>
  <c r="Y120" i="1"/>
  <c r="Y119" i="1"/>
  <c r="Y118" i="1"/>
  <c r="Y117" i="1"/>
  <c r="Y116" i="1"/>
  <c r="Y115" i="1"/>
  <c r="Y114" i="1"/>
  <c r="Y113" i="1"/>
  <c r="Y112" i="1"/>
  <c r="Y111" i="1"/>
  <c r="Y110" i="1"/>
  <c r="Y109" i="1"/>
  <c r="Y108" i="1"/>
  <c r="AI107" i="1"/>
  <c r="AG107" i="1"/>
  <c r="AE107" i="1"/>
  <c r="AA107" i="1"/>
  <c r="Y107" i="1"/>
  <c r="Y106" i="1"/>
  <c r="Y105" i="1"/>
  <c r="Y104" i="1"/>
  <c r="Y103" i="1"/>
  <c r="Y102" i="1"/>
  <c r="Y101" i="1"/>
  <c r="Y99" i="1"/>
  <c r="Y98" i="1"/>
  <c r="AA97" i="1"/>
  <c r="Y94" i="1"/>
  <c r="AA92" i="1"/>
  <c r="Y92" i="1"/>
  <c r="AA91" i="1"/>
  <c r="Y90" i="1"/>
  <c r="AC89" i="1"/>
  <c r="Y89" i="1"/>
  <c r="Y88" i="1"/>
  <c r="Y86" i="1"/>
  <c r="AI85" i="1"/>
  <c r="AG85" i="1"/>
  <c r="AE85" i="1"/>
  <c r="Y85" i="1"/>
  <c r="AI84" i="1"/>
  <c r="AE84" i="1"/>
  <c r="AC84" i="1"/>
  <c r="AA84" i="1"/>
  <c r="Y84" i="1"/>
  <c r="Y83" i="1"/>
  <c r="Y82" i="1"/>
  <c r="Y81" i="1"/>
  <c r="AG80" i="1"/>
  <c r="AE80" i="1"/>
  <c r="Y80" i="1"/>
  <c r="AE79" i="1"/>
  <c r="Y79" i="1"/>
  <c r="AE76" i="1"/>
  <c r="Y76" i="1"/>
  <c r="Y74" i="1"/>
  <c r="AI72" i="1"/>
  <c r="AG72" i="1"/>
  <c r="AE72" i="1"/>
  <c r="Y72" i="1"/>
  <c r="Y71" i="1"/>
  <c r="AK70" i="1"/>
  <c r="Y70" i="1"/>
  <c r="AK68" i="1"/>
  <c r="AG68" i="1"/>
  <c r="AC68" i="1"/>
  <c r="Y68" i="1"/>
  <c r="Y62" i="1"/>
  <c r="Y61" i="1"/>
  <c r="Y59" i="1"/>
  <c r="Y58" i="1"/>
  <c r="Y57" i="1"/>
  <c r="AK55" i="1"/>
  <c r="AE55" i="1"/>
  <c r="Y55" i="1"/>
  <c r="AK52" i="1"/>
  <c r="AI52" i="1"/>
  <c r="AG52" i="1"/>
  <c r="AE52" i="1"/>
  <c r="Y52" i="1"/>
  <c r="AI51" i="1"/>
  <c r="AE51" i="1"/>
  <c r="AC51" i="1"/>
  <c r="AA51" i="1"/>
  <c r="Y51" i="1"/>
  <c r="Y50" i="1"/>
  <c r="AG49" i="1"/>
  <c r="AE49" i="1"/>
  <c r="AI48" i="1"/>
  <c r="Y48" i="1"/>
  <c r="AG47" i="1"/>
  <c r="Y47" i="1"/>
  <c r="Y46" i="1"/>
  <c r="AI41" i="1"/>
  <c r="AA41" i="1"/>
  <c r="Y40" i="1"/>
  <c r="Y33" i="1"/>
  <c r="Y32" i="1"/>
  <c r="Y30" i="1"/>
  <c r="Y25" i="1"/>
  <c r="AK24" i="1"/>
  <c r="AA24" i="1"/>
  <c r="AK23" i="1"/>
  <c r="Y21" i="1"/>
  <c r="AI15" i="1"/>
  <c r="AA15" i="1"/>
  <c r="Y14" i="1"/>
  <c r="AG13" i="1"/>
  <c r="AE13" i="1"/>
  <c r="Y12" i="1"/>
  <c r="AI7" i="1"/>
  <c r="AC7" i="1"/>
  <c r="Y7" i="1"/>
  <c r="Y5" i="1"/>
  <c r="AE3" i="1"/>
  <c r="Y3" i="1"/>
  <c r="Y2" i="1"/>
</calcChain>
</file>

<file path=xl/sharedStrings.xml><?xml version="1.0" encoding="utf-8"?>
<sst xmlns="http://schemas.openxmlformats.org/spreadsheetml/2006/main" count="15439" uniqueCount="910">
  <si>
    <t>bcr_patient_barcode</t>
  </si>
  <si>
    <t>total_days_overall_survival</t>
  </si>
  <si>
    <t>outcome_overall_survival_censoring</t>
  </si>
  <si>
    <t>vital_status</t>
  </si>
  <si>
    <t>days_to_tumor_progression</t>
  </si>
  <si>
    <t>days_to_death</t>
  </si>
  <si>
    <t>days_to_last_followup</t>
  </si>
  <si>
    <t>days_to_tumor_recurrence</t>
  </si>
  <si>
    <t>time_to_failure</t>
  </si>
  <si>
    <t>1st_regimen</t>
  </si>
  <si>
    <t>2nd_regimen</t>
  </si>
  <si>
    <t>3rd_regimen</t>
  </si>
  <si>
    <t>4th_regimen</t>
  </si>
  <si>
    <t>5th_regimen</t>
  </si>
  <si>
    <t>6th_regimen</t>
  </si>
  <si>
    <t>outcome_platinum_taxane_dual_agent_censoring</t>
  </si>
  <si>
    <t>outcome_platinum_single_agent_censoring</t>
  </si>
  <si>
    <t>outcome_taxane_single_agent_censoring</t>
  </si>
  <si>
    <t>outcome_doxorubicin_single_agent_censoring</t>
  </si>
  <si>
    <t>outcome_topotecan_single_agent_censoring</t>
  </si>
  <si>
    <t>outcome_gemcitabine_single_agent_censoring</t>
  </si>
  <si>
    <t>Outcome_platinum_gemcitabine_dual_agent</t>
  </si>
  <si>
    <t>age_at_initial_pathologic_diagnosis</t>
  </si>
  <si>
    <t>anatomic_organ_subdivision</t>
  </si>
  <si>
    <t>chemo_therapy</t>
  </si>
  <si>
    <t>days_to_birth</t>
  </si>
  <si>
    <t>days_to_initial_pathologic_diagnosis</t>
  </si>
  <si>
    <t>histological_type</t>
  </si>
  <si>
    <t>hormonal_therapy</t>
  </si>
  <si>
    <t>immuno_therapy</t>
  </si>
  <si>
    <t>initial_pathologic_diagnosis_method</t>
  </si>
  <si>
    <t>patient_id</t>
  </si>
  <si>
    <t>person_neoplasm_cancer_status</t>
  </si>
  <si>
    <t>pretreatment_history</t>
  </si>
  <si>
    <t>primary_therapy_outcome_success</t>
  </si>
  <si>
    <t>race</t>
  </si>
  <si>
    <t>radiation_therapy</t>
  </si>
  <si>
    <t>radiations</t>
  </si>
  <si>
    <t>residual_tumor</t>
  </si>
  <si>
    <t>site_of_tumor_first_recurrence</t>
  </si>
  <si>
    <t>targeted_molecular_therapy</t>
  </si>
  <si>
    <t>tissue_source_site</t>
  </si>
  <si>
    <t>tumor_grade</t>
  </si>
  <si>
    <t>tumor_residual_disease</t>
  </si>
  <si>
    <t>tumor_stage</t>
  </si>
  <si>
    <t>tumor_tissue_site</t>
  </si>
  <si>
    <t>year_of_initial_pathologic_diagnosis</t>
  </si>
  <si>
    <t>TCGA-04-1331</t>
  </si>
  <si>
    <t>DECEASED</t>
  </si>
  <si>
    <t>null</t>
  </si>
  <si>
    <t>cannot assess</t>
  </si>
  <si>
    <t>platinum/taxane</t>
  </si>
  <si>
    <t>Bilateral</t>
  </si>
  <si>
    <t>YES</t>
  </si>
  <si>
    <t>Serous Cystadenocarcinoma</t>
  </si>
  <si>
    <t>NO</t>
  </si>
  <si>
    <t>TUMOR RESECTION</t>
  </si>
  <si>
    <t>WITH TUMOR</t>
  </si>
  <si>
    <t>COMPLETE RESPONSE</t>
  </si>
  <si>
    <t>WHITE</t>
  </si>
  <si>
    <t>G3</t>
  </si>
  <si>
    <t>1-10 mm</t>
  </si>
  <si>
    <t>IIIC</t>
  </si>
  <si>
    <t>OVARY</t>
  </si>
  <si>
    <t>TCGA-04-1332</t>
  </si>
  <si>
    <t>doxorubicin</t>
  </si>
  <si>
    <t>METASTASIS</t>
  </si>
  <si>
    <t>TCGA-04-1336</t>
  </si>
  <si>
    <t>LIVING</t>
  </si>
  <si>
    <t>free</t>
  </si>
  <si>
    <t>TUMOR FREE</t>
  </si>
  <si>
    <t>No Macroscopic disease</t>
  </si>
  <si>
    <t>IIIB</t>
  </si>
  <si>
    <t>TCGA-04-1338</t>
  </si>
  <si>
    <t>taxane</t>
  </si>
  <si>
    <t>gemcitabine</t>
  </si>
  <si>
    <t>tamoxifen</t>
  </si>
  <si>
    <t>TCGA-04-1343</t>
  </si>
  <si>
    <t>platinum/taxane/gemcitabine</t>
  </si>
  <si>
    <t>topotecan/navelbine</t>
  </si>
  <si>
    <t>topotecan</t>
  </si>
  <si>
    <t>PROGRESSIVE DISEASE</t>
  </si>
  <si>
    <t>&gt;20 mm</t>
  </si>
  <si>
    <t>IV</t>
  </si>
  <si>
    <t>TCGA-04-1347</t>
  </si>
  <si>
    <t>CYTOLOGY</t>
  </si>
  <si>
    <t>TCGA-04-1348</t>
  </si>
  <si>
    <t>platinum/gemcitabine</t>
  </si>
  <si>
    <t>TCGA-04-1349</t>
  </si>
  <si>
    <t>TCGA-04-1350</t>
  </si>
  <si>
    <t>platinum</t>
  </si>
  <si>
    <t>platinum/gemcitabine/bev</t>
  </si>
  <si>
    <t>STABLE DISEASE</t>
  </si>
  <si>
    <t>TCGA-04-1357</t>
  </si>
  <si>
    <t>TCGA-04-1361</t>
  </si>
  <si>
    <t>TCGA-04-1364</t>
  </si>
  <si>
    <t>platinum/taxane/doxorubicin</t>
  </si>
  <si>
    <t>altretamine</t>
  </si>
  <si>
    <t>etoposide</t>
  </si>
  <si>
    <t>5FU</t>
  </si>
  <si>
    <t>TCGA-04-1365</t>
  </si>
  <si>
    <t>Left</t>
  </si>
  <si>
    <t>TCGA-04-1367</t>
  </si>
  <si>
    <t>TCGA-04-1371</t>
  </si>
  <si>
    <t>TCGA-04-1517</t>
  </si>
  <si>
    <t>doxorubicin/gemcitabine</t>
  </si>
  <si>
    <t>LOCO-REGIONAL</t>
  </si>
  <si>
    <t>TCGA-04-1519</t>
  </si>
  <si>
    <t>TCGA-04-1525</t>
  </si>
  <si>
    <t>TCGA-04-1530</t>
  </si>
  <si>
    <t>TCGA-04-1536</t>
  </si>
  <si>
    <t>BLACK OR AFRICAN AMERICAN</t>
  </si>
  <si>
    <t>TCGA-04-1638</t>
  </si>
  <si>
    <t>TCGA-04-1644</t>
  </si>
  <si>
    <t>PARTIAL RESPONSE</t>
  </si>
  <si>
    <t>R1</t>
  </si>
  <si>
    <t>TCGA-04-1646</t>
  </si>
  <si>
    <t>TCGA-04-1649</t>
  </si>
  <si>
    <t>TCGA-04-1651</t>
  </si>
  <si>
    <t>TCGA-09-0365</t>
  </si>
  <si>
    <t>TCGA-09-0366</t>
  </si>
  <si>
    <t>TCGA-09-0367</t>
  </si>
  <si>
    <t>NATIVE HAWAIIAN OR OTHER PACIFIC ISLANDER</t>
  </si>
  <si>
    <t>TCGA-09-0369</t>
  </si>
  <si>
    <t>TCGA-09-1659</t>
  </si>
  <si>
    <t>TCGA-09-1661</t>
  </si>
  <si>
    <t>Right</t>
  </si>
  <si>
    <t>TCGA-09-1662</t>
  </si>
  <si>
    <t>TCGA-09-1666</t>
  </si>
  <si>
    <t>TCGA-09-1668</t>
  </si>
  <si>
    <t>TCGA-09-1669</t>
  </si>
  <si>
    <t>IIIA</t>
  </si>
  <si>
    <t>TCGA-09-1670</t>
  </si>
  <si>
    <t>TCGA-09-1673</t>
  </si>
  <si>
    <t>TCGA-09-1674</t>
  </si>
  <si>
    <t>TCGA-09-2048</t>
  </si>
  <si>
    <t>TCGA-09-2049</t>
  </si>
  <si>
    <t>TCGA-09-2051</t>
  </si>
  <si>
    <t>TCGA-09-2053</t>
  </si>
  <si>
    <t>TCGA-09-2054</t>
  </si>
  <si>
    <t>TCGA-09-2056</t>
  </si>
  <si>
    <t>TCGA-10-0926</t>
  </si>
  <si>
    <t>11-20 mm</t>
  </si>
  <si>
    <t>TCGA-10-0928</t>
  </si>
  <si>
    <t>TCGA-10-0930</t>
  </si>
  <si>
    <t>TCGA-10-0931</t>
  </si>
  <si>
    <t>TCGA-10-0933</t>
  </si>
  <si>
    <t>TCGA-10-0934</t>
  </si>
  <si>
    <t>TCGA-10-0935</t>
  </si>
  <si>
    <t>TCGA-10-0936</t>
  </si>
  <si>
    <t>TCGA-10-0937</t>
  </si>
  <si>
    <t>TCGA-10-0938</t>
  </si>
  <si>
    <t>TCGA-13-0714</t>
  </si>
  <si>
    <t>TCGA-13-0717</t>
  </si>
  <si>
    <t>TCGA-13-0720</t>
  </si>
  <si>
    <t>TCGA-13-0723</t>
  </si>
  <si>
    <t>TCGA-13-0724</t>
  </si>
  <si>
    <t>EXCISIONAL BIOPSY</t>
  </si>
  <si>
    <t>TCGA-13-0725</t>
  </si>
  <si>
    <t>TCGA-13-0727</t>
  </si>
  <si>
    <t>TCGA-13-0730</t>
  </si>
  <si>
    <t>FINE NEEDLE ASPIRATION BIOPSY</t>
  </si>
  <si>
    <t>TCGA-13-0755</t>
  </si>
  <si>
    <t>TCGA-13-0757</t>
  </si>
  <si>
    <t>TCGA-13-0758</t>
  </si>
  <si>
    <t>TCGA-13-0760</t>
  </si>
  <si>
    <t>INCISION BIOPSY</t>
  </si>
  <si>
    <t>TCGA-13-0761</t>
  </si>
  <si>
    <t>TCGA-13-0762</t>
  </si>
  <si>
    <t>TCGA-13-0764</t>
  </si>
  <si>
    <t>TCGA-13-0765</t>
  </si>
  <si>
    <t>TCGA-13-0766</t>
  </si>
  <si>
    <t>TCGA-13-0768</t>
  </si>
  <si>
    <t>TCGA-13-0791</t>
  </si>
  <si>
    <t>TCGA-13-0792</t>
  </si>
  <si>
    <t>TCGA-13-0793</t>
  </si>
  <si>
    <t>TCGA-13-0794</t>
  </si>
  <si>
    <t>TCGA-13-0795</t>
  </si>
  <si>
    <t>TCGA-13-0797</t>
  </si>
  <si>
    <t>TCGA-13-0799</t>
  </si>
  <si>
    <t>ASIAN</t>
  </si>
  <si>
    <t>TCGA-13-0800</t>
  </si>
  <si>
    <t>TCGA-13-0801</t>
  </si>
  <si>
    <t>TCGA-13-0802</t>
  </si>
  <si>
    <t>TCGA-13-0803</t>
  </si>
  <si>
    <t>TCGA-13-0804</t>
  </si>
  <si>
    <t>TCGA-13-0805</t>
  </si>
  <si>
    <t>TCGA-13-0807</t>
  </si>
  <si>
    <t>TCGA-13-0883</t>
  </si>
  <si>
    <t>TCGA-13-0884</t>
  </si>
  <si>
    <t>TCGA-13-0885</t>
  </si>
  <si>
    <t>TCGA-13-0886</t>
  </si>
  <si>
    <t>TCGA-13-0887</t>
  </si>
  <si>
    <t>TCGA-13-0888</t>
  </si>
  <si>
    <t>TCGA-13-0890</t>
  </si>
  <si>
    <t>TCGA-13-0891</t>
  </si>
  <si>
    <t>TCGA-13-0893</t>
  </si>
  <si>
    <t>TCGA-13-0894</t>
  </si>
  <si>
    <t>TCGA-13-0897</t>
  </si>
  <si>
    <t>TCGA-13-0899</t>
  </si>
  <si>
    <t>TCGA-13-0900</t>
  </si>
  <si>
    <t>TCGA-13-0901</t>
  </si>
  <si>
    <t>TCGA-13-0903</t>
  </si>
  <si>
    <t>TCGA-13-0904</t>
  </si>
  <si>
    <t>TCGA-13-0905</t>
  </si>
  <si>
    <t>TCGA-13-0906</t>
  </si>
  <si>
    <t>TCGA-13-0908</t>
  </si>
  <si>
    <t>TCGA-13-0910</t>
  </si>
  <si>
    <t>TCGA-13-0911</t>
  </si>
  <si>
    <t>TCGA-13-0912</t>
  </si>
  <si>
    <t>TCGA-13-0913</t>
  </si>
  <si>
    <t>TCGA-13-0916</t>
  </si>
  <si>
    <t>TCGA-13-0919</t>
  </si>
  <si>
    <t>TCGA-13-0920</t>
  </si>
  <si>
    <t>TCGA-13-0921</t>
  </si>
  <si>
    <t>TCGA-13-0923</t>
  </si>
  <si>
    <t>TCGA-13-0924</t>
  </si>
  <si>
    <t>TCGA-13-1403</t>
  </si>
  <si>
    <t>TCGA-13-1404</t>
  </si>
  <si>
    <t>TCGA-13-1405</t>
  </si>
  <si>
    <t>TCGA-13-1407</t>
  </si>
  <si>
    <t>TCGA-13-1408</t>
  </si>
  <si>
    <t>TCGA-13-1409</t>
  </si>
  <si>
    <t>TCGA-13-1411</t>
  </si>
  <si>
    <t>TCGA-13-1412</t>
  </si>
  <si>
    <t>TCGA-13-1483</t>
  </si>
  <si>
    <t>TCGA-13-1484</t>
  </si>
  <si>
    <t>TCGA-13-1488</t>
  </si>
  <si>
    <t>TCGA-13-1491</t>
  </si>
  <si>
    <t>TCGA-13-1492</t>
  </si>
  <si>
    <t>TCGA-13-1494</t>
  </si>
  <si>
    <t>TCGA-13-1496</t>
  </si>
  <si>
    <t>TCGA-13-1497</t>
  </si>
  <si>
    <t>TCGA-13-1498</t>
  </si>
  <si>
    <t>TCGA-13-1499</t>
  </si>
  <si>
    <t>TCGA-13-1500</t>
  </si>
  <si>
    <t>TCGA-13-1501</t>
  </si>
  <si>
    <t>TCGA-13-1504</t>
  </si>
  <si>
    <t>TCGA-13-1505</t>
  </si>
  <si>
    <t>TCGA-13-1506</t>
  </si>
  <si>
    <t>TCGA-13-1507</t>
  </si>
  <si>
    <t>TCGA-13-1509</t>
  </si>
  <si>
    <t>TCGA-13-1510</t>
  </si>
  <si>
    <t>TCGA-13-1511</t>
  </si>
  <si>
    <t>TCGA-13-1512</t>
  </si>
  <si>
    <t>TCGA-13-1817</t>
  </si>
  <si>
    <t>TCGA-13-2057</t>
  </si>
  <si>
    <t>TCGA-13-2059</t>
  </si>
  <si>
    <t>TCGA-13-2060</t>
  </si>
  <si>
    <t>TCGA-13-2061</t>
  </si>
  <si>
    <t>TCGA-13-2065</t>
  </si>
  <si>
    <t>TCGA-13-2066</t>
  </si>
  <si>
    <t>TCGA-13-2071</t>
  </si>
  <si>
    <t>TCGA-20-0987</t>
  </si>
  <si>
    <t>TCGA-20-0990</t>
  </si>
  <si>
    <t>platinum/doxorubicin</t>
  </si>
  <si>
    <t>TCGA-20-1683</t>
  </si>
  <si>
    <t>TCGA-20-1684</t>
  </si>
  <si>
    <t>TCGA-20-1685</t>
  </si>
  <si>
    <t>TCGA-20-1686</t>
  </si>
  <si>
    <t>TCGA-20-1687</t>
  </si>
  <si>
    <t>TCGA-23-1021</t>
  </si>
  <si>
    <t>vinorelbine</t>
  </si>
  <si>
    <t>TCGA-23-1022</t>
  </si>
  <si>
    <t>cyclophosphamide</t>
  </si>
  <si>
    <t>TCGA-23-1023</t>
  </si>
  <si>
    <t>TCGA-23-1024</t>
  </si>
  <si>
    <t>TCGA-23-1026</t>
  </si>
  <si>
    <t>TCGA-23-1027</t>
  </si>
  <si>
    <t>taxane/gemcitabine</t>
  </si>
  <si>
    <t>TCGA-23-1028</t>
  </si>
  <si>
    <t>TCGA-23-1029</t>
  </si>
  <si>
    <t>TCGA-23-1030</t>
  </si>
  <si>
    <t>TCGA-23-1031</t>
  </si>
  <si>
    <t>taxane/capecitabine</t>
  </si>
  <si>
    <t>TCGA-23-1032</t>
  </si>
  <si>
    <t>TCGA-23-1107</t>
  </si>
  <si>
    <t>TCGA-23-1109</t>
  </si>
  <si>
    <t>TCGA-23-1110</t>
  </si>
  <si>
    <t>capecitabine</t>
  </si>
  <si>
    <t>TCGA-23-1111</t>
  </si>
  <si>
    <t>TCGA-23-1113</t>
  </si>
  <si>
    <t>TCGA-23-1114</t>
  </si>
  <si>
    <t>TCGA-23-1116</t>
  </si>
  <si>
    <t>TCGA-23-1117</t>
  </si>
  <si>
    <t>TCGA-23-1118</t>
  </si>
  <si>
    <t>TCGA-23-1119</t>
  </si>
  <si>
    <t>TCGA-23-1120</t>
  </si>
  <si>
    <t>TCGA-23-1121</t>
  </si>
  <si>
    <t>TCGA-23-1122</t>
  </si>
  <si>
    <t>ifosfamide</t>
  </si>
  <si>
    <t>TCGA-23-1123</t>
  </si>
  <si>
    <t>TCGA-23-1124</t>
  </si>
  <si>
    <t>TCGA-23-2072</t>
  </si>
  <si>
    <t>TCGA-23-2077</t>
  </si>
  <si>
    <t>TCGA-23-2078</t>
  </si>
  <si>
    <t>TCGA-23-2079</t>
  </si>
  <si>
    <t>TCGA-23-2081</t>
  </si>
  <si>
    <t>TCGA-23-2084</t>
  </si>
  <si>
    <t>platinum/ifosfamide</t>
  </si>
  <si>
    <t>TCGA-23-2641</t>
  </si>
  <si>
    <t>TCGA-23-2643</t>
  </si>
  <si>
    <t>TCGA-23-2645</t>
  </si>
  <si>
    <t>TCGA-23-2647</t>
  </si>
  <si>
    <t>TCGA-23-2649</t>
  </si>
  <si>
    <t>TCGA-24-0966</t>
  </si>
  <si>
    <t>TCGA-24-0968</t>
  </si>
  <si>
    <t>TCGA-24-0970</t>
  </si>
  <si>
    <t>TCGA-24-0975</t>
  </si>
  <si>
    <t>topotecan/vinorelbine</t>
  </si>
  <si>
    <t>TCGA-24-0979</t>
  </si>
  <si>
    <t>TCGA-24-0980</t>
  </si>
  <si>
    <t>TCGA-24-0982</t>
  </si>
  <si>
    <t>TCGA-24-1103</t>
  </si>
  <si>
    <t>TCGA-24-1104</t>
  </si>
  <si>
    <t>TCGA-24-1105</t>
  </si>
  <si>
    <t>TCGA-24-1413</t>
  </si>
  <si>
    <t>TCGA-24-1416</t>
  </si>
  <si>
    <t>TCGA-24-1417</t>
  </si>
  <si>
    <t>TCGA-24-1418</t>
  </si>
  <si>
    <t>TCGA-24-1419</t>
  </si>
  <si>
    <t>TCGA-24-1422</t>
  </si>
  <si>
    <t>TCGA-24-1423</t>
  </si>
  <si>
    <t>TCGA-24-1424</t>
  </si>
  <si>
    <t>TCGA-24-1425</t>
  </si>
  <si>
    <t>TCGA-24-1426</t>
  </si>
  <si>
    <t>TCGA-24-1427</t>
  </si>
  <si>
    <t>TCGA-24-1428</t>
  </si>
  <si>
    <t>TCGA-24-1430</t>
  </si>
  <si>
    <t>TCGA-24-1431</t>
  </si>
  <si>
    <t>TCGA-24-1434</t>
  </si>
  <si>
    <t>TCGA-24-1435</t>
  </si>
  <si>
    <t>TCGA-24-1436</t>
  </si>
  <si>
    <t>TCGA-24-1463</t>
  </si>
  <si>
    <t>TCGA-24-1464</t>
  </si>
  <si>
    <t>TCGA-24-1466</t>
  </si>
  <si>
    <t>TCGA-24-1467</t>
  </si>
  <si>
    <t>TCGA-24-1469</t>
  </si>
  <si>
    <t>TCGA-24-1470</t>
  </si>
  <si>
    <t>TCGA-24-1471</t>
  </si>
  <si>
    <t>TCGA-24-1474</t>
  </si>
  <si>
    <t>TCGA-24-1544</t>
  </si>
  <si>
    <t>platinum/taxane/topotecan</t>
  </si>
  <si>
    <t>TCGA-24-1545</t>
  </si>
  <si>
    <t>TCGA-24-1546</t>
  </si>
  <si>
    <t>TCGA-24-1548</t>
  </si>
  <si>
    <t>platinum/topotecan</t>
  </si>
  <si>
    <t>gemcitabine/vinorelbine</t>
  </si>
  <si>
    <t>TCGA-24-1549</t>
  </si>
  <si>
    <t>TCGA-24-1550</t>
  </si>
  <si>
    <t>TCGA-24-1551</t>
  </si>
  <si>
    <t>TCGA-24-1552</t>
  </si>
  <si>
    <t>TCGA-24-1553</t>
  </si>
  <si>
    <t>TCGA-24-1555</t>
  </si>
  <si>
    <t>TCGA-24-1557</t>
  </si>
  <si>
    <t>TCGA-24-1558</t>
  </si>
  <si>
    <t>TCGA-24-1560</t>
  </si>
  <si>
    <t>platinum/etoposide</t>
  </si>
  <si>
    <t>TCGA-24-1562</t>
  </si>
  <si>
    <t>TCGA-24-1563</t>
  </si>
  <si>
    <t>TCGA-24-1564</t>
  </si>
  <si>
    <t>gemcitabine/etoposide</t>
  </si>
  <si>
    <t>TCGA-24-1565</t>
  </si>
  <si>
    <t>TCGA-24-1567</t>
  </si>
  <si>
    <t>TCGA-24-1603</t>
  </si>
  <si>
    <t>TCGA-24-1604</t>
  </si>
  <si>
    <t>TCGA-24-1614</t>
  </si>
  <si>
    <t>TCGA-24-1616</t>
  </si>
  <si>
    <t>TCGA-24-1842</t>
  </si>
  <si>
    <t>TCGA-24-1843</t>
  </si>
  <si>
    <t>TCGA-24-1844</t>
  </si>
  <si>
    <t>TCGA-24-1845</t>
  </si>
  <si>
    <t>TCGA-24-1846</t>
  </si>
  <si>
    <t>TCGA-24-1847</t>
  </si>
  <si>
    <t>TCGA-24-1849</t>
  </si>
  <si>
    <t>TCGA-24-1850</t>
  </si>
  <si>
    <t>TCGA-24-1852</t>
  </si>
  <si>
    <t>TCGA-24-1920</t>
  </si>
  <si>
    <t>TCGA-24-1923</t>
  </si>
  <si>
    <t>TCGA-24-1924</t>
  </si>
  <si>
    <t>TCGA-24-1927</t>
  </si>
  <si>
    <t>aminocaptothecin</t>
  </si>
  <si>
    <t>TCGA-24-1928</t>
  </si>
  <si>
    <t>TCGA-24-1930</t>
  </si>
  <si>
    <t>TCGA-24-2019</t>
  </si>
  <si>
    <t>TCGA-24-2020</t>
  </si>
  <si>
    <t>TCGA-24-2023</t>
  </si>
  <si>
    <t>TCGA-24-2024</t>
  </si>
  <si>
    <t>TCGA-24-2026</t>
  </si>
  <si>
    <t>TCGA-24-2027</t>
  </si>
  <si>
    <t>TCGA-24-2029</t>
  </si>
  <si>
    <t>TCGA-24-2030</t>
  </si>
  <si>
    <t>TCGA-24-2033</t>
  </si>
  <si>
    <t>TCGA-24-2035</t>
  </si>
  <si>
    <t>ifosfamide/etoposide</t>
  </si>
  <si>
    <t>TCGA-24-2036</t>
  </si>
  <si>
    <t>mitomycin</t>
  </si>
  <si>
    <t>TCGA-24-2254</t>
  </si>
  <si>
    <t>TCGA-24-2260</t>
  </si>
  <si>
    <t>platinum/cyclophosphamide</t>
  </si>
  <si>
    <t>chlorambucil</t>
  </si>
  <si>
    <t>TCGA-24-2261</t>
  </si>
  <si>
    <t>TCGA-24-2262</t>
  </si>
  <si>
    <t>TCGA-24-2271</t>
  </si>
  <si>
    <t>TCGA-24-2280</t>
  </si>
  <si>
    <t>TCGA-24-2288</t>
  </si>
  <si>
    <t>TCGA-24-2289</t>
  </si>
  <si>
    <t>TCGA-24-2290</t>
  </si>
  <si>
    <t>OMENTUM</t>
  </si>
  <si>
    <t>TCGA-24-2295</t>
  </si>
  <si>
    <t>TCGA-24-2297</t>
  </si>
  <si>
    <t>platinum/cyclophosphomide</t>
  </si>
  <si>
    <t>TCGA-24-2298</t>
  </si>
  <si>
    <t>platinum/vinorelbine</t>
  </si>
  <si>
    <t>TCGA-25-1312</t>
  </si>
  <si>
    <t>TCGA-25-1313</t>
  </si>
  <si>
    <t>TCGA-25-1314</t>
  </si>
  <si>
    <t>TCGA-25-1315</t>
  </si>
  <si>
    <t>TCGA-25-1316</t>
  </si>
  <si>
    <t>TCGA-25-1317</t>
  </si>
  <si>
    <t>TCGA-25-1318</t>
  </si>
  <si>
    <t>TCGA-25-1319</t>
  </si>
  <si>
    <t>TCGA-25-1320</t>
  </si>
  <si>
    <t>TCGA-25-1321</t>
  </si>
  <si>
    <t>TCGA-25-1322</t>
  </si>
  <si>
    <t>TCGA-25-1323</t>
  </si>
  <si>
    <t>TCGA-25-1324</t>
  </si>
  <si>
    <t>TCGA-25-1325</t>
  </si>
  <si>
    <t>TCGA-25-1326</t>
  </si>
  <si>
    <t>TCGA-25-1328</t>
  </si>
  <si>
    <t>platinum/cyclophosphamide/topotecan</t>
  </si>
  <si>
    <t>TCGA-25-1329</t>
  </si>
  <si>
    <t>TCGA-25-1623</t>
  </si>
  <si>
    <t>TCGA-25-1625</t>
  </si>
  <si>
    <t>TCGA-25-1626</t>
  </si>
  <si>
    <t>TCGA-25-1627</t>
  </si>
  <si>
    <t>TCGA-25-1628</t>
  </si>
  <si>
    <t>TCGA-25-1630</t>
  </si>
  <si>
    <t>TCGA-25-1631</t>
  </si>
  <si>
    <t>TCGA-25-1632</t>
  </si>
  <si>
    <t>TCGA-25-1633</t>
  </si>
  <si>
    <t>TCGA-25-1634</t>
  </si>
  <si>
    <t>TCGA-25-1635</t>
  </si>
  <si>
    <t>TCGA-25-1870</t>
  </si>
  <si>
    <t>TCGA-25-1871</t>
  </si>
  <si>
    <t>TCGA-25-1877</t>
  </si>
  <si>
    <t>TCGA-25-1878</t>
  </si>
  <si>
    <t>TCGA-25-2042</t>
  </si>
  <si>
    <t>AMERICAN INDIAN OR ALASKA NATIVE</t>
  </si>
  <si>
    <t>TCGA-25-2391</t>
  </si>
  <si>
    <t>TCGA-25-2392</t>
  </si>
  <si>
    <t>TCGA-25-2393</t>
  </si>
  <si>
    <t>TCGA-25-2396</t>
  </si>
  <si>
    <t>TCGA-25-2397</t>
  </si>
  <si>
    <t>TCGA-25-2398</t>
  </si>
  <si>
    <t>TCGA-25-2399</t>
  </si>
  <si>
    <t>TCGA-25-2400</t>
  </si>
  <si>
    <t>TCGA-25-2401</t>
  </si>
  <si>
    <t>TCGA-25-2404</t>
  </si>
  <si>
    <t>TCGA-25-2409</t>
  </si>
  <si>
    <t>TCGA-29-1693</t>
  </si>
  <si>
    <t>TCGA-29-1697</t>
  </si>
  <si>
    <t>TCGA-29-1698</t>
  </si>
  <si>
    <t>TCGA-29-1699</t>
  </si>
  <si>
    <t>TCGA-29-1701</t>
  </si>
  <si>
    <t>TCGA-29-1702</t>
  </si>
  <si>
    <t>TCGA-29-1704</t>
  </si>
  <si>
    <t>TCGA-29-1761</t>
  </si>
  <si>
    <t>TCGA-29-1768</t>
  </si>
  <si>
    <t>TCGA-29-1769</t>
  </si>
  <si>
    <t>TCGA-29-1774</t>
  </si>
  <si>
    <t>TCGA-29-1776</t>
  </si>
  <si>
    <t>TCGA-29-1778</t>
  </si>
  <si>
    <t>TCGA-29-1781</t>
  </si>
  <si>
    <t>TCGA-29-1783</t>
  </si>
  <si>
    <t>TCGA-29-1784</t>
  </si>
  <si>
    <t>TCGA-29-1785</t>
  </si>
  <si>
    <t>TCGA-29-2427</t>
  </si>
  <si>
    <t>TCGA-29-2428</t>
  </si>
  <si>
    <t>TCGA-29-2429</t>
  </si>
  <si>
    <t>TCGA-29-2432</t>
  </si>
  <si>
    <t>TCGA-29-2434</t>
  </si>
  <si>
    <t>R0</t>
  </si>
  <si>
    <t>TCGA-30-1714</t>
  </si>
  <si>
    <t>gemcitabine/taxane</t>
  </si>
  <si>
    <t>TCGA-30-1718</t>
  </si>
  <si>
    <t>TCGA-30-1853</t>
  </si>
  <si>
    <t>trabectidine</t>
  </si>
  <si>
    <t>TCGA-30-1855</t>
  </si>
  <si>
    <t>TCGA-30-1856</t>
  </si>
  <si>
    <t>TCGA-30-1857</t>
  </si>
  <si>
    <t>TCGA-30-1860</t>
  </si>
  <si>
    <t>TCGA-30-1861</t>
  </si>
  <si>
    <t>TCGA-30-1869</t>
  </si>
  <si>
    <t>platinum/pemetrexed</t>
  </si>
  <si>
    <t>TCGA-30-1880</t>
  </si>
  <si>
    <t>TCGA-30-1892</t>
  </si>
  <si>
    <t>pemetrexed</t>
  </si>
  <si>
    <t>TCGA-31-1944</t>
  </si>
  <si>
    <t>TCGA-31-1946</t>
  </si>
  <si>
    <t>TCGA-31-1951</t>
  </si>
  <si>
    <t>TCGA-31-1953</t>
  </si>
  <si>
    <t>TCGA-31-1955</t>
  </si>
  <si>
    <t>TCGA-31-1956</t>
  </si>
  <si>
    <t>TCGA-36-1568</t>
  </si>
  <si>
    <t>TCGA-36-1569</t>
  </si>
  <si>
    <t>TCGA-36-1570</t>
  </si>
  <si>
    <t>TCGA-36-1571</t>
  </si>
  <si>
    <t>TCGA-36-1574</t>
  </si>
  <si>
    <t>TCGA-36-1575</t>
  </si>
  <si>
    <t>TCGA-04-1335</t>
  </si>
  <si>
    <t>G2</t>
  </si>
  <si>
    <t>IB</t>
  </si>
  <si>
    <t>TCGA-04-1337</t>
  </si>
  <si>
    <t>TCGA-04-1341</t>
  </si>
  <si>
    <t>TCGA-04-1342</t>
  </si>
  <si>
    <t>TCGA-36-1576</t>
  </si>
  <si>
    <t>TCGA-04-1346</t>
  </si>
  <si>
    <t>TCGA-04-1351</t>
  </si>
  <si>
    <t>TCGA-04-1353</t>
  </si>
  <si>
    <t>TCGA-04-1356</t>
  </si>
  <si>
    <t>IIC</t>
  </si>
  <si>
    <t>TCGA-36-1578</t>
  </si>
  <si>
    <t>TCGA-04-1360</t>
  </si>
  <si>
    <t>IA</t>
  </si>
  <si>
    <t>TCGA-04-1362</t>
  </si>
  <si>
    <t>TCGA-36-1580</t>
  </si>
  <si>
    <t>TCGA-04-1369</t>
  </si>
  <si>
    <t>study drug</t>
  </si>
  <si>
    <t>TCGA-36-2529</t>
  </si>
  <si>
    <t>PERITONEUM (OVARY)</t>
  </si>
  <si>
    <t>TCGA-04-1514</t>
  </si>
  <si>
    <t>patupilone</t>
  </si>
  <si>
    <t>topotecan/navelbine/bev</t>
  </si>
  <si>
    <t>TCGA-04-1516</t>
  </si>
  <si>
    <t>TCGA-36-2530</t>
  </si>
  <si>
    <t>LOCOREGIONAL AND METASTASIS</t>
  </si>
  <si>
    <t>TCGA-36-2532</t>
  </si>
  <si>
    <t>TCGA-04-1542</t>
  </si>
  <si>
    <t>bevacizumab</t>
  </si>
  <si>
    <t>TCGA-36-2533</t>
  </si>
  <si>
    <t>TCGA-36-2534</t>
  </si>
  <si>
    <t>TCGA-36-2537</t>
  </si>
  <si>
    <t>TCGA-04-1648</t>
  </si>
  <si>
    <t>TCGA-04-1652</t>
  </si>
  <si>
    <t>TCGA-04-1654</t>
  </si>
  <si>
    <t>TCGA-04-1655</t>
  </si>
  <si>
    <t>TCGA-09-0364</t>
  </si>
  <si>
    <t>TCGA-36-2538</t>
  </si>
  <si>
    <t>TCGA-09-1664</t>
  </si>
  <si>
    <t xml:space="preserve"> </t>
  </si>
  <si>
    <t>G1</t>
  </si>
  <si>
    <t>TCGA-09-1665</t>
  </si>
  <si>
    <t>TCGA-09-1667</t>
  </si>
  <si>
    <t>TCGA-09-1672</t>
  </si>
  <si>
    <t>TCGA-09-1675</t>
  </si>
  <si>
    <t>IC</t>
  </si>
  <si>
    <t>TCGA-09-2043</t>
  </si>
  <si>
    <t>TCGA-09-2044</t>
  </si>
  <si>
    <t>IIB</t>
  </si>
  <si>
    <t>TCGA-09-2045</t>
  </si>
  <si>
    <t>topotecan/taxane</t>
  </si>
  <si>
    <t>TCGA-36-2542</t>
  </si>
  <si>
    <t>TCGA-09-2050</t>
  </si>
  <si>
    <t>IIA</t>
  </si>
  <si>
    <t>TCGA-09-2055</t>
  </si>
  <si>
    <t>TCGA-10-0925</t>
  </si>
  <si>
    <t>TCGA-10-0927</t>
  </si>
  <si>
    <t>TCGA-36-2543</t>
  </si>
  <si>
    <t>TCGA-36-2544</t>
  </si>
  <si>
    <t>TCGA-13-0726</t>
  </si>
  <si>
    <t>GX</t>
  </si>
  <si>
    <t>TCGA-36-2545</t>
  </si>
  <si>
    <t>TCGA-13-0751</t>
  </si>
  <si>
    <t>TCGA-36-2547</t>
  </si>
  <si>
    <t>TCGA-36-2548</t>
  </si>
  <si>
    <t>OTHER METHOD, SPECIFY IN NOTES</t>
  </si>
  <si>
    <t>TCGA-13-0889</t>
  </si>
  <si>
    <t>TCGA-13-0914</t>
  </si>
  <si>
    <t>TCGA-13-0922</t>
  </si>
  <si>
    <t>TCGA-13-1410</t>
  </si>
  <si>
    <t>TCGA-13-1477</t>
  </si>
  <si>
    <t>TCGA-13-1481</t>
  </si>
  <si>
    <t>TCGA-13-1482</t>
  </si>
  <si>
    <t>TCGA-13-1485</t>
  </si>
  <si>
    <t>TCGA-13-1487</t>
  </si>
  <si>
    <t>TCGA-13-1489</t>
  </si>
  <si>
    <t>TCGA-13-1495</t>
  </si>
  <si>
    <t>TCGA-36-2551</t>
  </si>
  <si>
    <t>TCGA-42-2582</t>
  </si>
  <si>
    <t>TCGA-13-1819</t>
  </si>
  <si>
    <t>TCGA-20-0991</t>
  </si>
  <si>
    <t>TCGA-20-0996</t>
  </si>
  <si>
    <t>TCGA-20-1682</t>
  </si>
  <si>
    <t>TCGA-42-2587</t>
  </si>
  <si>
    <t>TCGA-42-2588</t>
  </si>
  <si>
    <t>TCGA-42-2589</t>
  </si>
  <si>
    <t>TCGA-57-1582</t>
  </si>
  <si>
    <t>TCGA-23-1809</t>
  </si>
  <si>
    <t>TCGA-57-1583</t>
  </si>
  <si>
    <t>TCGA-57-1584</t>
  </si>
  <si>
    <t>TCGA-57-1585</t>
  </si>
  <si>
    <t>TCGA-57-1586</t>
  </si>
  <si>
    <t>TCGA-57-1993</t>
  </si>
  <si>
    <t>TCGA-59-2348</t>
  </si>
  <si>
    <t>TCGA-59-2350</t>
  </si>
  <si>
    <t>TCGA-59-2351</t>
  </si>
  <si>
    <t>TCGA-24-1556</t>
  </si>
  <si>
    <t>platinum/taxane/cyclophosphamide</t>
  </si>
  <si>
    <t>TCGA-59-2352</t>
  </si>
  <si>
    <t>TCGA-59-2354</t>
  </si>
  <si>
    <t>TCGA-24-2038</t>
  </si>
  <si>
    <t>GB</t>
  </si>
  <si>
    <t>TCGA-59-2355</t>
  </si>
  <si>
    <t>TCGA-59-2363</t>
  </si>
  <si>
    <t>TCGA-24-2267</t>
  </si>
  <si>
    <t>TCGA-61-1724</t>
  </si>
  <si>
    <t>TCGA-24-2281</t>
  </si>
  <si>
    <t>TCGA-24-2293</t>
  </si>
  <si>
    <t>TCGA-61-1725</t>
  </si>
  <si>
    <t>TCGA-61-1728</t>
  </si>
  <si>
    <t>TCGA-61-1733</t>
  </si>
  <si>
    <t>TCGA-61-1736</t>
  </si>
  <si>
    <t>TCGA-61-1737</t>
  </si>
  <si>
    <t>TCGA-61-1738</t>
  </si>
  <si>
    <t>TCGA-61-1740</t>
  </si>
  <si>
    <t>TCGA-61-1741</t>
  </si>
  <si>
    <t>TCGA-61-1895</t>
  </si>
  <si>
    <t>TCGA-61-1899</t>
  </si>
  <si>
    <t>TCGA-61-1900</t>
  </si>
  <si>
    <t>TCGA-61-1901</t>
  </si>
  <si>
    <t>TCGA-61-1904</t>
  </si>
  <si>
    <t>TCGA-25-2390</t>
  </si>
  <si>
    <t>TCGA-61-1906</t>
  </si>
  <si>
    <t>TCGA-61-1907</t>
  </si>
  <si>
    <t>TCGA-61-1913</t>
  </si>
  <si>
    <t>TCGA-61-1914</t>
  </si>
  <si>
    <t>TCGA-25-2408</t>
  </si>
  <si>
    <t>TCGA-29-1688</t>
  </si>
  <si>
    <t>TCGA-29-1690</t>
  </si>
  <si>
    <t>TCGA-29-1691</t>
  </si>
  <si>
    <t>TCGA-29-1692</t>
  </si>
  <si>
    <t>TCGA-29-1694</t>
  </si>
  <si>
    <t>TCGA-29-1695</t>
  </si>
  <si>
    <t>TCGA-29-1696</t>
  </si>
  <si>
    <t>TCGA-61-1917</t>
  </si>
  <si>
    <t>TCGA-29-1703</t>
  </si>
  <si>
    <t>TCGA-29-1705</t>
  </si>
  <si>
    <t>TCGA-29-1707</t>
  </si>
  <si>
    <t>TCGA-29-1710</t>
  </si>
  <si>
    <t>TCGA-29-1711</t>
  </si>
  <si>
    <t>TCGA-29-1762</t>
  </si>
  <si>
    <t>TCGA-29-1763</t>
  </si>
  <si>
    <t>TCGA-29-1764</t>
  </si>
  <si>
    <t>TCGA-29-1766</t>
  </si>
  <si>
    <t>TCGA-29-1770</t>
  </si>
  <si>
    <t>TCGA-29-1771</t>
  </si>
  <si>
    <t>TCGA-29-1775</t>
  </si>
  <si>
    <t>TCGA-29-1777</t>
  </si>
  <si>
    <t>TCGA-29-2414</t>
  </si>
  <si>
    <t>TCGA-29-2425</t>
  </si>
  <si>
    <t>TCGA-29-2431</t>
  </si>
  <si>
    <t>TCGA-29-2436</t>
  </si>
  <si>
    <t>TCGA-61-1918</t>
  </si>
  <si>
    <t>TCGA-61-1995</t>
  </si>
  <si>
    <t>TCGA-61-1998</t>
  </si>
  <si>
    <t>TCGA-30-1859</t>
  </si>
  <si>
    <t>TCGA-61-2000</t>
  </si>
  <si>
    <t>TCGA-30-1862</t>
  </si>
  <si>
    <t>TCGA-30-1866</t>
  </si>
  <si>
    <t>TCGA-30-1867</t>
  </si>
  <si>
    <t>TCGA-30-1887</t>
  </si>
  <si>
    <t>TCGA-30-1891</t>
  </si>
  <si>
    <t>TCGA-61-2002</t>
  </si>
  <si>
    <t>TCGA-31-1950</t>
  </si>
  <si>
    <t>TCGA-31-1959</t>
  </si>
  <si>
    <t>TCGA-61-2009</t>
  </si>
  <si>
    <t>TCGA-61-2016</t>
  </si>
  <si>
    <t>TCGA-36-1577</t>
  </si>
  <si>
    <t>TCGA-36-1581</t>
  </si>
  <si>
    <t>TCGA-61-2088</t>
  </si>
  <si>
    <t>TCGA-36-2539</t>
  </si>
  <si>
    <t>TCGA-36-2540</t>
  </si>
  <si>
    <t>TCGA-61-2092</t>
  </si>
  <si>
    <t>TCGA-36-2549</t>
  </si>
  <si>
    <t>TCGA-36-2552</t>
  </si>
  <si>
    <t>TCGA-42-2590</t>
  </si>
  <si>
    <t>TCGA-42-2591</t>
  </si>
  <si>
    <t>TCGA-42-2593</t>
  </si>
  <si>
    <t>TCGA-57-1992</t>
  </si>
  <si>
    <t>TCGA-57-1994</t>
  </si>
  <si>
    <t>TCGA-61-2094</t>
  </si>
  <si>
    <t>TCGA-59-2349</t>
  </si>
  <si>
    <t>TCGA-61-2102</t>
  </si>
  <si>
    <t>TCGA-61-2109</t>
  </si>
  <si>
    <t>TCGA-61-2111</t>
  </si>
  <si>
    <t>TCGA-59-2372</t>
  </si>
  <si>
    <t>TCGA-61-1721</t>
  </si>
  <si>
    <t>TCGA-61-1722</t>
  </si>
  <si>
    <t>cyclophosphamide/mitoxantrone/vincristine</t>
  </si>
  <si>
    <t>TCGA-61-1727</t>
  </si>
  <si>
    <t>TCGA-61-1730</t>
  </si>
  <si>
    <t>TCGA-61-1734</t>
  </si>
  <si>
    <t>TCGA-61-2610</t>
  </si>
  <si>
    <t>TCGA-61-1743</t>
  </si>
  <si>
    <t>TCGA-61-1903</t>
  </si>
  <si>
    <t>TCGA-61-1910</t>
  </si>
  <si>
    <t>TCGA-61-1911</t>
  </si>
  <si>
    <t>TCGA-61-1915</t>
  </si>
  <si>
    <t>TCGA-61-1916</t>
  </si>
  <si>
    <t>TCGA-61-2611</t>
  </si>
  <si>
    <t>TCGA-61-2612</t>
  </si>
  <si>
    <t>TCGA-61-1919</t>
  </si>
  <si>
    <t>TCGA-61-2003</t>
  </si>
  <si>
    <t>TCGA-61-2008</t>
  </si>
  <si>
    <t>TCGA-61-2012</t>
  </si>
  <si>
    <t>TCGA-61-2613</t>
  </si>
  <si>
    <t>TCGA-61-2017</t>
  </si>
  <si>
    <t>TCGA-61-2018</t>
  </si>
  <si>
    <t>TCGA-61-2087</t>
  </si>
  <si>
    <t>TCGA-61-2095</t>
  </si>
  <si>
    <t>TCGA-61-2096</t>
  </si>
  <si>
    <t>TCGA-61-2097</t>
  </si>
  <si>
    <t>TCGA-61-2098</t>
  </si>
  <si>
    <t>TCGA-61-2101</t>
  </si>
  <si>
    <t>gemcitabine/altretamine</t>
  </si>
  <si>
    <t>TCGA-61-2104</t>
  </si>
  <si>
    <t>TCGA-61-2110</t>
  </si>
  <si>
    <t>interleukin-2</t>
  </si>
  <si>
    <t>TCGA-61-2113</t>
  </si>
  <si>
    <t>TCGA-61-2614</t>
  </si>
  <si>
    <t>TCGA-72-4231</t>
  </si>
  <si>
    <t>TCGA-72-4232</t>
  </si>
  <si>
    <t>TCGA-72-4233</t>
  </si>
  <si>
    <t>TCGA-72-4234</t>
  </si>
  <si>
    <t>TCGA-72-4235</t>
  </si>
  <si>
    <t>TCGA-72-4236</t>
  </si>
  <si>
    <t>TCGA-72-4237</t>
  </si>
  <si>
    <t>TCGA-72-4238</t>
  </si>
  <si>
    <t>TCGA-72-4240</t>
  </si>
  <si>
    <t>TCGA-72-4241</t>
  </si>
  <si>
    <t>Entire data set</t>
  </si>
  <si>
    <t>Colors are chosen based on single agent therapy in certain lines</t>
  </si>
  <si>
    <t>Clinical_benefit of single line or dual line agents is the sum of all single agent/dual agents in all chemotehrapy regimens</t>
  </si>
  <si>
    <t xml:space="preserve">Outcome (censoring) of single agent/dual agent therapies is based upon completion of single or dual line therapy and overall vital status. </t>
  </si>
  <si>
    <t xml:space="preserve">Outcome (censoring) of overall survival is based upon vital status. </t>
  </si>
  <si>
    <t>Clinical benefit of single drugs in all regimens is a cumulative sum of clinical benefit as single agent as well as combination therapy. Does not isolate singel agent therapy as the prievous columns</t>
  </si>
  <si>
    <t>Comments:</t>
  </si>
  <si>
    <t>bortezomib</t>
  </si>
  <si>
    <t>chemo says carbo/topo oncurrnt with carbo/taxol. Does not make sense to receive two regimens at once. Will grade as carbo/taxol. Gemcitabine also mentioned but no dates given.  Data is not fully reliable on this record</t>
  </si>
  <si>
    <t>unclear if this patient has received more chemotehrapy since she is classified as still living and had only 1 cycle of gemcitabine. Potential for long term tamoxifen benefit</t>
  </si>
  <si>
    <t>this record is very unlcear as to chemo reigmens</t>
  </si>
  <si>
    <t>no chemo data</t>
  </si>
  <si>
    <t>documented as receiveng 5 agesnt at once after first line</t>
  </si>
  <si>
    <t>did not apparently receive adjuvant therapy</t>
  </si>
  <si>
    <t>no data</t>
  </si>
  <si>
    <t>Did not receive adjuvant therapy, but was seemingly cured after recurrence</t>
  </si>
  <si>
    <t>doxorubicin/bevacizumab</t>
  </si>
  <si>
    <t>data is unreliable, no dates</t>
  </si>
  <si>
    <t xml:space="preserve">no record of treatment for two years after recurrence. </t>
  </si>
  <si>
    <t>plat/gem changed to plat tax presumed due to toxicity, no recurrence at the time. Categorized as plat/gem/tax</t>
  </si>
  <si>
    <t>irolfluvin</t>
  </si>
  <si>
    <t>more than 6 regimens</t>
  </si>
  <si>
    <t>this record is not clear. Why would 57 year old with 4 yr response not receive more chemotherapy prior to death?</t>
  </si>
  <si>
    <t>dates not listed for topo and doxo</t>
  </si>
  <si>
    <t>dates not listed for 2-4th line agents</t>
  </si>
  <si>
    <t>no drug after recurrence listed, may have not received 2nd line therpay due to age</t>
  </si>
  <si>
    <t>First chemotherapy regimen clinical benefit is calculated by subtracting day of chemo start from lowest of following: days_to_progression, days_to_recurrence, days_to_death, or date of next chemo start</t>
  </si>
  <si>
    <t>See comments column for data that see awry and my justification based on clinical experience</t>
  </si>
  <si>
    <t>no adjuvant therapy recorded, presumed treatment started at recurrence</t>
  </si>
  <si>
    <t>only receivd 50 days of topotecan per data. Pt is 55 years old and no therpay recorded for up to 5 years. I think data set is incomplete therefore will only include first line data</t>
  </si>
  <si>
    <t>received one dose of carbo taxol and then changed to cis gem. Will classify firtst line therapy as cis gem</t>
  </si>
  <si>
    <t>strange case as patient was quite oung and only received 1 cycle of chemotherapy. Possible that pt died of unrelated cause or that record is incomplete</t>
  </si>
  <si>
    <t>received tamoxifen in adjuvant fashion after plat/tax, but no recorded therapy after recurrence until day 916 with single agent plat</t>
  </si>
  <si>
    <t>also received 2 months of carbo in the middle of doxil therapy but liekly all benefit from doxil</t>
  </si>
  <si>
    <t xml:space="preserve">alos treated with estrogen therapy but unclear whther she had active disease at the time. </t>
  </si>
  <si>
    <t>case may not have all data. Lived more than a year after recurrence with no therapy documented</t>
  </si>
  <si>
    <t xml:space="preserve">data may be incomplete. Leved 3 years after recurrence with only 1 month of taxol documented. </t>
  </si>
  <si>
    <t xml:space="preserve">data may be incomplete. Leved 3 years after recurrence with no further therapy. </t>
  </si>
  <si>
    <t xml:space="preserve">data may be incomplete. Received 2 years after recurrence with no further therapy. </t>
  </si>
  <si>
    <t>data incomplete. No chemo after recurrence documented</t>
  </si>
  <si>
    <t>data incomplete. No chemo after recurrence documented. Also received bevacizumab adjuvantly</t>
  </si>
  <si>
    <t xml:space="preserve">data incomplete. No chemo after recurrence documented. </t>
  </si>
  <si>
    <t>data incongruous. May have received neoadjuvant therapy, though no treatemetn after recurrence</t>
  </si>
  <si>
    <t xml:space="preserve">Last date of chemotherapy listed as 1071 so this is used as total days. </t>
  </si>
  <si>
    <t>Incomplete data. Had recurrence but no documented chemo beyond adjuvant</t>
  </si>
  <si>
    <t>Total overall days is largesst number of all inputed values (days to death, progression, follow, recurrence, time to last chemo</t>
  </si>
  <si>
    <t>final date is from last chemo</t>
  </si>
  <si>
    <t>days to recurence is different than chemo dates</t>
  </si>
  <si>
    <t>recurrence noted much earlier then next chemo start date</t>
  </si>
  <si>
    <t xml:space="preserve">PLt/tax clinical benefit (if 1st 2 regimens were plt tax, then they are combined into the clinical benefit though they are differentiated from lines of chemo. </t>
  </si>
  <si>
    <t xml:space="preserve">no date of recurrence. Time to failure taken as time of chemo effectiveness of 1st line. </t>
  </si>
  <si>
    <t>time to failure/recurrence is 130 days prior to change to new chemo</t>
  </si>
  <si>
    <t>complex dataset</t>
  </si>
  <si>
    <t>very unlikely to have been cured with capecaitbien alone. Likely missing info</t>
  </si>
  <si>
    <t>plat tax changed to plat gem, liekly due to reaction to taxol as platinum stayed same. Will count as plat/tax/gem</t>
  </si>
  <si>
    <t>time to failure taken from chemo dates</t>
  </si>
  <si>
    <t>no treatment for 1 year aftern recurrence</t>
  </si>
  <si>
    <t>More than 6 regimens</t>
  </si>
  <si>
    <t>More than 6 regimens. Also days to death is different than days to last chemo. Apperas that days to death is in error as there are more chemo dates post death</t>
  </si>
  <si>
    <t>data incomplete</t>
  </si>
  <si>
    <t>also used bevcicumab</t>
  </si>
  <si>
    <t>no chemo</t>
  </si>
  <si>
    <t>did not start adjuvant chemp for 100+ days</t>
  </si>
  <si>
    <t>changed drug after 1st cycle due to persistent stable  will lable that as time to failure. Day to prog does not match chemo data</t>
  </si>
  <si>
    <t>record likely incomplete as se likely received more chemo</t>
  </si>
  <si>
    <t>data seems spotty, no second line therapy and early death in a young patient</t>
  </si>
  <si>
    <t>day to progression does not match chemo data</t>
  </si>
  <si>
    <t>More than 6 regimens also days to recurrence does not match chemh seems more reliableo data whic</t>
  </si>
  <si>
    <t>platinum/taxane/amitostine</t>
  </si>
  <si>
    <t xml:space="preserve">no chemo data follwing first recurrence. </t>
  </si>
  <si>
    <t>Treated with bevacizumab</t>
  </si>
  <si>
    <t>first line therpay with p53 adenovirus</t>
  </si>
  <si>
    <t xml:space="preserve">recurrence does not match chemo data. </t>
  </si>
  <si>
    <t>first line given concurrently with presumably amifostine</t>
  </si>
  <si>
    <t xml:space="preserve">6th regimen may not be correct as there is no fuether therapy noted for ? 8 yeratrs. </t>
  </si>
  <si>
    <t xml:space="preserve">incongruence regarding death and recurrence times. </t>
  </si>
  <si>
    <t>Cycles_of_adjuvant_therapy</t>
  </si>
  <si>
    <t>Adjuvant chemo calculated as cycles of drug given before documented recurrence or progression. May be combination chemo plus consolidation. Did not factor in bevacizumab as consolidation</t>
  </si>
  <si>
    <t>Adjuvant_chemotherapy_dose_intensity</t>
  </si>
  <si>
    <t>Adjuvant chemo dose intensity factors in total combined doses of chemo (ex: Carbo/Tax x 6 + tax X 12 = 24 doses, or Carbo/tax x 6 = 12)</t>
  </si>
  <si>
    <t>adjuvant therapy with traztuzumab</t>
  </si>
  <si>
    <t xml:space="preserve">data incomplete. No chemo after recurrence documented. Adjuvant bevacizumab </t>
  </si>
  <si>
    <t>cetuximab adjuvant therapy</t>
  </si>
  <si>
    <t>bevacizumab in adjuvant thrapy</t>
  </si>
  <si>
    <t>Incomplete data. Had recurrence but no documented chemo beyond adjuvant. Cetuximab during adjuvant</t>
  </si>
  <si>
    <t>given with amifostine (not chemo)</t>
  </si>
  <si>
    <t xml:space="preserve">chemo and days to death do not match. </t>
  </si>
  <si>
    <t xml:space="preserve">documented recurrence is different than new chemo. </t>
  </si>
  <si>
    <t>did not receive adjuvant therapy</t>
  </si>
  <si>
    <t>received bevacizumab adjuvant</t>
  </si>
  <si>
    <t>cannot assess. Chemo data does not make sense (5 adjuvant drugs?)</t>
  </si>
  <si>
    <t>incongruence with chemo and days to recurrence</t>
  </si>
  <si>
    <t>had residual disease, not recurrence. First recurrence at 839</t>
  </si>
  <si>
    <t>doxorubicin given with bevacizumab</t>
  </si>
  <si>
    <t>No adjuvant therapy documented</t>
  </si>
  <si>
    <t>just started plat tax as 2nd line. Overall survivial taken from last date of chemo</t>
  </si>
  <si>
    <t>2nd_chemo_regimen_days_outcome</t>
  </si>
  <si>
    <t>4th_chemo_regimen_days_outcome</t>
  </si>
  <si>
    <t>5th_chemo_regimen_days_outcome</t>
  </si>
  <si>
    <t>6th_chemo_regimen_days_outcome</t>
  </si>
  <si>
    <t>olaparib</t>
  </si>
  <si>
    <t>time to failure taken as date of chemo change</t>
  </si>
  <si>
    <t>no documented treatment after recurrence</t>
  </si>
  <si>
    <t>difficult to ascertain from data 2nd line therapy</t>
  </si>
  <si>
    <t>received bevacizumab adjuvant. Last dated noted in chemo</t>
  </si>
  <si>
    <t>bevacizumab given with taxane 2nd line. Overall survival taken from chemo dates</t>
  </si>
  <si>
    <t xml:space="preserve">bevacizumab and other monoclonal ab used </t>
  </si>
  <si>
    <t>overall survival taken from chemo dates</t>
  </si>
  <si>
    <t>adjuvant with abigovomab</t>
  </si>
  <si>
    <t>later cycle of therapy unclear from data</t>
  </si>
  <si>
    <t>no progression on chemo. Treatement continued for prolonged time due to microscopic disease</t>
  </si>
  <si>
    <t>appears to be no follow up</t>
  </si>
  <si>
    <t>tamoxifen given at recurrence</t>
  </si>
  <si>
    <t>chemo data incoherent but date of progression at 184</t>
  </si>
  <si>
    <t>chemo data does not match date of death</t>
  </si>
  <si>
    <t>complex and incomplete chemo data</t>
  </si>
  <si>
    <t>got chemo for recurrence in 741. More than 6 regimens</t>
  </si>
  <si>
    <t>Legend for data columns</t>
  </si>
  <si>
    <t>Censoring based on vital_status : Living = 0, deceased = 1</t>
  </si>
  <si>
    <t xml:space="preserve">This value is calculated as the difference of the start date of 4th chemo regimen from: 5th chemo regimen, days_to_death, days_to_last follow_up depending on number of total therapeutic regimens.  </t>
  </si>
  <si>
    <t xml:space="preserve">This value is calculated as the difference of the start date of 3rd chemo regimen from: 4th chemo regimen, days_to_death, days_to_last follow_up depending on number of total therapeutic regimens.  </t>
  </si>
  <si>
    <t xml:space="preserve">This value is calculated as the difference of the start date of 5th chemo regimen from: 6th chemo regimen, days_to_death, days_to_last follow_up depending on number of total therapeutic regimens. </t>
  </si>
  <si>
    <t xml:space="preserve">This value is calculated as the difference of the start date of 6th chemo regimen from: 7th chemo regimen, days_to_death, days_to_last follow_up depending on number of total therapeutic regimens.  </t>
  </si>
  <si>
    <t>1st_regimen - 6th_regimen</t>
  </si>
  <si>
    <t xml:space="preserve">Calculated from chemotherapy data as total cycles of first line or adjuvant therapy. </t>
  </si>
  <si>
    <t>time to failure taken as date of chemo change. Recurrence is minimal residual disease</t>
  </si>
  <si>
    <t>receving consolidation chemo without active disease</t>
  </si>
  <si>
    <t xml:space="preserve">This is calculated as the latest date found in any of the following columns:  days_to_death, days_to_last_followup, days_to_progression, days_to_recurrence,  or date of last chemotherapy </t>
  </si>
  <si>
    <t>This value is calculated as the difference of the start date of 2nd chemo regimen from: 3rd chemo regimen, days_to_death, days_to_last follow_up depending on number of total therapeutic regimens.  (e.g. 3rd line chemo start date = 450, 2nd line start date is 150, then 2nd chemo regimen days = 300.)</t>
  </si>
  <si>
    <t>Calculated from chemotherapy data as drug intensity based on number of drugs given and total cycles.  (i.e. 6 cycles of 3 drug therapy = 18)</t>
  </si>
  <si>
    <t xml:space="preserve">This value is calculated as the cumulative total clinical benefit of single agent platinum given in absence of other drugs in any regimen of therapy </t>
  </si>
  <si>
    <t xml:space="preserve">This value is calculated as the cumulative total clinical benefit of single agent taxane given in absence of other drugs in any regimen of therapy </t>
  </si>
  <si>
    <t xml:space="preserve">This value is calculated as the cumulative total clinical benefit of single agent doxorubicin given in absence of other drugs in any regimen of therapy </t>
  </si>
  <si>
    <t xml:space="preserve">This value is calculated as the cumulative total clinical benefit of single agent topotecan given in absence of other drugs in any regimen of therapy </t>
  </si>
  <si>
    <t xml:space="preserve">For Clinical benefit columns, censoring is set at 1 only if they have progressed on the last time the regimen was given.  (e.g. if pt received platinum taxane as line 1 (300 days) and line 4 400 days but is still on platinum taxane as line 4, then censoring is 0. </t>
  </si>
  <si>
    <t>`</t>
  </si>
  <si>
    <t>Last day of platinum 1st line</t>
  </si>
  <si>
    <t>unclear</t>
  </si>
  <si>
    <t xml:space="preserve">Acording to chemo log, had progression at 223 days. </t>
  </si>
  <si>
    <t>Days off platinum prior to recurrence 1st line</t>
  </si>
  <si>
    <t>Chemotherapy number of lines of therapy</t>
  </si>
  <si>
    <t>1st_chemo_regimen_clinical_benefit_days_outcome</t>
  </si>
  <si>
    <t>3rd_chemo_regimen_clinical_benefit_days_outcome</t>
  </si>
  <si>
    <t>cumulative_clinical_benefit_platinum_taxane_dual_agent</t>
  </si>
  <si>
    <t>cumulative_clinical_benefit_platinum_single_agent</t>
  </si>
  <si>
    <t>cumulative_clinical_benefit_taxane_single_agent</t>
  </si>
  <si>
    <t>cumulative_clinical_benefit_doxorubicin_single_agent</t>
  </si>
  <si>
    <t>cumulative_clinical_benefit_topotecan_single_agent</t>
  </si>
  <si>
    <t>cumulative_clinical_benefit_gemcitabine_single_agent</t>
  </si>
  <si>
    <t>cumulative_clinical_benefit_platinum_gemcitabine_dual_agent</t>
  </si>
  <si>
    <r>
      <t xml:space="preserve">Platinum/Taxane, </t>
    </r>
    <r>
      <rPr>
        <b/>
        <sz val="12"/>
        <color theme="0" tint="-0.34998626667073579"/>
        <rFont val="Calibri"/>
        <scheme val="minor"/>
      </rPr>
      <t xml:space="preserve">Platinum, </t>
    </r>
    <r>
      <rPr>
        <b/>
        <sz val="12"/>
        <color rgb="FFFF0000"/>
        <rFont val="Calibri"/>
        <scheme val="minor"/>
      </rPr>
      <t xml:space="preserve">Doxorubicin, </t>
    </r>
    <r>
      <rPr>
        <b/>
        <sz val="12"/>
        <color rgb="FF00FF00"/>
        <rFont val="Calibri"/>
        <scheme val="minor"/>
      </rPr>
      <t xml:space="preserve">Topotecan, </t>
    </r>
    <r>
      <rPr>
        <b/>
        <sz val="12"/>
        <color rgb="FF3366FF"/>
        <rFont val="Calibri"/>
        <scheme val="minor"/>
      </rPr>
      <t xml:space="preserve">Gemcitabine, </t>
    </r>
    <r>
      <rPr>
        <b/>
        <sz val="12"/>
        <color rgb="FF00FFFF"/>
        <rFont val="Calibri"/>
        <scheme val="minor"/>
      </rPr>
      <t>Platinum/gemcitabine</t>
    </r>
  </si>
  <si>
    <t>Colors are chosen based on therapy in certain lines</t>
  </si>
  <si>
    <t xml:space="preserve">This is the difference of last day of platinum 1st line  from time to failure in patients that have recurred.  IN patients currently free of disease, I subtracted last day of platinum from total days/overall survival  to get days off drug. </t>
  </si>
  <si>
    <t>Data set downloaded 2011Aug09</t>
  </si>
  <si>
    <t>See comments column for data that is not clear in dataset which contains justification based on clinical experience</t>
  </si>
  <si>
    <t>This column represents the earliest of days_to_death, days_to_progression, days_to_recurrence, days_to_last_followup.  If these data do not exist, then date of initiation of 2nd line therapy suggestive of disease progression or recurrence taken as time_to_failure. This does not include changes in therapy still considered adjuvant in nature or minimal residual disease.   Value is taken from time of diagnosis and is not based on chemo start date.  Patient that are still disease free are annotated as "free"</t>
  </si>
  <si>
    <t xml:space="preserve">This value is calculated as the difference of day of chemotherapy start date to time_to_failure. If no start date given on chemo datasheet, then assumed to be 0.  </t>
  </si>
  <si>
    <t>Standardized format for classifying numbered chemotherapy regimens administered.  Separated based on drug classes and/or comnbinations of drug classes (i.e. platinum, taxane, gemcitabine, doxorubicin, topotecan)  platinum = cisplatin, carboplatin or oxaliplatin, taxane = docetaxel or paclitaxel,  doxorubicin = liposomal doxorubicin or nonliposomal doxorubicin</t>
  </si>
  <si>
    <t xml:space="preserve">This value is calculated as the cumulative total clinical benefit of platinum/taxane combination in any/all regimens of therapy (i.e. 1st regimen plat/tax= 200 days, 4th regimen plat/tax = 400 days then cumulative clinical benefit = 600 days).  This incorporates overall clinical benefit derived from different chemotherapy combinations. </t>
  </si>
  <si>
    <t xml:space="preserve">This value is calculated as the cumulative total clinical benefit of single agent gemcitabine given in absence of other drugs in any regimen of therapy </t>
  </si>
  <si>
    <t>This value is calculated as the cumulative total clinical benefit of platinum/gemcitabine combination in any/all regimens of therapy.</t>
  </si>
  <si>
    <t>Censoring Cumulative Clinical benefit</t>
  </si>
  <si>
    <t>This is equal to days to drug end for 1st line chemotherapy. IN cases where there was no data, it was estimated at 21 days per cycle plus days to beginning therapy.  (if no cycle information, then assumption that 6 cycles were given.)</t>
  </si>
  <si>
    <t>1st_chemo_regimen_TTF_days</t>
  </si>
  <si>
    <t>2nd_chemo_regimen_TTF_days</t>
  </si>
  <si>
    <t>3rd_chemo_regimen_TTF_days</t>
  </si>
  <si>
    <t>4th_chemo_regimen_TTF_days</t>
  </si>
  <si>
    <t>5th_chemo_regimen_TTF_days</t>
  </si>
  <si>
    <t>6th_chemo_regimen_TTF_days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</si>
</sst>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scheme val="minor"/>
    </font>
    <font>
      <b/>
      <sz val="11"/>
      <name val="Verdana"/>
    </font>
    <font>
      <sz val="11"/>
      <color theme="1"/>
      <name val="Calibri"/>
      <family val="2"/>
      <scheme val="minor"/>
    </font>
    <font>
      <u/>
      <sz val="12"/>
      <color theme="10"/>
      <name val="Calibri"/>
      <family val="2"/>
      <scheme val="minor"/>
    </font>
    <font>
      <u/>
      <sz val="12"/>
      <color theme="11"/>
      <name val="Calibri"/>
      <family val="2"/>
      <scheme val="minor"/>
    </font>
    <font>
      <sz val="12"/>
      <name val="Calibri"/>
      <scheme val="minor"/>
    </font>
    <font>
      <sz val="12"/>
      <color rgb="FFFF0000"/>
      <name val="Calibri"/>
      <family val="2"/>
      <scheme val="minor"/>
    </font>
    <font>
      <sz val="12"/>
      <color rgb="FF000000"/>
      <name val="Calibri"/>
      <family val="2"/>
      <scheme val="minor"/>
    </font>
    <font>
      <b/>
      <sz val="11"/>
      <color theme="1"/>
      <name val="Verdana"/>
    </font>
    <font>
      <b/>
      <sz val="12"/>
      <color rgb="FFFF6600"/>
      <name val="Calibri"/>
      <scheme val="minor"/>
    </font>
    <font>
      <b/>
      <sz val="12"/>
      <color theme="0" tint="-0.34998626667073579"/>
      <name val="Calibri"/>
      <scheme val="minor"/>
    </font>
    <font>
      <b/>
      <sz val="12"/>
      <color rgb="FFFF0000"/>
      <name val="Calibri"/>
      <scheme val="minor"/>
    </font>
    <font>
      <b/>
      <sz val="12"/>
      <color rgb="FF00FF00"/>
      <name val="Calibri"/>
      <scheme val="minor"/>
    </font>
    <font>
      <b/>
      <sz val="12"/>
      <color rgb="FF3366FF"/>
      <name val="Calibri"/>
      <scheme val="minor"/>
    </font>
    <font>
      <b/>
      <sz val="12"/>
      <color rgb="FF00FFFF"/>
      <name val="Calibri"/>
      <scheme val="minor"/>
    </font>
    <font>
      <b/>
      <sz val="14"/>
      <color theme="1"/>
      <name val="Calibri"/>
      <family val="2"/>
      <scheme val="minor"/>
    </font>
    <font>
      <b/>
      <sz val="14"/>
      <color rgb="FF000000"/>
      <name val="Calibri"/>
      <family val="2"/>
      <scheme val="minor"/>
    </font>
    <font>
      <b/>
      <sz val="14"/>
      <name val="Arial Narrow"/>
    </font>
    <font>
      <b/>
      <sz val="14"/>
      <color theme="1"/>
      <name val="Arial Narrow"/>
    </font>
  </fonts>
  <fills count="14">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rgb="FFFF0000"/>
        <bgColor indexed="64"/>
      </patternFill>
    </fill>
    <fill>
      <patternFill patternType="solid">
        <fgColor rgb="FFFF6600"/>
        <bgColor indexed="64"/>
      </patternFill>
    </fill>
    <fill>
      <patternFill patternType="solid">
        <fgColor rgb="FF3366FF"/>
        <bgColor indexed="64"/>
      </patternFill>
    </fill>
    <fill>
      <patternFill patternType="solid">
        <fgColor rgb="FF00FA00"/>
        <bgColor indexed="64"/>
      </patternFill>
    </fill>
    <fill>
      <patternFill patternType="solid">
        <fgColor rgb="FF35FFF3"/>
        <bgColor indexed="64"/>
      </patternFill>
    </fill>
    <fill>
      <patternFill patternType="solid">
        <fgColor theme="0" tint="-0.249977111117893"/>
        <bgColor indexed="64"/>
      </patternFill>
    </fill>
    <fill>
      <patternFill patternType="solid">
        <fgColor rgb="FF008000"/>
        <bgColor indexed="64"/>
      </patternFill>
    </fill>
    <fill>
      <patternFill patternType="solid">
        <fgColor rgb="FF00FFFF"/>
        <bgColor indexed="64"/>
      </patternFill>
    </fill>
    <fill>
      <patternFill patternType="solid">
        <fgColor theme="0"/>
        <bgColor indexed="64"/>
      </patternFill>
    </fill>
    <fill>
      <patternFill patternType="solid">
        <fgColor rgb="FF00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33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6">
    <xf numFmtId="0" fontId="0" fillId="0" borderId="0" xfId="0"/>
    <xf numFmtId="0" fontId="0" fillId="2" borderId="1" xfId="0" applyFill="1" applyBorder="1"/>
    <xf numFmtId="0" fontId="0" fillId="0" borderId="0" xfId="0" applyBorder="1"/>
    <xf numFmtId="0" fontId="0" fillId="2" borderId="2" xfId="0" applyFill="1" applyBorder="1"/>
    <xf numFmtId="0" fontId="0" fillId="3" borderId="0" xfId="0" applyFill="1"/>
    <xf numFmtId="0" fontId="0" fillId="4" borderId="0" xfId="0" applyFill="1"/>
    <xf numFmtId="0" fontId="0" fillId="5" borderId="0" xfId="0" applyFill="1"/>
    <xf numFmtId="0" fontId="0" fillId="6" borderId="0" xfId="0" applyFill="1"/>
    <xf numFmtId="0" fontId="0" fillId="0" borderId="0" xfId="0" applyFill="1"/>
    <xf numFmtId="0" fontId="0" fillId="7" borderId="0" xfId="0" applyFill="1"/>
    <xf numFmtId="0" fontId="0" fillId="8" borderId="0" xfId="0" applyFill="1"/>
    <xf numFmtId="0" fontId="0" fillId="9" borderId="0" xfId="0" applyFill="1"/>
    <xf numFmtId="0" fontId="0" fillId="0" borderId="0" xfId="0" applyFill="1" applyBorder="1"/>
    <xf numFmtId="0" fontId="0" fillId="2" borderId="1" xfId="0" applyNumberFormat="1" applyFill="1" applyBorder="1"/>
    <xf numFmtId="0" fontId="1" fillId="0" borderId="0" xfId="0" applyFont="1" applyFill="1" applyAlignment="1">
      <alignment wrapText="1"/>
    </xf>
    <xf numFmtId="0" fontId="1" fillId="2" borderId="1" xfId="0" applyFont="1" applyFill="1" applyBorder="1" applyAlignment="1">
      <alignment wrapText="1"/>
    </xf>
    <xf numFmtId="0" fontId="1" fillId="0" borderId="0" xfId="0" applyFont="1" applyFill="1" applyBorder="1" applyAlignment="1">
      <alignment wrapText="1"/>
    </xf>
    <xf numFmtId="0" fontId="1" fillId="2" borderId="2" xfId="0" applyFont="1" applyFill="1" applyBorder="1" applyAlignment="1">
      <alignment wrapText="1"/>
    </xf>
    <xf numFmtId="0" fontId="2" fillId="0" borderId="0" xfId="0" applyFont="1" applyAlignment="1">
      <alignment wrapText="1"/>
    </xf>
    <xf numFmtId="0" fontId="0" fillId="10" borderId="0" xfId="0" applyFill="1"/>
    <xf numFmtId="0" fontId="5" fillId="10" borderId="0" xfId="0" applyFont="1" applyFill="1"/>
    <xf numFmtId="0" fontId="0" fillId="11" borderId="0" xfId="0" applyFill="1"/>
    <xf numFmtId="0" fontId="0" fillId="12" borderId="0" xfId="0" applyFill="1"/>
    <xf numFmtId="0" fontId="0" fillId="13" borderId="0" xfId="0" applyFill="1"/>
    <xf numFmtId="0" fontId="6" fillId="0" borderId="0" xfId="0" applyFont="1" applyFill="1"/>
    <xf numFmtId="0" fontId="0" fillId="3" borderId="0" xfId="0" applyFill="1" applyBorder="1"/>
    <xf numFmtId="0" fontId="7" fillId="0" borderId="0" xfId="0" applyFont="1"/>
    <xf numFmtId="49" fontId="0" fillId="0" borderId="0" xfId="0" applyNumberFormat="1" applyAlignment="1">
      <alignment wrapText="1"/>
    </xf>
    <xf numFmtId="49" fontId="7" fillId="0" borderId="0" xfId="0" applyNumberFormat="1" applyFont="1" applyAlignment="1">
      <alignment wrapText="1"/>
    </xf>
    <xf numFmtId="0" fontId="8" fillId="0" borderId="0" xfId="0" applyFont="1" applyAlignment="1">
      <alignment wrapText="1"/>
    </xf>
    <xf numFmtId="49" fontId="9" fillId="0" borderId="0" xfId="0" applyNumberFormat="1" applyFont="1" applyAlignment="1">
      <alignment wrapText="1"/>
    </xf>
    <xf numFmtId="0" fontId="15" fillId="0" borderId="0" xfId="0" applyFont="1" applyFill="1"/>
    <xf numFmtId="0" fontId="16" fillId="0" borderId="0" xfId="0" applyFont="1"/>
    <xf numFmtId="0" fontId="17" fillId="0" borderId="0" xfId="0" applyFont="1" applyFill="1" applyBorder="1" applyAlignment="1">
      <alignment vertical="center" wrapText="1"/>
    </xf>
    <xf numFmtId="0" fontId="17" fillId="0" borderId="0" xfId="0" applyFont="1" applyFill="1" applyAlignment="1">
      <alignment vertical="center" wrapText="1"/>
    </xf>
    <xf numFmtId="0" fontId="18" fillId="0" borderId="0" xfId="0" applyFont="1" applyAlignment="1">
      <alignment vertical="center" wrapText="1"/>
    </xf>
  </cellXfs>
  <cellStyles count="3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604"/>
  <sheetViews>
    <sheetView showRuler="0" topLeftCell="AX2" workbookViewId="0">
      <pane ySplit="2060" activePane="bottomLeft"/>
      <selection pane="bottomLeft" activeCell="BU1" sqref="BU1"/>
    </sheetView>
  </sheetViews>
  <sheetFormatPr baseColWidth="10" defaultColWidth="12" defaultRowHeight="16" x14ac:dyDescent="0.2"/>
  <cols>
    <col min="1" max="1" width="13.6640625" customWidth="1"/>
  </cols>
  <sheetData>
    <row r="1" spans="1:72" s="18" customFormat="1" ht="90" customHeight="1" x14ac:dyDescent="0.2">
      <c r="A1" s="14" t="s">
        <v>0</v>
      </c>
      <c r="B1" s="15" t="s">
        <v>1</v>
      </c>
      <c r="C1" s="14" t="s">
        <v>2</v>
      </c>
      <c r="D1" s="14" t="s">
        <v>3</v>
      </c>
      <c r="E1" s="16" t="s">
        <v>4</v>
      </c>
      <c r="F1" s="14" t="s">
        <v>5</v>
      </c>
      <c r="G1" s="14" t="s">
        <v>6</v>
      </c>
      <c r="H1" s="16" t="s">
        <v>7</v>
      </c>
      <c r="I1" s="17" t="s">
        <v>8</v>
      </c>
      <c r="J1" s="14" t="s">
        <v>904</v>
      </c>
      <c r="K1" s="14" t="s">
        <v>905</v>
      </c>
      <c r="L1" s="14" t="s">
        <v>906</v>
      </c>
      <c r="M1" s="14" t="s">
        <v>907</v>
      </c>
      <c r="N1" s="14" t="s">
        <v>908</v>
      </c>
      <c r="O1" s="14" t="s">
        <v>909</v>
      </c>
      <c r="P1" s="14" t="s">
        <v>747</v>
      </c>
      <c r="Q1" s="14" t="s">
        <v>9</v>
      </c>
      <c r="R1" s="14" t="s">
        <v>10</v>
      </c>
      <c r="S1" s="14" t="s">
        <v>11</v>
      </c>
      <c r="T1" s="14" t="s">
        <v>12</v>
      </c>
      <c r="U1" s="14" t="s">
        <v>13</v>
      </c>
      <c r="V1" s="14" t="s">
        <v>14</v>
      </c>
      <c r="W1" s="14" t="s">
        <v>817</v>
      </c>
      <c r="X1" s="14" t="s">
        <v>819</v>
      </c>
      <c r="Y1" s="14" t="s">
        <v>884</v>
      </c>
      <c r="Z1" s="14" t="s">
        <v>15</v>
      </c>
      <c r="AA1" s="14" t="s">
        <v>885</v>
      </c>
      <c r="AB1" s="14" t="s">
        <v>16</v>
      </c>
      <c r="AC1" s="14" t="s">
        <v>886</v>
      </c>
      <c r="AD1" s="14" t="s">
        <v>17</v>
      </c>
      <c r="AE1" s="14" t="s">
        <v>887</v>
      </c>
      <c r="AF1" s="14" t="s">
        <v>18</v>
      </c>
      <c r="AG1" s="14" t="s">
        <v>888</v>
      </c>
      <c r="AH1" s="14" t="s">
        <v>19</v>
      </c>
      <c r="AI1" s="14" t="s">
        <v>889</v>
      </c>
      <c r="AJ1" s="14" t="s">
        <v>20</v>
      </c>
      <c r="AK1" s="14" t="s">
        <v>890</v>
      </c>
      <c r="AL1" s="14" t="s">
        <v>21</v>
      </c>
      <c r="AM1" s="14" t="s">
        <v>22</v>
      </c>
      <c r="AN1" s="14" t="s">
        <v>23</v>
      </c>
      <c r="AO1" s="14" t="s">
        <v>24</v>
      </c>
      <c r="AP1" s="14" t="s">
        <v>25</v>
      </c>
      <c r="AQ1" s="14" t="s">
        <v>26</v>
      </c>
      <c r="AR1" s="14" t="s">
        <v>27</v>
      </c>
      <c r="AS1" s="14" t="s">
        <v>28</v>
      </c>
      <c r="AT1" s="14" t="s">
        <v>29</v>
      </c>
      <c r="AU1" s="14" t="s">
        <v>30</v>
      </c>
      <c r="AV1" s="14" t="s">
        <v>31</v>
      </c>
      <c r="AW1" s="14" t="s">
        <v>32</v>
      </c>
      <c r="AX1" s="14" t="s">
        <v>33</v>
      </c>
      <c r="AY1" s="14" t="s">
        <v>34</v>
      </c>
      <c r="AZ1" s="14" t="s">
        <v>35</v>
      </c>
      <c r="BA1" s="14" t="s">
        <v>36</v>
      </c>
      <c r="BB1" s="14" t="s">
        <v>37</v>
      </c>
      <c r="BC1" s="14" t="s">
        <v>38</v>
      </c>
      <c r="BD1" s="14" t="s">
        <v>39</v>
      </c>
      <c r="BE1" s="14" t="s">
        <v>40</v>
      </c>
      <c r="BF1" s="14" t="s">
        <v>41</v>
      </c>
      <c r="BG1" s="14" t="s">
        <v>42</v>
      </c>
      <c r="BH1" s="14" t="s">
        <v>43</v>
      </c>
      <c r="BI1" s="14" t="s">
        <v>44</v>
      </c>
      <c r="BJ1" s="14" t="s">
        <v>45</v>
      </c>
      <c r="BK1" s="14" t="s">
        <v>46</v>
      </c>
      <c r="BL1" s="14" t="s">
        <v>882</v>
      </c>
      <c r="BM1" s="14" t="s">
        <v>837</v>
      </c>
      <c r="BN1" s="14" t="s">
        <v>883</v>
      </c>
      <c r="BO1" s="14" t="s">
        <v>838</v>
      </c>
      <c r="BP1" s="14" t="s">
        <v>839</v>
      </c>
      <c r="BQ1" s="14" t="s">
        <v>840</v>
      </c>
      <c r="BR1" s="29" t="s">
        <v>880</v>
      </c>
      <c r="BS1" s="29" t="s">
        <v>877</v>
      </c>
      <c r="BT1" s="18" t="s">
        <v>881</v>
      </c>
    </row>
    <row r="2" spans="1:72" x14ac:dyDescent="0.2">
      <c r="A2" s="19" t="s">
        <v>47</v>
      </c>
      <c r="B2" s="1">
        <v>1336</v>
      </c>
      <c r="C2">
        <v>1</v>
      </c>
      <c r="D2" t="s">
        <v>48</v>
      </c>
      <c r="E2" s="2" t="s">
        <v>49</v>
      </c>
      <c r="F2">
        <v>1336</v>
      </c>
      <c r="G2">
        <v>1224</v>
      </c>
      <c r="H2" s="2">
        <v>459</v>
      </c>
      <c r="I2" s="3">
        <v>459</v>
      </c>
      <c r="J2" s="4">
        <f>459-36</f>
        <v>423</v>
      </c>
      <c r="K2" t="s">
        <v>50</v>
      </c>
      <c r="Q2" s="4" t="s">
        <v>51</v>
      </c>
      <c r="R2" t="s">
        <v>748</v>
      </c>
      <c r="W2">
        <v>6</v>
      </c>
      <c r="X2">
        <v>12</v>
      </c>
      <c r="Y2" s="4">
        <f>J2</f>
        <v>423</v>
      </c>
      <c r="Z2" s="4">
        <v>1</v>
      </c>
      <c r="AM2">
        <v>79</v>
      </c>
      <c r="AN2" t="s">
        <v>52</v>
      </c>
      <c r="AO2" t="s">
        <v>53</v>
      </c>
      <c r="AP2">
        <v>-28848</v>
      </c>
      <c r="AQ2">
        <v>0</v>
      </c>
      <c r="AR2" t="s">
        <v>54</v>
      </c>
      <c r="AS2" t="s">
        <v>55</v>
      </c>
      <c r="AT2" t="s">
        <v>55</v>
      </c>
      <c r="AU2" t="s">
        <v>56</v>
      </c>
      <c r="AV2">
        <v>1331</v>
      </c>
      <c r="AW2" t="s">
        <v>57</v>
      </c>
      <c r="AX2" t="s">
        <v>55</v>
      </c>
      <c r="AY2" t="s">
        <v>58</v>
      </c>
      <c r="AZ2" t="s">
        <v>59</v>
      </c>
      <c r="BA2" t="s">
        <v>55</v>
      </c>
      <c r="BB2" t="s">
        <v>49</v>
      </c>
      <c r="BC2" t="s">
        <v>49</v>
      </c>
      <c r="BD2" t="s">
        <v>49</v>
      </c>
      <c r="BE2" t="s">
        <v>55</v>
      </c>
      <c r="BF2">
        <v>4</v>
      </c>
      <c r="BG2" t="s">
        <v>60</v>
      </c>
      <c r="BH2" t="s">
        <v>61</v>
      </c>
      <c r="BI2" t="s">
        <v>62</v>
      </c>
      <c r="BJ2" t="s">
        <v>63</v>
      </c>
      <c r="BK2">
        <v>2004</v>
      </c>
      <c r="BL2">
        <v>1</v>
      </c>
      <c r="BR2">
        <f>I2-BS2</f>
        <v>290</v>
      </c>
      <c r="BS2">
        <v>169</v>
      </c>
      <c r="BT2">
        <f>COUNT(BL2:BQ2)</f>
        <v>1</v>
      </c>
    </row>
    <row r="3" spans="1:72" x14ac:dyDescent="0.2">
      <c r="A3" s="19" t="s">
        <v>64</v>
      </c>
      <c r="B3" s="1">
        <v>1247</v>
      </c>
      <c r="C3">
        <v>1</v>
      </c>
      <c r="D3" t="s">
        <v>48</v>
      </c>
      <c r="E3" s="2" t="s">
        <v>49</v>
      </c>
      <c r="F3">
        <v>1247</v>
      </c>
      <c r="G3">
        <v>1247</v>
      </c>
      <c r="H3" s="2">
        <v>395</v>
      </c>
      <c r="I3" s="3">
        <v>395</v>
      </c>
      <c r="J3" s="4">
        <f>395-30</f>
        <v>365</v>
      </c>
      <c r="K3" s="4">
        <v>547</v>
      </c>
      <c r="L3" s="4">
        <v>184</v>
      </c>
      <c r="M3" s="5">
        <v>90</v>
      </c>
      <c r="P3" t="s">
        <v>749</v>
      </c>
      <c r="Q3" s="4" t="s">
        <v>51</v>
      </c>
      <c r="R3" s="4" t="s">
        <v>51</v>
      </c>
      <c r="S3" s="4" t="s">
        <v>51</v>
      </c>
      <c r="T3" s="5" t="s">
        <v>65</v>
      </c>
      <c r="W3">
        <v>4</v>
      </c>
      <c r="X3">
        <v>8</v>
      </c>
      <c r="Y3" s="4">
        <f>J3+K3+L3</f>
        <v>1096</v>
      </c>
      <c r="Z3" s="4">
        <v>1</v>
      </c>
      <c r="AE3" s="5">
        <f>M3</f>
        <v>90</v>
      </c>
      <c r="AF3" s="5">
        <v>1</v>
      </c>
      <c r="AM3">
        <v>70</v>
      </c>
      <c r="AN3" t="s">
        <v>52</v>
      </c>
      <c r="AO3" t="s">
        <v>53</v>
      </c>
      <c r="AP3">
        <v>-25785</v>
      </c>
      <c r="AQ3">
        <v>0</v>
      </c>
      <c r="AR3" t="s">
        <v>54</v>
      </c>
      <c r="AS3" t="s">
        <v>55</v>
      </c>
      <c r="AT3" t="s">
        <v>55</v>
      </c>
      <c r="AU3" t="s">
        <v>56</v>
      </c>
      <c r="AV3">
        <v>1332</v>
      </c>
      <c r="AW3" t="s">
        <v>57</v>
      </c>
      <c r="AX3" t="s">
        <v>55</v>
      </c>
      <c r="AY3" t="s">
        <v>49</v>
      </c>
      <c r="AZ3" t="s">
        <v>59</v>
      </c>
      <c r="BA3" t="s">
        <v>55</v>
      </c>
      <c r="BB3" t="s">
        <v>49</v>
      </c>
      <c r="BC3" t="s">
        <v>49</v>
      </c>
      <c r="BD3" t="s">
        <v>66</v>
      </c>
      <c r="BE3" t="s">
        <v>55</v>
      </c>
      <c r="BF3">
        <v>4</v>
      </c>
      <c r="BG3" t="s">
        <v>60</v>
      </c>
      <c r="BH3" t="s">
        <v>61</v>
      </c>
      <c r="BI3" t="s">
        <v>62</v>
      </c>
      <c r="BJ3" t="s">
        <v>63</v>
      </c>
      <c r="BK3">
        <v>2002</v>
      </c>
      <c r="BL3">
        <v>1</v>
      </c>
      <c r="BM3">
        <v>1</v>
      </c>
      <c r="BN3">
        <v>1</v>
      </c>
      <c r="BO3">
        <v>1</v>
      </c>
      <c r="BR3">
        <f>I3-BS3</f>
        <v>214</v>
      </c>
      <c r="BS3">
        <v>181</v>
      </c>
      <c r="BT3">
        <f>COUNT(BL3:BQ3)</f>
        <v>4</v>
      </c>
    </row>
    <row r="4" spans="1:72" x14ac:dyDescent="0.2">
      <c r="A4" s="19" t="s">
        <v>510</v>
      </c>
      <c r="B4" s="1">
        <v>55</v>
      </c>
      <c r="C4">
        <v>1</v>
      </c>
      <c r="D4" s="8" t="s">
        <v>48</v>
      </c>
      <c r="E4" s="12" t="s">
        <v>49</v>
      </c>
      <c r="F4" s="8">
        <v>55</v>
      </c>
      <c r="G4" s="8">
        <v>55</v>
      </c>
      <c r="H4" s="12" t="s">
        <v>49</v>
      </c>
      <c r="I4" s="3">
        <v>55</v>
      </c>
      <c r="J4" s="8"/>
      <c r="K4" s="8"/>
      <c r="L4" s="8"/>
      <c r="M4" s="8"/>
      <c r="N4" s="8"/>
      <c r="O4" s="8"/>
      <c r="P4" s="8"/>
      <c r="Q4" s="8" t="s">
        <v>50</v>
      </c>
      <c r="R4" s="8"/>
      <c r="S4" s="8"/>
      <c r="T4" s="8"/>
      <c r="U4" s="8"/>
      <c r="V4" s="8"/>
      <c r="W4" s="8"/>
      <c r="X4" s="8"/>
      <c r="Y4" s="8"/>
      <c r="Z4" s="8"/>
      <c r="AA4" s="8"/>
      <c r="AB4" s="8"/>
      <c r="AC4" s="8"/>
      <c r="AD4" s="8"/>
      <c r="AE4" s="8"/>
      <c r="AF4" s="8"/>
      <c r="AG4" s="8"/>
      <c r="AH4" s="8"/>
      <c r="AI4" s="8"/>
      <c r="AJ4" s="8"/>
      <c r="AK4" s="8"/>
      <c r="AL4" s="8"/>
      <c r="AM4" s="8">
        <v>60</v>
      </c>
      <c r="AN4" s="8" t="s">
        <v>52</v>
      </c>
      <c r="AO4" s="8" t="s">
        <v>55</v>
      </c>
      <c r="AP4" s="8">
        <v>-21963</v>
      </c>
      <c r="AQ4" s="8">
        <v>0</v>
      </c>
      <c r="AR4" s="8" t="s">
        <v>54</v>
      </c>
      <c r="AS4" s="8" t="s">
        <v>55</v>
      </c>
      <c r="AT4" s="8" t="s">
        <v>55</v>
      </c>
      <c r="AU4" s="8" t="s">
        <v>56</v>
      </c>
      <c r="AV4" s="8">
        <v>1335</v>
      </c>
      <c r="AW4" s="8" t="s">
        <v>57</v>
      </c>
      <c r="AX4" s="8" t="s">
        <v>55</v>
      </c>
      <c r="AY4" s="8" t="s">
        <v>49</v>
      </c>
      <c r="AZ4" s="8" t="s">
        <v>111</v>
      </c>
      <c r="BA4" s="8" t="s">
        <v>55</v>
      </c>
      <c r="BB4" s="8" t="s">
        <v>49</v>
      </c>
      <c r="BC4" s="8" t="s">
        <v>49</v>
      </c>
      <c r="BD4" s="8" t="s">
        <v>49</v>
      </c>
      <c r="BE4" s="8" t="s">
        <v>55</v>
      </c>
      <c r="BF4" s="8">
        <v>4</v>
      </c>
      <c r="BG4" s="8" t="s">
        <v>511</v>
      </c>
      <c r="BH4" s="8" t="s">
        <v>49</v>
      </c>
      <c r="BI4" s="8" t="s">
        <v>512</v>
      </c>
      <c r="BJ4" s="8" t="s">
        <v>63</v>
      </c>
      <c r="BK4" s="8">
        <v>2005</v>
      </c>
      <c r="BT4">
        <f>COUNT(BL4:BQ4)</f>
        <v>0</v>
      </c>
    </row>
    <row r="5" spans="1:72" x14ac:dyDescent="0.2">
      <c r="A5" s="19" t="s">
        <v>67</v>
      </c>
      <c r="B5" s="1">
        <v>1495</v>
      </c>
      <c r="C5">
        <v>0</v>
      </c>
      <c r="D5" t="s">
        <v>68</v>
      </c>
      <c r="E5" s="2" t="s">
        <v>49</v>
      </c>
      <c r="F5" t="s">
        <v>49</v>
      </c>
      <c r="G5">
        <v>1495</v>
      </c>
      <c r="H5" s="2" t="s">
        <v>49</v>
      </c>
      <c r="I5" s="3" t="s">
        <v>69</v>
      </c>
      <c r="J5" s="4">
        <v>1495</v>
      </c>
      <c r="Q5" s="4" t="s">
        <v>51</v>
      </c>
      <c r="W5">
        <v>22</v>
      </c>
      <c r="X5">
        <f>12+16</f>
        <v>28</v>
      </c>
      <c r="Y5" s="4">
        <f>J5</f>
        <v>1495</v>
      </c>
      <c r="Z5" s="4">
        <v>0</v>
      </c>
      <c r="AM5">
        <v>55</v>
      </c>
      <c r="AN5" t="s">
        <v>52</v>
      </c>
      <c r="AO5" t="s">
        <v>53</v>
      </c>
      <c r="AP5">
        <v>-20270</v>
      </c>
      <c r="AQ5">
        <v>0</v>
      </c>
      <c r="AR5" t="s">
        <v>54</v>
      </c>
      <c r="AS5" t="s">
        <v>55</v>
      </c>
      <c r="AT5" t="s">
        <v>55</v>
      </c>
      <c r="AU5" t="s">
        <v>56</v>
      </c>
      <c r="AV5">
        <v>1336</v>
      </c>
      <c r="AW5" t="s">
        <v>70</v>
      </c>
      <c r="AX5" t="s">
        <v>55</v>
      </c>
      <c r="AY5" t="s">
        <v>58</v>
      </c>
      <c r="AZ5" t="s">
        <v>59</v>
      </c>
      <c r="BA5" t="s">
        <v>55</v>
      </c>
      <c r="BB5" t="s">
        <v>49</v>
      </c>
      <c r="BC5" t="s">
        <v>49</v>
      </c>
      <c r="BD5" t="s">
        <v>49</v>
      </c>
      <c r="BE5" t="s">
        <v>55</v>
      </c>
      <c r="BF5">
        <v>4</v>
      </c>
      <c r="BG5" t="s">
        <v>60</v>
      </c>
      <c r="BH5" t="s">
        <v>71</v>
      </c>
      <c r="BI5" t="s">
        <v>72</v>
      </c>
      <c r="BJ5" t="s">
        <v>63</v>
      </c>
      <c r="BK5">
        <v>2005</v>
      </c>
      <c r="BL5">
        <v>0</v>
      </c>
      <c r="BR5">
        <f>B5-BS5</f>
        <v>1351</v>
      </c>
      <c r="BS5">
        <v>144</v>
      </c>
      <c r="BT5">
        <f>COUNT(J5:O5)</f>
        <v>1</v>
      </c>
    </row>
    <row r="6" spans="1:72" x14ac:dyDescent="0.2">
      <c r="A6" s="19" t="s">
        <v>513</v>
      </c>
      <c r="B6" s="1">
        <v>61</v>
      </c>
      <c r="C6">
        <v>1</v>
      </c>
      <c r="D6" s="8" t="s">
        <v>48</v>
      </c>
      <c r="E6" s="12" t="s">
        <v>49</v>
      </c>
      <c r="F6" s="8">
        <v>61</v>
      </c>
      <c r="G6" s="8">
        <v>61</v>
      </c>
      <c r="H6" s="12" t="s">
        <v>49</v>
      </c>
      <c r="I6" s="3">
        <v>61</v>
      </c>
      <c r="J6" s="8"/>
      <c r="K6" s="8"/>
      <c r="L6" s="8"/>
      <c r="M6" s="8"/>
      <c r="N6" s="8"/>
      <c r="O6" s="8"/>
      <c r="P6" s="8"/>
      <c r="Q6" s="8" t="s">
        <v>50</v>
      </c>
      <c r="R6" s="8"/>
      <c r="S6" s="8"/>
      <c r="T6" s="8"/>
      <c r="U6" s="8"/>
      <c r="V6" s="8"/>
      <c r="W6" s="8"/>
      <c r="X6" s="8"/>
      <c r="Y6" s="8"/>
      <c r="Z6" s="8"/>
      <c r="AA6" s="8"/>
      <c r="AB6" s="8"/>
      <c r="AC6" s="8"/>
      <c r="AD6" s="8"/>
      <c r="AE6" s="8"/>
      <c r="AF6" s="8"/>
      <c r="AG6" s="8"/>
      <c r="AH6" s="8"/>
      <c r="AI6" s="8"/>
      <c r="AJ6" s="8"/>
      <c r="AK6" s="8"/>
      <c r="AL6" s="8"/>
      <c r="AM6" s="8">
        <v>78</v>
      </c>
      <c r="AN6" s="8" t="s">
        <v>52</v>
      </c>
      <c r="AO6" s="8" t="s">
        <v>55</v>
      </c>
      <c r="AP6" s="8">
        <v>-28625</v>
      </c>
      <c r="AQ6" s="8">
        <v>0</v>
      </c>
      <c r="AR6" s="8" t="s">
        <v>54</v>
      </c>
      <c r="AS6" s="8" t="s">
        <v>55</v>
      </c>
      <c r="AT6" s="8" t="s">
        <v>55</v>
      </c>
      <c r="AU6" s="8" t="s">
        <v>56</v>
      </c>
      <c r="AV6" s="8">
        <v>1337</v>
      </c>
      <c r="AW6" s="8" t="s">
        <v>57</v>
      </c>
      <c r="AX6" s="8" t="s">
        <v>55</v>
      </c>
      <c r="AY6" s="8" t="s">
        <v>49</v>
      </c>
      <c r="AZ6" s="8" t="s">
        <v>59</v>
      </c>
      <c r="BA6" s="8" t="s">
        <v>55</v>
      </c>
      <c r="BB6" s="8" t="s">
        <v>49</v>
      </c>
      <c r="BC6" s="8" t="s">
        <v>49</v>
      </c>
      <c r="BD6" s="8" t="s">
        <v>49</v>
      </c>
      <c r="BE6" s="8" t="s">
        <v>55</v>
      </c>
      <c r="BF6" s="8">
        <v>4</v>
      </c>
      <c r="BG6" s="8" t="s">
        <v>511</v>
      </c>
      <c r="BH6" s="8" t="s">
        <v>71</v>
      </c>
      <c r="BI6" s="8" t="s">
        <v>62</v>
      </c>
      <c r="BJ6" s="8" t="s">
        <v>63</v>
      </c>
      <c r="BK6" s="8">
        <v>2005</v>
      </c>
      <c r="BT6">
        <f>COUNT(BL6:BQ6)</f>
        <v>0</v>
      </c>
    </row>
    <row r="7" spans="1:72" x14ac:dyDescent="0.2">
      <c r="A7" s="19" t="s">
        <v>73</v>
      </c>
      <c r="B7" s="1">
        <v>1418</v>
      </c>
      <c r="C7">
        <v>0</v>
      </c>
      <c r="D7" t="s">
        <v>68</v>
      </c>
      <c r="E7" s="2" t="s">
        <v>49</v>
      </c>
      <c r="F7" t="s">
        <v>49</v>
      </c>
      <c r="G7">
        <v>1418</v>
      </c>
      <c r="H7" s="2">
        <v>380</v>
      </c>
      <c r="I7" s="3">
        <v>380</v>
      </c>
      <c r="J7" s="4">
        <v>380</v>
      </c>
      <c r="K7" s="6">
        <f>510-426</f>
        <v>84</v>
      </c>
      <c r="L7" s="7">
        <f>638-608</f>
        <v>30</v>
      </c>
      <c r="M7" t="s">
        <v>50</v>
      </c>
      <c r="P7" t="s">
        <v>750</v>
      </c>
      <c r="Q7" s="4" t="s">
        <v>51</v>
      </c>
      <c r="R7" s="6" t="s">
        <v>74</v>
      </c>
      <c r="S7" s="7" t="s">
        <v>75</v>
      </c>
      <c r="T7" t="s">
        <v>76</v>
      </c>
      <c r="W7" s="8">
        <v>8</v>
      </c>
      <c r="X7" s="8">
        <v>16</v>
      </c>
      <c r="Y7" s="4">
        <f>J7</f>
        <v>380</v>
      </c>
      <c r="Z7" s="4">
        <v>1</v>
      </c>
      <c r="AC7" s="6">
        <f>K7</f>
        <v>84</v>
      </c>
      <c r="AD7" s="6">
        <v>1</v>
      </c>
      <c r="AI7" s="7">
        <f>L7</f>
        <v>30</v>
      </c>
      <c r="AJ7" s="7">
        <v>1</v>
      </c>
      <c r="AK7" s="8"/>
      <c r="AL7" s="8"/>
      <c r="AM7">
        <v>78</v>
      </c>
      <c r="AN7" t="s">
        <v>52</v>
      </c>
      <c r="AO7" t="s">
        <v>53</v>
      </c>
      <c r="AP7">
        <v>-28788</v>
      </c>
      <c r="AQ7">
        <v>0</v>
      </c>
      <c r="AR7" t="s">
        <v>54</v>
      </c>
      <c r="AS7" t="s">
        <v>55</v>
      </c>
      <c r="AT7" t="s">
        <v>55</v>
      </c>
      <c r="AU7" t="s">
        <v>56</v>
      </c>
      <c r="AV7">
        <v>1338</v>
      </c>
      <c r="AW7" t="s">
        <v>57</v>
      </c>
      <c r="AX7" t="s">
        <v>55</v>
      </c>
      <c r="AY7" t="s">
        <v>49</v>
      </c>
      <c r="AZ7" t="s">
        <v>59</v>
      </c>
      <c r="BA7" t="s">
        <v>55</v>
      </c>
      <c r="BB7" t="s">
        <v>49</v>
      </c>
      <c r="BC7" t="s">
        <v>49</v>
      </c>
      <c r="BD7" t="s">
        <v>66</v>
      </c>
      <c r="BE7" t="s">
        <v>55</v>
      </c>
      <c r="BF7">
        <v>4</v>
      </c>
      <c r="BG7" t="s">
        <v>60</v>
      </c>
      <c r="BH7" t="s">
        <v>61</v>
      </c>
      <c r="BI7" t="s">
        <v>62</v>
      </c>
      <c r="BJ7" t="s">
        <v>63</v>
      </c>
      <c r="BK7">
        <v>2005</v>
      </c>
      <c r="BL7">
        <v>1</v>
      </c>
      <c r="BM7">
        <v>1</v>
      </c>
      <c r="BN7">
        <v>1</v>
      </c>
      <c r="BR7">
        <f>I7-BS7</f>
        <v>168</v>
      </c>
      <c r="BS7">
        <v>212</v>
      </c>
      <c r="BT7">
        <f>COUNT(J7:O7)</f>
        <v>3</v>
      </c>
    </row>
    <row r="8" spans="1:72" x14ac:dyDescent="0.2">
      <c r="A8" s="19" t="s">
        <v>514</v>
      </c>
      <c r="B8" s="1" t="s">
        <v>50</v>
      </c>
      <c r="C8">
        <v>0</v>
      </c>
      <c r="D8" s="8" t="s">
        <v>68</v>
      </c>
      <c r="E8" s="12" t="s">
        <v>49</v>
      </c>
      <c r="F8" s="8" t="s">
        <v>49</v>
      </c>
      <c r="G8" s="8" t="s">
        <v>49</v>
      </c>
      <c r="H8" s="12" t="s">
        <v>49</v>
      </c>
      <c r="I8" s="3" t="s">
        <v>50</v>
      </c>
      <c r="J8" s="8"/>
      <c r="K8" s="8"/>
      <c r="L8" s="8"/>
      <c r="M8" s="8"/>
      <c r="N8" s="8"/>
      <c r="O8" s="8"/>
      <c r="P8" s="8"/>
      <c r="Q8" s="8" t="s">
        <v>50</v>
      </c>
      <c r="R8" s="8"/>
      <c r="S8" s="8"/>
      <c r="T8" s="8"/>
      <c r="U8" s="8"/>
      <c r="V8" s="8"/>
      <c r="W8" s="8"/>
      <c r="X8" s="8"/>
      <c r="Y8" s="8"/>
      <c r="Z8" s="8"/>
      <c r="AA8" s="8"/>
      <c r="AB8" s="8"/>
      <c r="AC8" s="8"/>
      <c r="AD8" s="8"/>
      <c r="AE8" s="8"/>
      <c r="AF8" s="8"/>
      <c r="AG8" s="8"/>
      <c r="AH8" s="8"/>
      <c r="AI8" s="8"/>
      <c r="AJ8" s="8"/>
      <c r="AK8" s="8"/>
      <c r="AL8" s="8"/>
      <c r="AM8" s="8">
        <v>85</v>
      </c>
      <c r="AN8" s="8" t="s">
        <v>49</v>
      </c>
      <c r="AO8" s="8" t="s">
        <v>53</v>
      </c>
      <c r="AP8" s="8">
        <v>-31214</v>
      </c>
      <c r="AQ8" s="8">
        <v>0</v>
      </c>
      <c r="AR8" s="8" t="s">
        <v>54</v>
      </c>
      <c r="AS8" s="8" t="s">
        <v>55</v>
      </c>
      <c r="AT8" s="8" t="s">
        <v>55</v>
      </c>
      <c r="AU8" s="8" t="s">
        <v>49</v>
      </c>
      <c r="AV8" s="8">
        <v>1341</v>
      </c>
      <c r="AW8" s="8" t="s">
        <v>49</v>
      </c>
      <c r="AX8" s="8" t="s">
        <v>55</v>
      </c>
      <c r="AY8" s="8" t="s">
        <v>49</v>
      </c>
      <c r="AZ8" s="8" t="s">
        <v>49</v>
      </c>
      <c r="BA8" s="8" t="s">
        <v>55</v>
      </c>
      <c r="BB8" s="8" t="s">
        <v>49</v>
      </c>
      <c r="BC8" s="8" t="s">
        <v>49</v>
      </c>
      <c r="BD8" s="8" t="s">
        <v>49</v>
      </c>
      <c r="BE8" s="8" t="s">
        <v>55</v>
      </c>
      <c r="BF8" s="8">
        <v>4</v>
      </c>
      <c r="BG8" s="8" t="s">
        <v>60</v>
      </c>
      <c r="BH8" s="8" t="s">
        <v>49</v>
      </c>
      <c r="BI8" s="8" t="s">
        <v>49</v>
      </c>
      <c r="BJ8" s="8" t="s">
        <v>63</v>
      </c>
      <c r="BK8" s="8">
        <v>2006</v>
      </c>
      <c r="BT8">
        <f>COUNT(BL8:BQ8)</f>
        <v>0</v>
      </c>
    </row>
    <row r="9" spans="1:72" x14ac:dyDescent="0.2">
      <c r="A9" s="19" t="s">
        <v>515</v>
      </c>
      <c r="B9" s="1">
        <v>563</v>
      </c>
      <c r="C9">
        <v>1</v>
      </c>
      <c r="D9" s="8" t="s">
        <v>48</v>
      </c>
      <c r="E9" s="12" t="s">
        <v>49</v>
      </c>
      <c r="F9" s="8">
        <v>563</v>
      </c>
      <c r="G9" s="8">
        <v>563</v>
      </c>
      <c r="H9" s="12" t="s">
        <v>49</v>
      </c>
      <c r="I9" s="3" t="s">
        <v>50</v>
      </c>
      <c r="J9" s="8" t="s">
        <v>50</v>
      </c>
      <c r="K9" s="8"/>
      <c r="L9" s="8"/>
      <c r="M9" s="8"/>
      <c r="N9" s="8"/>
      <c r="O9" s="8"/>
      <c r="P9" s="8" t="s">
        <v>751</v>
      </c>
      <c r="Q9" s="8" t="s">
        <v>50</v>
      </c>
      <c r="R9" s="8"/>
      <c r="S9" s="8"/>
      <c r="T9" s="8"/>
      <c r="U9" s="8"/>
      <c r="V9" s="8"/>
      <c r="W9" s="8">
        <v>6</v>
      </c>
      <c r="X9" s="8">
        <v>6</v>
      </c>
      <c r="Y9" s="8"/>
      <c r="Z9" s="8"/>
      <c r="AA9" s="8"/>
      <c r="AB9" s="8"/>
      <c r="AC9" s="8"/>
      <c r="AD9" s="8"/>
      <c r="AE9" s="8"/>
      <c r="AF9" s="8"/>
      <c r="AG9" s="8"/>
      <c r="AH9" s="8"/>
      <c r="AI9" s="8"/>
      <c r="AJ9" s="8"/>
      <c r="AK9" s="8"/>
      <c r="AL9" s="8"/>
      <c r="AM9" s="8">
        <v>80</v>
      </c>
      <c r="AN9" s="8" t="s">
        <v>52</v>
      </c>
      <c r="AO9" s="8" t="s">
        <v>53</v>
      </c>
      <c r="AP9" s="8">
        <v>-29500</v>
      </c>
      <c r="AQ9" s="8">
        <v>0</v>
      </c>
      <c r="AR9" s="8" t="s">
        <v>54</v>
      </c>
      <c r="AS9" s="8" t="s">
        <v>55</v>
      </c>
      <c r="AT9" s="8" t="s">
        <v>55</v>
      </c>
      <c r="AU9" s="8" t="s">
        <v>56</v>
      </c>
      <c r="AV9" s="8">
        <v>1342</v>
      </c>
      <c r="AW9" s="8" t="s">
        <v>57</v>
      </c>
      <c r="AX9" s="8" t="s">
        <v>55</v>
      </c>
      <c r="AY9" s="8" t="s">
        <v>81</v>
      </c>
      <c r="AZ9" s="8" t="s">
        <v>59</v>
      </c>
      <c r="BA9" s="8" t="s">
        <v>55</v>
      </c>
      <c r="BB9" s="8" t="s">
        <v>49</v>
      </c>
      <c r="BC9" s="8" t="s">
        <v>49</v>
      </c>
      <c r="BD9" s="8" t="s">
        <v>49</v>
      </c>
      <c r="BE9" s="8" t="s">
        <v>55</v>
      </c>
      <c r="BF9" s="8">
        <v>4</v>
      </c>
      <c r="BG9" s="8" t="s">
        <v>511</v>
      </c>
      <c r="BH9" s="8" t="s">
        <v>82</v>
      </c>
      <c r="BI9" s="8" t="s">
        <v>83</v>
      </c>
      <c r="BJ9" s="8" t="s">
        <v>63</v>
      </c>
      <c r="BK9" s="8">
        <v>2006</v>
      </c>
      <c r="BT9">
        <f>COUNT(BL9:BQ9)</f>
        <v>0</v>
      </c>
    </row>
    <row r="10" spans="1:72" x14ac:dyDescent="0.2">
      <c r="A10" s="20" t="s">
        <v>77</v>
      </c>
      <c r="B10" s="1">
        <v>361</v>
      </c>
      <c r="C10">
        <v>1</v>
      </c>
      <c r="D10" t="s">
        <v>48</v>
      </c>
      <c r="E10" s="2" t="s">
        <v>49</v>
      </c>
      <c r="F10">
        <v>361</v>
      </c>
      <c r="G10">
        <v>361</v>
      </c>
      <c r="H10" s="2" t="s">
        <v>49</v>
      </c>
      <c r="I10" s="3">
        <v>180</v>
      </c>
      <c r="J10">
        <f>180-61</f>
        <v>119</v>
      </c>
      <c r="K10" s="4">
        <f>272-180</f>
        <v>92</v>
      </c>
      <c r="L10" s="8">
        <f>361-272</f>
        <v>89</v>
      </c>
      <c r="Q10" t="s">
        <v>78</v>
      </c>
      <c r="R10" s="4" t="s">
        <v>51</v>
      </c>
      <c r="S10" s="8" t="s">
        <v>309</v>
      </c>
      <c r="W10" s="8">
        <v>5</v>
      </c>
      <c r="X10" s="8">
        <v>15</v>
      </c>
      <c r="Y10" s="4">
        <f>K10</f>
        <v>92</v>
      </c>
      <c r="Z10" s="4">
        <v>1</v>
      </c>
      <c r="AG10" s="9">
        <v>93</v>
      </c>
      <c r="AH10" s="9">
        <v>1</v>
      </c>
      <c r="AM10">
        <v>72</v>
      </c>
      <c r="AN10" t="s">
        <v>52</v>
      </c>
      <c r="AO10" t="s">
        <v>53</v>
      </c>
      <c r="AP10">
        <v>-26428</v>
      </c>
      <c r="AQ10">
        <v>0</v>
      </c>
      <c r="AR10" t="s">
        <v>54</v>
      </c>
      <c r="AS10" t="s">
        <v>55</v>
      </c>
      <c r="AT10" t="s">
        <v>55</v>
      </c>
      <c r="AU10" t="s">
        <v>56</v>
      </c>
      <c r="AV10">
        <v>1343</v>
      </c>
      <c r="AW10" t="s">
        <v>57</v>
      </c>
      <c r="AX10" t="s">
        <v>55</v>
      </c>
      <c r="AY10" t="s">
        <v>81</v>
      </c>
      <c r="AZ10" t="s">
        <v>59</v>
      </c>
      <c r="BA10" t="s">
        <v>55</v>
      </c>
      <c r="BB10" t="s">
        <v>49</v>
      </c>
      <c r="BC10" t="s">
        <v>49</v>
      </c>
      <c r="BD10" t="s">
        <v>49</v>
      </c>
      <c r="BE10" t="s">
        <v>55</v>
      </c>
      <c r="BF10">
        <v>4</v>
      </c>
      <c r="BG10" t="s">
        <v>60</v>
      </c>
      <c r="BH10" t="s">
        <v>82</v>
      </c>
      <c r="BI10" t="s">
        <v>83</v>
      </c>
      <c r="BJ10" t="s">
        <v>63</v>
      </c>
      <c r="BK10">
        <v>2002</v>
      </c>
      <c r="BL10">
        <v>1</v>
      </c>
      <c r="BM10">
        <v>1</v>
      </c>
      <c r="BN10">
        <v>1</v>
      </c>
      <c r="BR10">
        <f>I10-BS10</f>
        <v>0</v>
      </c>
      <c r="BS10">
        <v>180</v>
      </c>
      <c r="BT10">
        <f>COUNT(J10:O10)</f>
        <v>3</v>
      </c>
    </row>
    <row r="11" spans="1:72" x14ac:dyDescent="0.2">
      <c r="A11" s="19" t="s">
        <v>517</v>
      </c>
      <c r="B11" s="1">
        <v>1992</v>
      </c>
      <c r="C11">
        <v>0</v>
      </c>
      <c r="D11" s="8" t="s">
        <v>68</v>
      </c>
      <c r="E11" s="12" t="s">
        <v>49</v>
      </c>
      <c r="F11" s="8" t="s">
        <v>49</v>
      </c>
      <c r="G11" s="8">
        <v>1992</v>
      </c>
      <c r="H11" s="12" t="s">
        <v>49</v>
      </c>
      <c r="I11" s="3" t="s">
        <v>69</v>
      </c>
      <c r="J11" s="12" t="s">
        <v>50</v>
      </c>
      <c r="K11" s="8"/>
      <c r="L11" s="8"/>
      <c r="M11" s="8"/>
      <c r="N11" s="8"/>
      <c r="O11" s="8"/>
      <c r="P11" s="8" t="s">
        <v>752</v>
      </c>
      <c r="Q11" s="8" t="s">
        <v>50</v>
      </c>
      <c r="R11" s="8"/>
      <c r="S11" s="8"/>
      <c r="T11" s="8"/>
      <c r="U11" s="8"/>
      <c r="V11" s="8"/>
      <c r="W11" s="8"/>
      <c r="X11" s="8"/>
      <c r="Y11" s="8"/>
      <c r="Z11" s="8"/>
      <c r="AA11" s="8"/>
      <c r="AB11" s="8"/>
      <c r="AC11" s="8"/>
      <c r="AD11" s="8"/>
      <c r="AE11" s="8"/>
      <c r="AF11" s="8"/>
      <c r="AG11" s="8"/>
      <c r="AH11" s="8"/>
      <c r="AI11" s="8"/>
      <c r="AJ11" s="8"/>
      <c r="AK11" s="8"/>
      <c r="AL11" s="8"/>
      <c r="AM11" s="8">
        <v>73</v>
      </c>
      <c r="AN11" s="8" t="s">
        <v>52</v>
      </c>
      <c r="AO11" s="8" t="s">
        <v>55</v>
      </c>
      <c r="AP11" s="8">
        <v>-26865</v>
      </c>
      <c r="AQ11" s="8">
        <v>0</v>
      </c>
      <c r="AR11" s="8" t="s">
        <v>54</v>
      </c>
      <c r="AS11" s="8" t="s">
        <v>55</v>
      </c>
      <c r="AT11" s="8" t="s">
        <v>55</v>
      </c>
      <c r="AU11" s="8" t="s">
        <v>56</v>
      </c>
      <c r="AV11" s="8">
        <v>1346</v>
      </c>
      <c r="AW11" s="8" t="s">
        <v>70</v>
      </c>
      <c r="AX11" s="8" t="s">
        <v>55</v>
      </c>
      <c r="AY11" s="8" t="s">
        <v>58</v>
      </c>
      <c r="AZ11" s="8" t="s">
        <v>59</v>
      </c>
      <c r="BA11" s="8" t="s">
        <v>55</v>
      </c>
      <c r="BB11" s="8" t="s">
        <v>49</v>
      </c>
      <c r="BC11" s="8" t="s">
        <v>49</v>
      </c>
      <c r="BD11" s="8" t="s">
        <v>49</v>
      </c>
      <c r="BE11" s="8" t="s">
        <v>55</v>
      </c>
      <c r="BF11" s="8">
        <v>4</v>
      </c>
      <c r="BG11" s="8" t="s">
        <v>511</v>
      </c>
      <c r="BH11" s="8" t="s">
        <v>49</v>
      </c>
      <c r="BI11" s="8" t="s">
        <v>62</v>
      </c>
      <c r="BJ11" s="8" t="s">
        <v>63</v>
      </c>
      <c r="BK11" s="8">
        <v>2003</v>
      </c>
      <c r="BT11">
        <f>COUNT(BL11:BQ11)</f>
        <v>0</v>
      </c>
    </row>
    <row r="12" spans="1:72" x14ac:dyDescent="0.2">
      <c r="A12" s="19" t="s">
        <v>84</v>
      </c>
      <c r="B12" s="1">
        <v>1918</v>
      </c>
      <c r="C12">
        <v>0</v>
      </c>
      <c r="D12" t="s">
        <v>68</v>
      </c>
      <c r="E12" s="2" t="s">
        <v>49</v>
      </c>
      <c r="F12" t="s">
        <v>49</v>
      </c>
      <c r="G12">
        <v>1918</v>
      </c>
      <c r="H12" s="2" t="s">
        <v>49</v>
      </c>
      <c r="I12" s="3" t="s">
        <v>69</v>
      </c>
      <c r="J12" s="4">
        <f>1918-19</f>
        <v>1899</v>
      </c>
      <c r="Q12" s="4" t="s">
        <v>51</v>
      </c>
      <c r="W12" s="8">
        <v>6</v>
      </c>
      <c r="X12" s="8">
        <v>12</v>
      </c>
      <c r="Y12" s="4">
        <f>J12</f>
        <v>1899</v>
      </c>
      <c r="Z12" s="4">
        <v>0</v>
      </c>
      <c r="AM12">
        <v>81</v>
      </c>
      <c r="AN12" t="s">
        <v>52</v>
      </c>
      <c r="AO12" t="s">
        <v>53</v>
      </c>
      <c r="AP12">
        <v>-29695</v>
      </c>
      <c r="AQ12">
        <v>0</v>
      </c>
      <c r="AR12" t="s">
        <v>54</v>
      </c>
      <c r="AS12" t="s">
        <v>55</v>
      </c>
      <c r="AT12" t="s">
        <v>55</v>
      </c>
      <c r="AU12" t="s">
        <v>85</v>
      </c>
      <c r="AV12">
        <v>1347</v>
      </c>
      <c r="AW12" t="s">
        <v>70</v>
      </c>
      <c r="AX12" t="s">
        <v>55</v>
      </c>
      <c r="AY12" t="s">
        <v>58</v>
      </c>
      <c r="AZ12" t="s">
        <v>59</v>
      </c>
      <c r="BA12" t="s">
        <v>55</v>
      </c>
      <c r="BB12" t="s">
        <v>49</v>
      </c>
      <c r="BC12" t="s">
        <v>49</v>
      </c>
      <c r="BD12" t="s">
        <v>49</v>
      </c>
      <c r="BE12" t="s">
        <v>55</v>
      </c>
      <c r="BF12">
        <v>4</v>
      </c>
      <c r="BG12" t="s">
        <v>60</v>
      </c>
      <c r="BH12" t="s">
        <v>71</v>
      </c>
      <c r="BI12" t="s">
        <v>83</v>
      </c>
      <c r="BJ12" t="s">
        <v>63</v>
      </c>
      <c r="BK12">
        <v>2004</v>
      </c>
      <c r="BL12">
        <v>0</v>
      </c>
      <c r="BR12">
        <f>B12-BS12</f>
        <v>1746</v>
      </c>
      <c r="BS12">
        <v>172</v>
      </c>
      <c r="BT12">
        <f>COUNT(J12:O12)</f>
        <v>1</v>
      </c>
    </row>
    <row r="13" spans="1:72" x14ac:dyDescent="0.2">
      <c r="A13" s="19" t="s">
        <v>86</v>
      </c>
      <c r="B13" s="1">
        <v>1483</v>
      </c>
      <c r="C13">
        <v>1</v>
      </c>
      <c r="D13" t="s">
        <v>48</v>
      </c>
      <c r="E13" s="2" t="s">
        <v>49</v>
      </c>
      <c r="F13">
        <v>1483</v>
      </c>
      <c r="G13">
        <v>1483</v>
      </c>
      <c r="H13" s="2">
        <v>574</v>
      </c>
      <c r="I13" s="3">
        <v>574</v>
      </c>
      <c r="J13" s="4">
        <v>574</v>
      </c>
      <c r="K13" s="5">
        <f>881-670</f>
        <v>211</v>
      </c>
      <c r="L13" s="9">
        <f>1003-881</f>
        <v>122</v>
      </c>
      <c r="M13" s="10">
        <f>1215-1003</f>
        <v>212</v>
      </c>
      <c r="N13" s="6">
        <f>1276-1215</f>
        <v>61</v>
      </c>
      <c r="O13" s="5">
        <f>1430-1276</f>
        <v>154</v>
      </c>
      <c r="P13" s="8"/>
      <c r="Q13" s="4" t="s">
        <v>51</v>
      </c>
      <c r="R13" s="5" t="s">
        <v>65</v>
      </c>
      <c r="S13" s="9" t="s">
        <v>80</v>
      </c>
      <c r="T13" s="10" t="s">
        <v>87</v>
      </c>
      <c r="U13" s="6" t="s">
        <v>74</v>
      </c>
      <c r="V13" s="5" t="s">
        <v>65</v>
      </c>
      <c r="W13" s="8">
        <v>8</v>
      </c>
      <c r="X13" s="8">
        <v>16</v>
      </c>
      <c r="Y13" s="4">
        <f>J13</f>
        <v>574</v>
      </c>
      <c r="Z13" s="4">
        <v>1</v>
      </c>
      <c r="AC13" s="6">
        <f>N13</f>
        <v>61</v>
      </c>
      <c r="AD13" s="6">
        <v>1</v>
      </c>
      <c r="AE13" s="5">
        <f>O13+K13</f>
        <v>365</v>
      </c>
      <c r="AF13" s="5">
        <v>1</v>
      </c>
      <c r="AG13" s="9">
        <f>L13</f>
        <v>122</v>
      </c>
      <c r="AH13" s="9">
        <v>1</v>
      </c>
      <c r="AK13" s="10">
        <f>M13</f>
        <v>212</v>
      </c>
      <c r="AL13" s="10">
        <v>1</v>
      </c>
      <c r="AM13">
        <v>44</v>
      </c>
      <c r="AN13" t="s">
        <v>52</v>
      </c>
      <c r="AO13" t="s">
        <v>53</v>
      </c>
      <c r="AP13">
        <v>-16236</v>
      </c>
      <c r="AQ13">
        <v>0</v>
      </c>
      <c r="AR13" t="s">
        <v>54</v>
      </c>
      <c r="AS13" t="s">
        <v>55</v>
      </c>
      <c r="AT13" t="s">
        <v>55</v>
      </c>
      <c r="AU13" t="s">
        <v>56</v>
      </c>
      <c r="AV13">
        <v>1348</v>
      </c>
      <c r="AW13" t="s">
        <v>57</v>
      </c>
      <c r="AX13" t="s">
        <v>55</v>
      </c>
      <c r="AY13" t="s">
        <v>58</v>
      </c>
      <c r="AZ13" t="s">
        <v>59</v>
      </c>
      <c r="BA13" t="s">
        <v>55</v>
      </c>
      <c r="BB13" t="s">
        <v>49</v>
      </c>
      <c r="BC13" t="s">
        <v>49</v>
      </c>
      <c r="BD13" t="s">
        <v>66</v>
      </c>
      <c r="BE13" t="s">
        <v>55</v>
      </c>
      <c r="BF13">
        <v>4</v>
      </c>
      <c r="BG13" t="s">
        <v>60</v>
      </c>
      <c r="BH13" t="s">
        <v>61</v>
      </c>
      <c r="BI13" t="s">
        <v>72</v>
      </c>
      <c r="BJ13" t="s">
        <v>63</v>
      </c>
      <c r="BK13">
        <v>2004</v>
      </c>
      <c r="BL13">
        <v>1</v>
      </c>
      <c r="BM13">
        <v>1</v>
      </c>
      <c r="BN13">
        <v>1</v>
      </c>
      <c r="BO13">
        <v>1</v>
      </c>
      <c r="BP13">
        <v>1</v>
      </c>
      <c r="BQ13">
        <v>1</v>
      </c>
      <c r="BR13">
        <f>I13-BS13</f>
        <v>393</v>
      </c>
      <c r="BS13">
        <v>181</v>
      </c>
      <c r="BT13">
        <f>COUNT(J13:O13)</f>
        <v>6</v>
      </c>
    </row>
    <row r="14" spans="1:72" x14ac:dyDescent="0.2">
      <c r="A14" s="19" t="s">
        <v>88</v>
      </c>
      <c r="B14" s="1">
        <v>656</v>
      </c>
      <c r="C14">
        <v>1</v>
      </c>
      <c r="D14" t="s">
        <v>48</v>
      </c>
      <c r="E14" s="2" t="s">
        <v>49</v>
      </c>
      <c r="F14">
        <v>656</v>
      </c>
      <c r="G14">
        <v>656</v>
      </c>
      <c r="H14" s="2">
        <v>425</v>
      </c>
      <c r="I14" s="3">
        <v>425</v>
      </c>
      <c r="J14" s="4">
        <v>424</v>
      </c>
      <c r="K14" t="s">
        <v>50</v>
      </c>
      <c r="L14" t="s">
        <v>50</v>
      </c>
      <c r="M14" t="s">
        <v>50</v>
      </c>
      <c r="P14" t="s">
        <v>753</v>
      </c>
      <c r="Q14" s="4" t="s">
        <v>51</v>
      </c>
      <c r="W14" s="8">
        <v>12</v>
      </c>
      <c r="X14" s="8">
        <v>24</v>
      </c>
      <c r="Y14" s="4">
        <f>J14</f>
        <v>424</v>
      </c>
      <c r="Z14" s="4">
        <v>1</v>
      </c>
      <c r="AM14">
        <v>69</v>
      </c>
      <c r="AN14" t="s">
        <v>52</v>
      </c>
      <c r="AO14" t="s">
        <v>53</v>
      </c>
      <c r="AP14">
        <v>-25212</v>
      </c>
      <c r="AQ14">
        <v>0</v>
      </c>
      <c r="AR14" t="s">
        <v>54</v>
      </c>
      <c r="AS14" t="s">
        <v>55</v>
      </c>
      <c r="AT14" t="s">
        <v>55</v>
      </c>
      <c r="AU14" t="s">
        <v>56</v>
      </c>
      <c r="AV14">
        <v>1349</v>
      </c>
      <c r="AW14" t="s">
        <v>57</v>
      </c>
      <c r="AX14" t="s">
        <v>55</v>
      </c>
      <c r="AY14" t="s">
        <v>58</v>
      </c>
      <c r="AZ14" t="s">
        <v>59</v>
      </c>
      <c r="BA14" t="s">
        <v>55</v>
      </c>
      <c r="BB14" t="s">
        <v>49</v>
      </c>
      <c r="BC14" t="s">
        <v>49</v>
      </c>
      <c r="BD14" t="s">
        <v>66</v>
      </c>
      <c r="BE14" t="s">
        <v>55</v>
      </c>
      <c r="BF14">
        <v>4</v>
      </c>
      <c r="BG14" t="s">
        <v>60</v>
      </c>
      <c r="BH14" t="s">
        <v>49</v>
      </c>
      <c r="BI14" t="s">
        <v>83</v>
      </c>
      <c r="BJ14" t="s">
        <v>63</v>
      </c>
      <c r="BK14">
        <v>2004</v>
      </c>
      <c r="BL14">
        <v>1</v>
      </c>
      <c r="BR14">
        <f>I14-BS14</f>
        <v>52</v>
      </c>
      <c r="BS14">
        <v>373</v>
      </c>
      <c r="BT14">
        <f t="shared" ref="BT14:BT77" si="0">COUNT(BL14:BQ14)</f>
        <v>1</v>
      </c>
    </row>
    <row r="15" spans="1:72" x14ac:dyDescent="0.2">
      <c r="A15" s="19" t="s">
        <v>89</v>
      </c>
      <c r="B15" s="1">
        <v>1946</v>
      </c>
      <c r="C15">
        <v>1</v>
      </c>
      <c r="D15" t="s">
        <v>48</v>
      </c>
      <c r="E15" s="2" t="s">
        <v>49</v>
      </c>
      <c r="F15">
        <v>1946</v>
      </c>
      <c r="G15">
        <v>1946</v>
      </c>
      <c r="H15" s="2">
        <v>111</v>
      </c>
      <c r="I15" s="3">
        <v>111</v>
      </c>
      <c r="J15" s="4">
        <f>363-216</f>
        <v>147</v>
      </c>
      <c r="K15" s="11">
        <f>720-363</f>
        <v>357</v>
      </c>
      <c r="L15" s="7">
        <f>1389-720</f>
        <v>669</v>
      </c>
      <c r="M15">
        <v>191</v>
      </c>
      <c r="P15" t="s">
        <v>754</v>
      </c>
      <c r="Q15" s="4" t="s">
        <v>51</v>
      </c>
      <c r="R15" s="11" t="s">
        <v>90</v>
      </c>
      <c r="S15" s="7" t="s">
        <v>75</v>
      </c>
      <c r="T15" t="s">
        <v>91</v>
      </c>
      <c r="Y15" s="4">
        <f>J15</f>
        <v>147</v>
      </c>
      <c r="Z15" s="4">
        <v>1</v>
      </c>
      <c r="AA15" s="11">
        <f>K15</f>
        <v>357</v>
      </c>
      <c r="AB15" s="11">
        <v>1</v>
      </c>
      <c r="AI15" s="7">
        <f>L15</f>
        <v>669</v>
      </c>
      <c r="AJ15" s="7">
        <v>1</v>
      </c>
      <c r="AK15" s="8"/>
      <c r="AL15" s="8"/>
      <c r="AM15">
        <v>46</v>
      </c>
      <c r="AN15" t="s">
        <v>52</v>
      </c>
      <c r="AO15" t="s">
        <v>55</v>
      </c>
      <c r="AP15">
        <v>-16941</v>
      </c>
      <c r="AQ15">
        <v>0</v>
      </c>
      <c r="AR15" t="s">
        <v>54</v>
      </c>
      <c r="AS15" t="s">
        <v>55</v>
      </c>
      <c r="AT15" t="s">
        <v>55</v>
      </c>
      <c r="AU15" t="s">
        <v>56</v>
      </c>
      <c r="AV15">
        <v>1350</v>
      </c>
      <c r="AW15" t="s">
        <v>57</v>
      </c>
      <c r="AX15" t="s">
        <v>55</v>
      </c>
      <c r="AY15" t="s">
        <v>92</v>
      </c>
      <c r="AZ15" t="s">
        <v>59</v>
      </c>
      <c r="BA15" t="s">
        <v>55</v>
      </c>
      <c r="BB15" t="s">
        <v>49</v>
      </c>
      <c r="BC15" t="s">
        <v>49</v>
      </c>
      <c r="BD15" t="s">
        <v>66</v>
      </c>
      <c r="BE15" t="s">
        <v>55</v>
      </c>
      <c r="BF15">
        <v>4</v>
      </c>
      <c r="BG15" t="s">
        <v>60</v>
      </c>
      <c r="BH15" t="s">
        <v>82</v>
      </c>
      <c r="BI15" t="s">
        <v>62</v>
      </c>
      <c r="BJ15" t="s">
        <v>63</v>
      </c>
      <c r="BK15">
        <v>2003</v>
      </c>
      <c r="BL15">
        <v>1</v>
      </c>
      <c r="BM15">
        <v>1</v>
      </c>
      <c r="BN15">
        <v>1</v>
      </c>
      <c r="BO15">
        <v>1</v>
      </c>
      <c r="BR15" t="s">
        <v>878</v>
      </c>
      <c r="BS15" t="s">
        <v>878</v>
      </c>
      <c r="BT15">
        <f t="shared" si="0"/>
        <v>4</v>
      </c>
    </row>
    <row r="16" spans="1:72" x14ac:dyDescent="0.2">
      <c r="A16" s="19" t="s">
        <v>518</v>
      </c>
      <c r="B16" s="1">
        <v>1991</v>
      </c>
      <c r="C16">
        <v>0</v>
      </c>
      <c r="D16" s="8" t="s">
        <v>68</v>
      </c>
      <c r="E16" s="12" t="s">
        <v>49</v>
      </c>
      <c r="F16" s="8" t="s">
        <v>49</v>
      </c>
      <c r="G16" s="8">
        <v>1991</v>
      </c>
      <c r="H16" s="12">
        <v>1658</v>
      </c>
      <c r="I16" s="3">
        <v>1658</v>
      </c>
      <c r="J16" s="8"/>
      <c r="K16" s="8"/>
      <c r="L16" s="8"/>
      <c r="M16" s="8"/>
      <c r="N16" s="8"/>
      <c r="O16" s="8"/>
      <c r="P16" s="8" t="s">
        <v>755</v>
      </c>
      <c r="Q16" s="8" t="s">
        <v>50</v>
      </c>
      <c r="R16" s="8"/>
      <c r="S16" s="8"/>
      <c r="T16" s="8"/>
      <c r="U16" s="8"/>
      <c r="V16" s="8"/>
      <c r="W16" s="8"/>
      <c r="X16" s="8"/>
      <c r="Y16" s="8"/>
      <c r="Z16" s="8"/>
      <c r="AA16" s="8"/>
      <c r="AB16" s="8"/>
      <c r="AC16" s="8"/>
      <c r="AD16" s="8"/>
      <c r="AE16" s="8"/>
      <c r="AF16" s="8"/>
      <c r="AG16" s="8"/>
      <c r="AH16" s="8"/>
      <c r="AI16" s="8"/>
      <c r="AJ16" s="8"/>
      <c r="AK16" s="8"/>
      <c r="AL16" s="8"/>
      <c r="AM16" s="8">
        <v>76</v>
      </c>
      <c r="AN16" s="8" t="s">
        <v>49</v>
      </c>
      <c r="AO16" s="8" t="s">
        <v>53</v>
      </c>
      <c r="AP16" s="8">
        <v>-28045</v>
      </c>
      <c r="AQ16" s="8">
        <v>0</v>
      </c>
      <c r="AR16" s="8" t="s">
        <v>54</v>
      </c>
      <c r="AS16" s="8" t="s">
        <v>55</v>
      </c>
      <c r="AT16" s="8" t="s">
        <v>55</v>
      </c>
      <c r="AU16" s="8" t="s">
        <v>166</v>
      </c>
      <c r="AV16" s="8">
        <v>1351</v>
      </c>
      <c r="AW16" s="8" t="s">
        <v>70</v>
      </c>
      <c r="AX16" s="8" t="s">
        <v>55</v>
      </c>
      <c r="AY16" s="8" t="s">
        <v>58</v>
      </c>
      <c r="AZ16" s="8" t="s">
        <v>59</v>
      </c>
      <c r="BA16" s="8" t="s">
        <v>55</v>
      </c>
      <c r="BB16" s="8" t="s">
        <v>49</v>
      </c>
      <c r="BC16" s="8" t="s">
        <v>49</v>
      </c>
      <c r="BD16" s="8" t="s">
        <v>66</v>
      </c>
      <c r="BE16" s="8" t="s">
        <v>55</v>
      </c>
      <c r="BF16" s="8">
        <v>4</v>
      </c>
      <c r="BG16" s="8" t="s">
        <v>511</v>
      </c>
      <c r="BH16" s="8" t="s">
        <v>49</v>
      </c>
      <c r="BI16" s="8" t="s">
        <v>62</v>
      </c>
      <c r="BJ16" s="8" t="s">
        <v>63</v>
      </c>
      <c r="BK16" s="8">
        <v>2004</v>
      </c>
      <c r="BT16">
        <f t="shared" si="0"/>
        <v>0</v>
      </c>
    </row>
    <row r="17" spans="1:72" x14ac:dyDescent="0.2">
      <c r="A17" s="19" t="s">
        <v>519</v>
      </c>
      <c r="B17" s="1" t="s">
        <v>50</v>
      </c>
      <c r="C17">
        <v>0</v>
      </c>
      <c r="D17" s="8" t="s">
        <v>49</v>
      </c>
      <c r="E17" s="12" t="s">
        <v>49</v>
      </c>
      <c r="F17" s="8" t="s">
        <v>49</v>
      </c>
      <c r="G17" s="8" t="s">
        <v>49</v>
      </c>
      <c r="H17" s="12" t="s">
        <v>49</v>
      </c>
      <c r="I17" s="3" t="s">
        <v>50</v>
      </c>
      <c r="J17" s="8"/>
      <c r="K17" s="8"/>
      <c r="L17" s="8"/>
      <c r="M17" s="8"/>
      <c r="N17" s="8"/>
      <c r="O17" s="8"/>
      <c r="P17" s="8"/>
      <c r="Q17" s="8" t="s">
        <v>50</v>
      </c>
      <c r="R17" s="8"/>
      <c r="S17" s="8"/>
      <c r="T17" s="8"/>
      <c r="U17" s="8"/>
      <c r="V17" s="8"/>
      <c r="W17" s="8"/>
      <c r="X17" s="8"/>
      <c r="Y17" s="8"/>
      <c r="Z17" s="8"/>
      <c r="AA17" s="8"/>
      <c r="AB17" s="8"/>
      <c r="AC17" s="8"/>
      <c r="AD17" s="8"/>
      <c r="AE17" s="8"/>
      <c r="AF17" s="8"/>
      <c r="AG17" s="8"/>
      <c r="AH17" s="8"/>
      <c r="AI17" s="8"/>
      <c r="AJ17" s="8"/>
      <c r="AK17" s="8"/>
      <c r="AL17" s="8"/>
      <c r="AM17" s="8" t="s">
        <v>49</v>
      </c>
      <c r="AN17" s="8" t="s">
        <v>49</v>
      </c>
      <c r="AO17" s="8" t="s">
        <v>49</v>
      </c>
      <c r="AP17" s="8" t="s">
        <v>49</v>
      </c>
      <c r="AQ17" s="8" t="s">
        <v>49</v>
      </c>
      <c r="AR17" s="8" t="s">
        <v>49</v>
      </c>
      <c r="AS17" s="8" t="s">
        <v>49</v>
      </c>
      <c r="AT17" s="8" t="s">
        <v>49</v>
      </c>
      <c r="AU17" s="8" t="s">
        <v>49</v>
      </c>
      <c r="AV17" s="8" t="s">
        <v>49</v>
      </c>
      <c r="AW17" s="8" t="s">
        <v>49</v>
      </c>
      <c r="AX17" s="8" t="s">
        <v>49</v>
      </c>
      <c r="AY17" s="8" t="s">
        <v>49</v>
      </c>
      <c r="AZ17" s="8" t="s">
        <v>49</v>
      </c>
      <c r="BA17" s="8" t="s">
        <v>49</v>
      </c>
      <c r="BB17" s="8" t="s">
        <v>49</v>
      </c>
      <c r="BC17" s="8" t="s">
        <v>49</v>
      </c>
      <c r="BD17" s="8" t="s">
        <v>49</v>
      </c>
      <c r="BE17" s="8" t="s">
        <v>49</v>
      </c>
      <c r="BF17" s="8" t="s">
        <v>49</v>
      </c>
      <c r="BG17" s="8" t="s">
        <v>49</v>
      </c>
      <c r="BH17" s="8" t="s">
        <v>49</v>
      </c>
      <c r="BI17" s="8" t="s">
        <v>49</v>
      </c>
      <c r="BJ17" s="8" t="s">
        <v>49</v>
      </c>
      <c r="BK17" s="8" t="s">
        <v>49</v>
      </c>
      <c r="BT17">
        <f t="shared" si="0"/>
        <v>0</v>
      </c>
    </row>
    <row r="18" spans="1:72" x14ac:dyDescent="0.2">
      <c r="A18" s="19" t="s">
        <v>520</v>
      </c>
      <c r="B18" s="1">
        <v>1449</v>
      </c>
      <c r="C18">
        <v>1</v>
      </c>
      <c r="D18" s="8" t="s">
        <v>48</v>
      </c>
      <c r="E18" s="12" t="s">
        <v>49</v>
      </c>
      <c r="F18" s="8">
        <v>1499</v>
      </c>
      <c r="G18" s="8">
        <v>1499</v>
      </c>
      <c r="H18" s="12">
        <v>156</v>
      </c>
      <c r="I18" s="3">
        <v>156</v>
      </c>
      <c r="J18" s="4">
        <f>1499-161</f>
        <v>1338</v>
      </c>
      <c r="K18" s="8"/>
      <c r="L18" s="8"/>
      <c r="M18" s="8"/>
      <c r="N18" s="8"/>
      <c r="O18" s="8"/>
      <c r="P18" s="8" t="s">
        <v>756</v>
      </c>
      <c r="Q18" s="4" t="s">
        <v>51</v>
      </c>
      <c r="R18" s="8"/>
      <c r="S18" s="8"/>
      <c r="T18" s="8"/>
      <c r="U18" s="8"/>
      <c r="V18" s="8"/>
      <c r="W18" s="8"/>
      <c r="X18" s="8"/>
      <c r="Y18" s="4">
        <f>J18</f>
        <v>1338</v>
      </c>
      <c r="Z18" s="4">
        <v>1</v>
      </c>
      <c r="AA18" s="8"/>
      <c r="AB18" s="8"/>
      <c r="AC18" s="8"/>
      <c r="AD18" s="8"/>
      <c r="AE18" s="8"/>
      <c r="AF18" s="8"/>
      <c r="AG18" s="8"/>
      <c r="AH18" s="8"/>
      <c r="AI18" s="8"/>
      <c r="AJ18" s="8"/>
      <c r="AK18" s="8"/>
      <c r="AL18" s="8"/>
      <c r="AM18" s="8">
        <v>62</v>
      </c>
      <c r="AN18" s="8" t="s">
        <v>52</v>
      </c>
      <c r="AO18" s="8" t="s">
        <v>55</v>
      </c>
      <c r="AP18" s="8">
        <v>-22854</v>
      </c>
      <c r="AQ18" s="8">
        <v>0</v>
      </c>
      <c r="AR18" s="8" t="s">
        <v>54</v>
      </c>
      <c r="AS18" s="8" t="s">
        <v>55</v>
      </c>
      <c r="AT18" s="8" t="s">
        <v>55</v>
      </c>
      <c r="AU18" s="8" t="s">
        <v>56</v>
      </c>
      <c r="AV18" s="8">
        <v>1356</v>
      </c>
      <c r="AW18" s="8" t="s">
        <v>57</v>
      </c>
      <c r="AX18" s="8" t="s">
        <v>55</v>
      </c>
      <c r="AY18" s="8" t="s">
        <v>81</v>
      </c>
      <c r="AZ18" s="8" t="s">
        <v>59</v>
      </c>
      <c r="BA18" s="8" t="s">
        <v>55</v>
      </c>
      <c r="BB18" s="8" t="s">
        <v>49</v>
      </c>
      <c r="BC18" s="8" t="s">
        <v>49</v>
      </c>
      <c r="BD18" s="8" t="s">
        <v>66</v>
      </c>
      <c r="BE18" s="8" t="s">
        <v>55</v>
      </c>
      <c r="BF18" s="8">
        <v>4</v>
      </c>
      <c r="BG18" s="8" t="s">
        <v>60</v>
      </c>
      <c r="BH18" s="8" t="s">
        <v>49</v>
      </c>
      <c r="BI18" s="8" t="s">
        <v>521</v>
      </c>
      <c r="BJ18" s="8" t="s">
        <v>63</v>
      </c>
      <c r="BK18" s="8">
        <v>2004</v>
      </c>
      <c r="BL18">
        <v>1</v>
      </c>
      <c r="BR18">
        <f>1338-312</f>
        <v>1026</v>
      </c>
      <c r="BS18">
        <v>312</v>
      </c>
      <c r="BT18">
        <f t="shared" si="0"/>
        <v>1</v>
      </c>
    </row>
    <row r="19" spans="1:72" x14ac:dyDescent="0.2">
      <c r="A19" s="19" t="s">
        <v>93</v>
      </c>
      <c r="B19" s="1" t="s">
        <v>50</v>
      </c>
      <c r="C19">
        <v>0</v>
      </c>
      <c r="D19" t="s">
        <v>68</v>
      </c>
      <c r="E19" s="2" t="s">
        <v>49</v>
      </c>
      <c r="F19" t="s">
        <v>49</v>
      </c>
      <c r="G19" t="s">
        <v>49</v>
      </c>
      <c r="H19" s="2" t="s">
        <v>49</v>
      </c>
      <c r="I19" s="3" t="s">
        <v>69</v>
      </c>
      <c r="Q19" t="s">
        <v>50</v>
      </c>
      <c r="AM19">
        <v>52</v>
      </c>
      <c r="AN19" t="s">
        <v>49</v>
      </c>
      <c r="AO19" t="s">
        <v>53</v>
      </c>
      <c r="AP19">
        <v>-18998</v>
      </c>
      <c r="AQ19">
        <v>0</v>
      </c>
      <c r="AR19" t="s">
        <v>54</v>
      </c>
      <c r="AS19" t="s">
        <v>55</v>
      </c>
      <c r="AT19" t="s">
        <v>55</v>
      </c>
      <c r="AU19" t="s">
        <v>49</v>
      </c>
      <c r="AV19">
        <v>1357</v>
      </c>
      <c r="AW19" t="s">
        <v>49</v>
      </c>
      <c r="AX19" t="s">
        <v>55</v>
      </c>
      <c r="AY19" t="s">
        <v>49</v>
      </c>
      <c r="AZ19" t="s">
        <v>49</v>
      </c>
      <c r="BA19" t="s">
        <v>55</v>
      </c>
      <c r="BB19" t="s">
        <v>49</v>
      </c>
      <c r="BC19" t="s">
        <v>49</v>
      </c>
      <c r="BD19" t="s">
        <v>49</v>
      </c>
      <c r="BE19" t="s">
        <v>55</v>
      </c>
      <c r="BF19">
        <v>4</v>
      </c>
      <c r="BG19" t="s">
        <v>60</v>
      </c>
      <c r="BH19" t="s">
        <v>49</v>
      </c>
      <c r="BI19" t="s">
        <v>72</v>
      </c>
      <c r="BJ19" t="s">
        <v>63</v>
      </c>
      <c r="BK19">
        <v>2005</v>
      </c>
      <c r="BT19">
        <f t="shared" si="0"/>
        <v>0</v>
      </c>
    </row>
    <row r="20" spans="1:72" x14ac:dyDescent="0.2">
      <c r="A20" s="19" t="s">
        <v>523</v>
      </c>
      <c r="B20" s="1" t="s">
        <v>50</v>
      </c>
      <c r="C20">
        <v>0</v>
      </c>
      <c r="D20" s="8" t="s">
        <v>68</v>
      </c>
      <c r="E20" s="12" t="s">
        <v>49</v>
      </c>
      <c r="F20" s="8" t="s">
        <v>49</v>
      </c>
      <c r="G20" s="8" t="s">
        <v>49</v>
      </c>
      <c r="H20" s="12" t="s">
        <v>49</v>
      </c>
      <c r="I20" s="3" t="s">
        <v>69</v>
      </c>
      <c r="J20" s="8"/>
      <c r="K20" s="8"/>
      <c r="L20" s="8"/>
      <c r="M20" s="8"/>
      <c r="N20" s="8"/>
      <c r="O20" s="8"/>
      <c r="P20" s="8"/>
      <c r="Q20" s="8" t="s">
        <v>50</v>
      </c>
      <c r="R20" s="8"/>
      <c r="S20" s="8"/>
      <c r="T20" s="8"/>
      <c r="U20" s="8"/>
      <c r="V20" s="8"/>
      <c r="W20" s="8"/>
      <c r="X20" s="8"/>
      <c r="Y20" s="8"/>
      <c r="Z20" s="8"/>
      <c r="AA20" s="8"/>
      <c r="AB20" s="8"/>
      <c r="AC20" s="8"/>
      <c r="AD20" s="8"/>
      <c r="AE20" s="8"/>
      <c r="AF20" s="8"/>
      <c r="AG20" s="8"/>
      <c r="AH20" s="8"/>
      <c r="AI20" s="8"/>
      <c r="AJ20" s="8"/>
      <c r="AK20" s="8"/>
      <c r="AL20" s="8"/>
      <c r="AM20" s="8">
        <v>65</v>
      </c>
      <c r="AN20" s="8" t="s">
        <v>49</v>
      </c>
      <c r="AO20" s="8" t="s">
        <v>53</v>
      </c>
      <c r="AP20" s="8">
        <v>-23993</v>
      </c>
      <c r="AQ20" s="8">
        <v>0</v>
      </c>
      <c r="AR20" s="8" t="s">
        <v>54</v>
      </c>
      <c r="AS20" s="8" t="s">
        <v>55</v>
      </c>
      <c r="AT20" s="8" t="s">
        <v>55</v>
      </c>
      <c r="AU20" s="8" t="s">
        <v>49</v>
      </c>
      <c r="AV20" s="8">
        <v>1360</v>
      </c>
      <c r="AW20" s="8" t="s">
        <v>49</v>
      </c>
      <c r="AX20" s="8" t="s">
        <v>55</v>
      </c>
      <c r="AY20" s="8" t="s">
        <v>49</v>
      </c>
      <c r="AZ20" s="8" t="s">
        <v>49</v>
      </c>
      <c r="BA20" s="8" t="s">
        <v>55</v>
      </c>
      <c r="BB20" s="8" t="s">
        <v>49</v>
      </c>
      <c r="BC20" s="8" t="s">
        <v>49</v>
      </c>
      <c r="BD20" s="8" t="s">
        <v>49</v>
      </c>
      <c r="BE20" s="8" t="s">
        <v>55</v>
      </c>
      <c r="BF20" s="8">
        <v>4</v>
      </c>
      <c r="BG20" s="8" t="s">
        <v>60</v>
      </c>
      <c r="BH20" s="8" t="s">
        <v>49</v>
      </c>
      <c r="BI20" s="8" t="s">
        <v>524</v>
      </c>
      <c r="BJ20" s="8" t="s">
        <v>63</v>
      </c>
      <c r="BK20" s="8">
        <v>2005</v>
      </c>
      <c r="BT20">
        <f t="shared" si="0"/>
        <v>0</v>
      </c>
    </row>
    <row r="21" spans="1:72" x14ac:dyDescent="0.2">
      <c r="A21" s="19" t="s">
        <v>94</v>
      </c>
      <c r="B21" s="1">
        <v>989</v>
      </c>
      <c r="C21">
        <v>0</v>
      </c>
      <c r="D21" t="s">
        <v>68</v>
      </c>
      <c r="E21" s="2" t="s">
        <v>49</v>
      </c>
      <c r="F21" t="s">
        <v>49</v>
      </c>
      <c r="G21">
        <v>989</v>
      </c>
      <c r="H21" s="2">
        <v>926</v>
      </c>
      <c r="I21" s="3">
        <v>926</v>
      </c>
      <c r="J21" s="4">
        <f>926-51</f>
        <v>875</v>
      </c>
      <c r="K21">
        <f>989-941</f>
        <v>48</v>
      </c>
      <c r="Q21" s="4" t="s">
        <v>51</v>
      </c>
      <c r="R21" t="s">
        <v>757</v>
      </c>
      <c r="W21">
        <v>18</v>
      </c>
      <c r="X21">
        <v>24</v>
      </c>
      <c r="Y21" s="4">
        <f>J21</f>
        <v>875</v>
      </c>
      <c r="Z21" s="4">
        <v>1</v>
      </c>
      <c r="AM21">
        <v>57</v>
      </c>
      <c r="AN21" t="s">
        <v>52</v>
      </c>
      <c r="AO21" t="s">
        <v>53</v>
      </c>
      <c r="AP21">
        <v>-20860</v>
      </c>
      <c r="AQ21">
        <v>0</v>
      </c>
      <c r="AR21" t="s">
        <v>54</v>
      </c>
      <c r="AS21" t="s">
        <v>55</v>
      </c>
      <c r="AT21" t="s">
        <v>55</v>
      </c>
      <c r="AU21" t="s">
        <v>56</v>
      </c>
      <c r="AV21">
        <v>1361</v>
      </c>
      <c r="AW21" t="s">
        <v>49</v>
      </c>
      <c r="AX21" t="s">
        <v>55</v>
      </c>
      <c r="AY21" t="s">
        <v>92</v>
      </c>
      <c r="AZ21" t="s">
        <v>59</v>
      </c>
      <c r="BA21" t="s">
        <v>55</v>
      </c>
      <c r="BB21" t="s">
        <v>49</v>
      </c>
      <c r="BC21" t="s">
        <v>49</v>
      </c>
      <c r="BD21" t="s">
        <v>49</v>
      </c>
      <c r="BE21" t="s">
        <v>55</v>
      </c>
      <c r="BF21">
        <v>4</v>
      </c>
      <c r="BG21" t="s">
        <v>60</v>
      </c>
      <c r="BH21" t="s">
        <v>71</v>
      </c>
      <c r="BI21" t="s">
        <v>72</v>
      </c>
      <c r="BJ21" t="s">
        <v>63</v>
      </c>
      <c r="BK21">
        <v>2005</v>
      </c>
      <c r="BL21">
        <v>1</v>
      </c>
      <c r="BM21">
        <v>0</v>
      </c>
      <c r="BR21">
        <f>I21-BS21</f>
        <v>741</v>
      </c>
      <c r="BS21">
        <f>126+59</f>
        <v>185</v>
      </c>
      <c r="BT21">
        <f t="shared" si="0"/>
        <v>2</v>
      </c>
    </row>
    <row r="22" spans="1:72" x14ac:dyDescent="0.2">
      <c r="A22" s="19" t="s">
        <v>525</v>
      </c>
      <c r="B22" s="1">
        <v>1348</v>
      </c>
      <c r="C22">
        <v>1</v>
      </c>
      <c r="D22" s="8" t="s">
        <v>48</v>
      </c>
      <c r="E22" s="12" t="s">
        <v>49</v>
      </c>
      <c r="F22" s="8">
        <v>1348</v>
      </c>
      <c r="G22" s="8">
        <v>1348</v>
      </c>
      <c r="H22" s="12">
        <v>223</v>
      </c>
      <c r="I22" s="3">
        <v>223</v>
      </c>
      <c r="J22" s="8">
        <f>223-7</f>
        <v>216</v>
      </c>
      <c r="K22" s="8" t="s">
        <v>50</v>
      </c>
      <c r="L22" s="8"/>
      <c r="M22" s="8"/>
      <c r="N22" s="8"/>
      <c r="O22" s="8"/>
      <c r="P22" s="8" t="s">
        <v>758</v>
      </c>
      <c r="Q22" s="8" t="s">
        <v>78</v>
      </c>
      <c r="R22" s="8"/>
      <c r="S22" s="8"/>
      <c r="T22" s="8"/>
      <c r="U22" s="8"/>
      <c r="V22" s="8"/>
      <c r="W22" s="8">
        <v>6</v>
      </c>
      <c r="X22" s="8">
        <v>18</v>
      </c>
      <c r="Y22" s="8"/>
      <c r="Z22" s="8"/>
      <c r="AA22" s="8"/>
      <c r="AB22" s="8"/>
      <c r="AC22" s="8"/>
      <c r="AD22" s="8"/>
      <c r="AE22" s="8"/>
      <c r="AF22" s="8"/>
      <c r="AG22" s="8"/>
      <c r="AH22" s="8"/>
      <c r="AI22" s="8"/>
      <c r="AJ22" s="8"/>
      <c r="AK22" s="8"/>
      <c r="AL22" s="8"/>
      <c r="AM22" s="8">
        <v>59</v>
      </c>
      <c r="AN22" s="8" t="s">
        <v>52</v>
      </c>
      <c r="AO22" s="8" t="s">
        <v>53</v>
      </c>
      <c r="AP22" s="8">
        <v>-21745</v>
      </c>
      <c r="AQ22" s="8">
        <v>0</v>
      </c>
      <c r="AR22" s="8" t="s">
        <v>54</v>
      </c>
      <c r="AS22" s="8" t="s">
        <v>55</v>
      </c>
      <c r="AT22" s="8" t="s">
        <v>55</v>
      </c>
      <c r="AU22" s="8" t="s">
        <v>56</v>
      </c>
      <c r="AV22" s="8">
        <v>1362</v>
      </c>
      <c r="AW22" s="8" t="s">
        <v>57</v>
      </c>
      <c r="AX22" s="8" t="s">
        <v>55</v>
      </c>
      <c r="AY22" s="8" t="s">
        <v>49</v>
      </c>
      <c r="AZ22" s="8" t="s">
        <v>59</v>
      </c>
      <c r="BA22" s="8" t="s">
        <v>55</v>
      </c>
      <c r="BB22" s="8" t="s">
        <v>49</v>
      </c>
      <c r="BC22" s="8" t="s">
        <v>49</v>
      </c>
      <c r="BD22" s="8" t="s">
        <v>66</v>
      </c>
      <c r="BE22" s="8" t="s">
        <v>55</v>
      </c>
      <c r="BF22" s="8">
        <v>4</v>
      </c>
      <c r="BG22" s="8" t="s">
        <v>60</v>
      </c>
      <c r="BH22" s="8" t="s">
        <v>61</v>
      </c>
      <c r="BI22" s="8" t="s">
        <v>521</v>
      </c>
      <c r="BJ22" s="8" t="s">
        <v>63</v>
      </c>
      <c r="BK22" s="8">
        <v>2002</v>
      </c>
      <c r="BL22">
        <v>1</v>
      </c>
      <c r="BR22">
        <f>I22-BS22</f>
        <v>51</v>
      </c>
      <c r="BS22">
        <v>172</v>
      </c>
      <c r="BT22">
        <f t="shared" si="0"/>
        <v>1</v>
      </c>
    </row>
    <row r="23" spans="1:72" x14ac:dyDescent="0.2">
      <c r="A23" s="19" t="s">
        <v>95</v>
      </c>
      <c r="B23" s="1">
        <v>1024</v>
      </c>
      <c r="C23">
        <v>1</v>
      </c>
      <c r="D23" t="s">
        <v>48</v>
      </c>
      <c r="E23" s="2" t="s">
        <v>49</v>
      </c>
      <c r="F23">
        <v>1024</v>
      </c>
      <c r="G23">
        <v>1024</v>
      </c>
      <c r="H23" s="2">
        <v>288</v>
      </c>
      <c r="I23" s="3">
        <v>288</v>
      </c>
      <c r="J23">
        <f>275-31</f>
        <v>244</v>
      </c>
      <c r="K23">
        <v>62</v>
      </c>
      <c r="L23">
        <v>60</v>
      </c>
      <c r="M23" s="10">
        <v>60</v>
      </c>
      <c r="N23">
        <v>154</v>
      </c>
      <c r="O23">
        <v>241</v>
      </c>
      <c r="Q23" t="s">
        <v>96</v>
      </c>
      <c r="R23" t="s">
        <v>79</v>
      </c>
      <c r="S23" t="s">
        <v>97</v>
      </c>
      <c r="T23" s="10" t="s">
        <v>87</v>
      </c>
      <c r="U23" t="s">
        <v>98</v>
      </c>
      <c r="V23" t="s">
        <v>99</v>
      </c>
      <c r="W23">
        <v>7</v>
      </c>
      <c r="X23">
        <v>21</v>
      </c>
      <c r="AK23" s="10">
        <f>M23</f>
        <v>60</v>
      </c>
      <c r="AL23" s="10">
        <v>1</v>
      </c>
      <c r="AM23">
        <v>61</v>
      </c>
      <c r="AN23" t="s">
        <v>52</v>
      </c>
      <c r="AO23" t="s">
        <v>53</v>
      </c>
      <c r="AP23">
        <v>-22294</v>
      </c>
      <c r="AQ23">
        <v>0</v>
      </c>
      <c r="AR23" t="s">
        <v>54</v>
      </c>
      <c r="AS23" t="s">
        <v>55</v>
      </c>
      <c r="AT23" t="s">
        <v>55</v>
      </c>
      <c r="AU23" t="s">
        <v>56</v>
      </c>
      <c r="AV23">
        <v>1364</v>
      </c>
      <c r="AW23" t="s">
        <v>57</v>
      </c>
      <c r="AX23" t="s">
        <v>55</v>
      </c>
      <c r="AY23" t="s">
        <v>81</v>
      </c>
      <c r="AZ23" t="s">
        <v>59</v>
      </c>
      <c r="BA23" t="s">
        <v>55</v>
      </c>
      <c r="BB23" t="s">
        <v>49</v>
      </c>
      <c r="BC23" t="s">
        <v>49</v>
      </c>
      <c r="BD23" t="s">
        <v>66</v>
      </c>
      <c r="BE23" t="s">
        <v>55</v>
      </c>
      <c r="BF23">
        <v>4</v>
      </c>
      <c r="BG23" t="s">
        <v>60</v>
      </c>
      <c r="BH23" t="s">
        <v>61</v>
      </c>
      <c r="BI23" t="s">
        <v>62</v>
      </c>
      <c r="BJ23" t="s">
        <v>63</v>
      </c>
      <c r="BK23">
        <v>2003</v>
      </c>
      <c r="BL23">
        <v>1</v>
      </c>
      <c r="BM23">
        <v>1</v>
      </c>
      <c r="BN23">
        <v>1</v>
      </c>
      <c r="BO23">
        <v>1</v>
      </c>
      <c r="BP23">
        <v>1</v>
      </c>
      <c r="BQ23">
        <v>1</v>
      </c>
      <c r="BR23">
        <f>I23-BS23</f>
        <v>105</v>
      </c>
      <c r="BS23">
        <v>183</v>
      </c>
      <c r="BT23">
        <f t="shared" si="0"/>
        <v>6</v>
      </c>
    </row>
    <row r="24" spans="1:72" x14ac:dyDescent="0.2">
      <c r="A24" s="19" t="s">
        <v>100</v>
      </c>
      <c r="B24" s="1">
        <v>2328</v>
      </c>
      <c r="C24">
        <v>0</v>
      </c>
      <c r="D24" t="s">
        <v>68</v>
      </c>
      <c r="E24" s="2" t="s">
        <v>49</v>
      </c>
      <c r="F24" t="s">
        <v>49</v>
      </c>
      <c r="G24">
        <v>2328</v>
      </c>
      <c r="H24" s="2">
        <v>1328</v>
      </c>
      <c r="I24" s="3">
        <v>1328</v>
      </c>
      <c r="J24" s="10">
        <f>1328-20</f>
        <v>1308</v>
      </c>
      <c r="K24" s="11">
        <v>328</v>
      </c>
      <c r="P24" t="s">
        <v>759</v>
      </c>
      <c r="Q24" s="10" t="s">
        <v>87</v>
      </c>
      <c r="R24" s="11" t="s">
        <v>90</v>
      </c>
      <c r="W24">
        <v>8</v>
      </c>
      <c r="X24">
        <v>16</v>
      </c>
      <c r="AA24" s="11">
        <f>K24</f>
        <v>328</v>
      </c>
      <c r="AB24" s="11">
        <v>0</v>
      </c>
      <c r="AK24" s="10">
        <f>J24</f>
        <v>1308</v>
      </c>
      <c r="AL24" s="10">
        <v>1</v>
      </c>
      <c r="AM24">
        <v>87</v>
      </c>
      <c r="AN24" t="s">
        <v>101</v>
      </c>
      <c r="AO24" t="s">
        <v>53</v>
      </c>
      <c r="AP24">
        <v>-31925</v>
      </c>
      <c r="AQ24">
        <v>0</v>
      </c>
      <c r="AR24" t="s">
        <v>54</v>
      </c>
      <c r="AS24" t="s">
        <v>55</v>
      </c>
      <c r="AT24" t="s">
        <v>55</v>
      </c>
      <c r="AU24" t="s">
        <v>56</v>
      </c>
      <c r="AV24">
        <v>1365</v>
      </c>
      <c r="AW24" t="s">
        <v>57</v>
      </c>
      <c r="AX24" t="s">
        <v>55</v>
      </c>
      <c r="AY24" t="s">
        <v>58</v>
      </c>
      <c r="AZ24" t="s">
        <v>59</v>
      </c>
      <c r="BA24" t="s">
        <v>55</v>
      </c>
      <c r="BB24" t="s">
        <v>49</v>
      </c>
      <c r="BC24" t="s">
        <v>49</v>
      </c>
      <c r="BD24" t="s">
        <v>66</v>
      </c>
      <c r="BE24" t="s">
        <v>55</v>
      </c>
      <c r="BF24">
        <v>4</v>
      </c>
      <c r="BG24" t="s">
        <v>60</v>
      </c>
      <c r="BH24" t="s">
        <v>49</v>
      </c>
      <c r="BI24" t="s">
        <v>72</v>
      </c>
      <c r="BJ24" t="s">
        <v>63</v>
      </c>
      <c r="BK24">
        <v>2003</v>
      </c>
      <c r="BL24">
        <v>1</v>
      </c>
      <c r="BM24">
        <v>0</v>
      </c>
      <c r="BR24">
        <f>I24-BS24</f>
        <v>1140</v>
      </c>
      <c r="BS24">
        <v>188</v>
      </c>
      <c r="BT24">
        <f t="shared" si="0"/>
        <v>2</v>
      </c>
    </row>
    <row r="25" spans="1:72" x14ac:dyDescent="0.2">
      <c r="A25" s="19" t="s">
        <v>102</v>
      </c>
      <c r="B25" s="1">
        <v>2174</v>
      </c>
      <c r="C25">
        <v>0</v>
      </c>
      <c r="D25" t="s">
        <v>68</v>
      </c>
      <c r="E25" s="2" t="s">
        <v>49</v>
      </c>
      <c r="F25" t="s">
        <v>49</v>
      </c>
      <c r="G25">
        <v>2174</v>
      </c>
      <c r="H25" s="2" t="s">
        <v>49</v>
      </c>
      <c r="I25" s="3" t="s">
        <v>69</v>
      </c>
      <c r="J25" s="4">
        <f>2174-24</f>
        <v>2150</v>
      </c>
      <c r="Q25" s="4" t="s">
        <v>51</v>
      </c>
      <c r="W25">
        <v>7</v>
      </c>
      <c r="X25">
        <v>14</v>
      </c>
      <c r="Y25" s="4">
        <f>J25</f>
        <v>2150</v>
      </c>
      <c r="Z25" s="4">
        <v>0</v>
      </c>
      <c r="AM25">
        <v>50</v>
      </c>
      <c r="AN25" t="s">
        <v>52</v>
      </c>
      <c r="AO25" t="s">
        <v>53</v>
      </c>
      <c r="AP25">
        <v>-18576</v>
      </c>
      <c r="AQ25">
        <v>0</v>
      </c>
      <c r="AR25" t="s">
        <v>54</v>
      </c>
      <c r="AS25" t="s">
        <v>55</v>
      </c>
      <c r="AT25" t="s">
        <v>55</v>
      </c>
      <c r="AU25" t="s">
        <v>56</v>
      </c>
      <c r="AV25">
        <v>1367</v>
      </c>
      <c r="AW25" t="s">
        <v>70</v>
      </c>
      <c r="AX25" t="s">
        <v>55</v>
      </c>
      <c r="AY25" t="s">
        <v>58</v>
      </c>
      <c r="AZ25" t="s">
        <v>59</v>
      </c>
      <c r="BA25" t="s">
        <v>55</v>
      </c>
      <c r="BB25" t="s">
        <v>49</v>
      </c>
      <c r="BC25" t="s">
        <v>49</v>
      </c>
      <c r="BD25" t="s">
        <v>49</v>
      </c>
      <c r="BE25" t="s">
        <v>55</v>
      </c>
      <c r="BF25">
        <v>4</v>
      </c>
      <c r="BG25" t="s">
        <v>60</v>
      </c>
      <c r="BH25" t="s">
        <v>71</v>
      </c>
      <c r="BI25" t="s">
        <v>62</v>
      </c>
      <c r="BJ25" t="s">
        <v>63</v>
      </c>
      <c r="BK25">
        <v>2003</v>
      </c>
      <c r="BL25">
        <v>0</v>
      </c>
      <c r="BR25">
        <f>B25-BS25</f>
        <v>1975</v>
      </c>
      <c r="BS25">
        <v>199</v>
      </c>
      <c r="BT25">
        <f t="shared" si="0"/>
        <v>1</v>
      </c>
    </row>
    <row r="26" spans="1:72" x14ac:dyDescent="0.2">
      <c r="A26" s="19" t="s">
        <v>527</v>
      </c>
      <c r="B26" s="1">
        <v>642</v>
      </c>
      <c r="C26">
        <v>1</v>
      </c>
      <c r="D26" s="8" t="s">
        <v>48</v>
      </c>
      <c r="E26" s="12">
        <v>315</v>
      </c>
      <c r="F26" s="8">
        <v>642</v>
      </c>
      <c r="G26" s="8">
        <v>642</v>
      </c>
      <c r="H26" s="12" t="s">
        <v>49</v>
      </c>
      <c r="I26" s="3">
        <v>315</v>
      </c>
      <c r="J26" s="8">
        <f>315-56</f>
        <v>259</v>
      </c>
      <c r="K26" s="8">
        <v>53</v>
      </c>
      <c r="L26" s="8"/>
      <c r="M26" s="8"/>
      <c r="N26" s="8"/>
      <c r="O26" s="8"/>
      <c r="P26" s="8" t="s">
        <v>760</v>
      </c>
      <c r="Q26" s="8" t="s">
        <v>78</v>
      </c>
      <c r="R26" s="8" t="s">
        <v>528</v>
      </c>
      <c r="S26" s="8"/>
      <c r="T26" s="8"/>
      <c r="U26" s="8"/>
      <c r="V26" s="8"/>
      <c r="W26" s="8">
        <v>8</v>
      </c>
      <c r="X26" s="8">
        <v>16</v>
      </c>
      <c r="Y26" s="8"/>
      <c r="Z26" s="8"/>
      <c r="AA26" s="8"/>
      <c r="AB26" s="8"/>
      <c r="AC26" s="8"/>
      <c r="AD26" s="8"/>
      <c r="AE26" s="8"/>
      <c r="AF26" s="8"/>
      <c r="AG26" s="8"/>
      <c r="AH26" s="8"/>
      <c r="AI26" s="8"/>
      <c r="AJ26" s="8"/>
      <c r="AK26" s="8"/>
      <c r="AL26" s="8"/>
      <c r="AM26" s="8">
        <v>53</v>
      </c>
      <c r="AN26" s="8" t="s">
        <v>52</v>
      </c>
      <c r="AO26" s="8" t="s">
        <v>53</v>
      </c>
      <c r="AP26" s="8">
        <v>-19570</v>
      </c>
      <c r="AQ26" s="8">
        <v>0</v>
      </c>
      <c r="AR26" s="8" t="s">
        <v>54</v>
      </c>
      <c r="AS26" s="8" t="s">
        <v>55</v>
      </c>
      <c r="AT26" s="8" t="s">
        <v>55</v>
      </c>
      <c r="AU26" s="8" t="s">
        <v>56</v>
      </c>
      <c r="AV26" s="8">
        <v>1369</v>
      </c>
      <c r="AW26" s="8" t="s">
        <v>57</v>
      </c>
      <c r="AX26" s="8" t="s">
        <v>55</v>
      </c>
      <c r="AY26" s="8" t="s">
        <v>49</v>
      </c>
      <c r="AZ26" s="8" t="s">
        <v>59</v>
      </c>
      <c r="BA26" s="8" t="s">
        <v>55</v>
      </c>
      <c r="BB26" s="8" t="s">
        <v>49</v>
      </c>
      <c r="BC26" s="8" t="s">
        <v>115</v>
      </c>
      <c r="BD26" s="8" t="s">
        <v>66</v>
      </c>
      <c r="BE26" s="8" t="s">
        <v>55</v>
      </c>
      <c r="BF26" s="8">
        <v>4</v>
      </c>
      <c r="BG26" s="8" t="s">
        <v>511</v>
      </c>
      <c r="BH26" s="8" t="s">
        <v>61</v>
      </c>
      <c r="BI26" s="8" t="s">
        <v>62</v>
      </c>
      <c r="BJ26" s="8" t="s">
        <v>63</v>
      </c>
      <c r="BK26" s="8">
        <v>2004</v>
      </c>
      <c r="BL26">
        <v>1</v>
      </c>
      <c r="BM26">
        <v>1</v>
      </c>
      <c r="BR26">
        <f>I26-BS26</f>
        <v>77</v>
      </c>
      <c r="BS26">
        <v>238</v>
      </c>
      <c r="BT26">
        <f t="shared" si="0"/>
        <v>2</v>
      </c>
    </row>
    <row r="27" spans="1:72" x14ac:dyDescent="0.2">
      <c r="A27" s="19" t="s">
        <v>103</v>
      </c>
      <c r="B27" s="1">
        <v>2505</v>
      </c>
      <c r="C27">
        <v>0</v>
      </c>
      <c r="D27" t="s">
        <v>68</v>
      </c>
      <c r="E27" s="2" t="s">
        <v>49</v>
      </c>
      <c r="F27" t="s">
        <v>49</v>
      </c>
      <c r="G27">
        <v>2505</v>
      </c>
      <c r="H27" s="2" t="s">
        <v>49</v>
      </c>
      <c r="I27" s="3" t="s">
        <v>69</v>
      </c>
      <c r="J27">
        <v>2505</v>
      </c>
      <c r="Q27" t="s">
        <v>78</v>
      </c>
      <c r="W27" s="8">
        <v>8</v>
      </c>
      <c r="X27" s="8">
        <v>24</v>
      </c>
      <c r="AM27">
        <v>58</v>
      </c>
      <c r="AN27" t="s">
        <v>52</v>
      </c>
      <c r="AO27" t="s">
        <v>53</v>
      </c>
      <c r="AP27">
        <v>-21243</v>
      </c>
      <c r="AQ27">
        <v>0</v>
      </c>
      <c r="AR27" t="s">
        <v>54</v>
      </c>
      <c r="AS27" t="s">
        <v>55</v>
      </c>
      <c r="AT27" t="s">
        <v>55</v>
      </c>
      <c r="AU27" t="s">
        <v>56</v>
      </c>
      <c r="AV27">
        <v>1371</v>
      </c>
      <c r="AW27" t="s">
        <v>70</v>
      </c>
      <c r="AX27" t="s">
        <v>55</v>
      </c>
      <c r="AY27" t="s">
        <v>49</v>
      </c>
      <c r="AZ27" t="s">
        <v>59</v>
      </c>
      <c r="BA27" t="s">
        <v>55</v>
      </c>
      <c r="BB27" t="s">
        <v>49</v>
      </c>
      <c r="BC27" t="s">
        <v>49</v>
      </c>
      <c r="BD27" t="s">
        <v>49</v>
      </c>
      <c r="BE27" t="s">
        <v>55</v>
      </c>
      <c r="BF27">
        <v>4</v>
      </c>
      <c r="BG27" t="s">
        <v>60</v>
      </c>
      <c r="BH27" t="s">
        <v>61</v>
      </c>
      <c r="BI27" t="s">
        <v>62</v>
      </c>
      <c r="BJ27" t="s">
        <v>63</v>
      </c>
      <c r="BK27">
        <v>2001</v>
      </c>
      <c r="BL27">
        <v>0</v>
      </c>
      <c r="BR27">
        <f>B27-BS27</f>
        <v>2307</v>
      </c>
      <c r="BS27">
        <v>198</v>
      </c>
      <c r="BT27">
        <f t="shared" si="0"/>
        <v>1</v>
      </c>
    </row>
    <row r="28" spans="1:72" x14ac:dyDescent="0.2">
      <c r="A28" s="19" t="s">
        <v>531</v>
      </c>
      <c r="B28" s="1">
        <v>1720</v>
      </c>
      <c r="C28">
        <v>1</v>
      </c>
      <c r="D28" s="8" t="s">
        <v>48</v>
      </c>
      <c r="E28" s="12" t="s">
        <v>49</v>
      </c>
      <c r="F28" s="8">
        <v>1720</v>
      </c>
      <c r="G28" s="8">
        <v>1720</v>
      </c>
      <c r="H28" s="12">
        <v>1221</v>
      </c>
      <c r="I28" s="3">
        <v>1221</v>
      </c>
      <c r="J28" s="4">
        <f>1221-31</f>
        <v>1190</v>
      </c>
      <c r="K28" s="4">
        <v>151</v>
      </c>
      <c r="L28" s="8">
        <v>62</v>
      </c>
      <c r="M28" s="5">
        <v>91</v>
      </c>
      <c r="N28" s="8">
        <v>90</v>
      </c>
      <c r="O28" s="21">
        <f>1720-1612</f>
        <v>108</v>
      </c>
      <c r="P28" s="8"/>
      <c r="Q28" s="4" t="s">
        <v>51</v>
      </c>
      <c r="R28" s="4" t="s">
        <v>51</v>
      </c>
      <c r="S28" s="8" t="s">
        <v>532</v>
      </c>
      <c r="T28" s="5" t="s">
        <v>65</v>
      </c>
      <c r="U28" s="8" t="s">
        <v>533</v>
      </c>
      <c r="V28" s="21" t="s">
        <v>87</v>
      </c>
      <c r="W28" s="8">
        <v>8</v>
      </c>
      <c r="X28" s="8">
        <v>16</v>
      </c>
      <c r="Y28" s="4">
        <f>J28+K28</f>
        <v>1341</v>
      </c>
      <c r="Z28" s="4">
        <v>1</v>
      </c>
      <c r="AA28" s="8"/>
      <c r="AB28" s="8"/>
      <c r="AC28" s="8"/>
      <c r="AD28" s="8"/>
      <c r="AE28" s="5">
        <f>M28</f>
        <v>91</v>
      </c>
      <c r="AF28" s="5">
        <v>1</v>
      </c>
      <c r="AG28" s="8"/>
      <c r="AH28" s="8"/>
      <c r="AI28" s="8"/>
      <c r="AJ28" s="8"/>
      <c r="AK28" s="21">
        <f>O28</f>
        <v>108</v>
      </c>
      <c r="AL28" s="21">
        <v>1</v>
      </c>
      <c r="AM28" s="8">
        <v>45</v>
      </c>
      <c r="AN28" s="8" t="s">
        <v>52</v>
      </c>
      <c r="AO28" s="8" t="s">
        <v>53</v>
      </c>
      <c r="AP28" s="8">
        <v>-16724</v>
      </c>
      <c r="AQ28" s="8">
        <v>0</v>
      </c>
      <c r="AR28" s="8" t="s">
        <v>54</v>
      </c>
      <c r="AS28" s="8" t="s">
        <v>55</v>
      </c>
      <c r="AT28" s="8" t="s">
        <v>55</v>
      </c>
      <c r="AU28" s="8" t="s">
        <v>56</v>
      </c>
      <c r="AV28" s="8">
        <v>1514</v>
      </c>
      <c r="AW28" s="8" t="s">
        <v>70</v>
      </c>
      <c r="AX28" s="8" t="s">
        <v>55</v>
      </c>
      <c r="AY28" s="8" t="s">
        <v>58</v>
      </c>
      <c r="AZ28" s="8" t="s">
        <v>59</v>
      </c>
      <c r="BA28" s="8" t="s">
        <v>55</v>
      </c>
      <c r="BB28" s="8" t="s">
        <v>49</v>
      </c>
      <c r="BC28" s="8" t="s">
        <v>49</v>
      </c>
      <c r="BD28" s="8" t="s">
        <v>66</v>
      </c>
      <c r="BE28" s="8" t="s">
        <v>55</v>
      </c>
      <c r="BF28" s="8">
        <v>4</v>
      </c>
      <c r="BG28" s="8" t="s">
        <v>511</v>
      </c>
      <c r="BH28" s="8" t="s">
        <v>71</v>
      </c>
      <c r="BI28" s="8" t="s">
        <v>131</v>
      </c>
      <c r="BJ28" s="8" t="s">
        <v>63</v>
      </c>
      <c r="BK28" s="8">
        <v>2004</v>
      </c>
      <c r="BL28">
        <v>1</v>
      </c>
      <c r="BM28">
        <v>1</v>
      </c>
      <c r="BN28">
        <v>1</v>
      </c>
      <c r="BO28">
        <v>1</v>
      </c>
      <c r="BP28">
        <v>1</v>
      </c>
      <c r="BQ28">
        <v>1</v>
      </c>
      <c r="BR28">
        <f>I28-BS28</f>
        <v>1039</v>
      </c>
      <c r="BS28">
        <v>182</v>
      </c>
      <c r="BT28">
        <f t="shared" si="0"/>
        <v>6</v>
      </c>
    </row>
    <row r="29" spans="1:72" x14ac:dyDescent="0.2">
      <c r="A29" s="19" t="s">
        <v>534</v>
      </c>
      <c r="B29" s="1">
        <v>1265</v>
      </c>
      <c r="C29">
        <v>0</v>
      </c>
      <c r="D29" s="8" t="s">
        <v>68</v>
      </c>
      <c r="E29" s="12" t="s">
        <v>49</v>
      </c>
      <c r="F29" s="8" t="s">
        <v>49</v>
      </c>
      <c r="G29" s="8">
        <v>1265</v>
      </c>
      <c r="H29" s="12" t="s">
        <v>49</v>
      </c>
      <c r="I29" s="3" t="s">
        <v>69</v>
      </c>
      <c r="J29" s="4">
        <f>1265-37</f>
        <v>1228</v>
      </c>
      <c r="K29" s="8"/>
      <c r="L29" s="8"/>
      <c r="M29" s="8"/>
      <c r="N29" s="8"/>
      <c r="O29" s="8"/>
      <c r="P29" s="8"/>
      <c r="Q29" s="4" t="s">
        <v>51</v>
      </c>
      <c r="R29" s="8"/>
      <c r="S29" s="8"/>
      <c r="T29" s="8"/>
      <c r="U29" s="8"/>
      <c r="V29" s="8"/>
      <c r="W29" s="8">
        <v>6</v>
      </c>
      <c r="X29" s="8">
        <v>12</v>
      </c>
      <c r="Y29" s="4">
        <f>J29</f>
        <v>1228</v>
      </c>
      <c r="Z29" s="4">
        <v>1</v>
      </c>
      <c r="AA29" s="8"/>
      <c r="AB29" s="8"/>
      <c r="AC29" s="8"/>
      <c r="AD29" s="8"/>
      <c r="AE29" s="8"/>
      <c r="AF29" s="8"/>
      <c r="AG29" s="8"/>
      <c r="AH29" s="8"/>
      <c r="AI29" s="8"/>
      <c r="AJ29" s="8"/>
      <c r="AK29" s="8"/>
      <c r="AL29" s="8"/>
      <c r="AM29" s="8">
        <v>48</v>
      </c>
      <c r="AN29" s="8" t="s">
        <v>101</v>
      </c>
      <c r="AO29" s="8" t="s">
        <v>53</v>
      </c>
      <c r="AP29" s="8">
        <v>-17767</v>
      </c>
      <c r="AQ29" s="8">
        <v>0</v>
      </c>
      <c r="AR29" s="8" t="s">
        <v>54</v>
      </c>
      <c r="AS29" s="8" t="s">
        <v>55</v>
      </c>
      <c r="AT29" s="8" t="s">
        <v>55</v>
      </c>
      <c r="AU29" s="8" t="s">
        <v>56</v>
      </c>
      <c r="AV29" s="8">
        <v>1516</v>
      </c>
      <c r="AW29" s="8" t="s">
        <v>70</v>
      </c>
      <c r="AX29" s="8" t="s">
        <v>55</v>
      </c>
      <c r="AY29" s="8" t="s">
        <v>58</v>
      </c>
      <c r="AZ29" s="8" t="s">
        <v>59</v>
      </c>
      <c r="BA29" s="8" t="s">
        <v>55</v>
      </c>
      <c r="BB29" s="8" t="s">
        <v>49</v>
      </c>
      <c r="BC29" s="8" t="s">
        <v>482</v>
      </c>
      <c r="BD29" s="8" t="s">
        <v>49</v>
      </c>
      <c r="BE29" s="8" t="s">
        <v>55</v>
      </c>
      <c r="BF29" s="8">
        <v>4</v>
      </c>
      <c r="BG29" s="8" t="s">
        <v>60</v>
      </c>
      <c r="BH29" s="8" t="s">
        <v>71</v>
      </c>
      <c r="BI29" s="8" t="s">
        <v>524</v>
      </c>
      <c r="BJ29" s="8" t="s">
        <v>63</v>
      </c>
      <c r="BK29" s="8">
        <v>2006</v>
      </c>
      <c r="BL29">
        <v>0</v>
      </c>
      <c r="BR29">
        <f>B29-BS29</f>
        <v>1108</v>
      </c>
      <c r="BS29">
        <v>157</v>
      </c>
      <c r="BT29">
        <f t="shared" si="0"/>
        <v>1</v>
      </c>
    </row>
    <row r="30" spans="1:72" x14ac:dyDescent="0.2">
      <c r="A30" s="19" t="s">
        <v>104</v>
      </c>
      <c r="B30" s="1">
        <v>608</v>
      </c>
      <c r="C30">
        <v>1</v>
      </c>
      <c r="D30" t="s">
        <v>48</v>
      </c>
      <c r="E30" s="2" t="s">
        <v>49</v>
      </c>
      <c r="F30">
        <v>608</v>
      </c>
      <c r="G30">
        <v>608</v>
      </c>
      <c r="H30" s="2">
        <v>349</v>
      </c>
      <c r="I30" s="3">
        <v>349</v>
      </c>
      <c r="J30" s="4">
        <f>349-35</f>
        <v>314</v>
      </c>
      <c r="K30">
        <f>608-352</f>
        <v>256</v>
      </c>
      <c r="Q30" s="4" t="s">
        <v>51</v>
      </c>
      <c r="R30" t="s">
        <v>105</v>
      </c>
      <c r="W30" s="8">
        <v>6</v>
      </c>
      <c r="X30" s="8">
        <v>12</v>
      </c>
      <c r="Y30" s="4">
        <f>J30</f>
        <v>314</v>
      </c>
      <c r="Z30" s="4">
        <v>1</v>
      </c>
      <c r="AM30">
        <v>79</v>
      </c>
      <c r="AN30" t="s">
        <v>52</v>
      </c>
      <c r="AO30" t="s">
        <v>53</v>
      </c>
      <c r="AP30">
        <v>-29044</v>
      </c>
      <c r="AQ30">
        <v>0</v>
      </c>
      <c r="AR30" t="s">
        <v>54</v>
      </c>
      <c r="AS30" t="s">
        <v>55</v>
      </c>
      <c r="AT30" t="s">
        <v>55</v>
      </c>
      <c r="AU30" t="s">
        <v>56</v>
      </c>
      <c r="AV30">
        <v>1517</v>
      </c>
      <c r="AW30" t="s">
        <v>57</v>
      </c>
      <c r="AX30" t="s">
        <v>55</v>
      </c>
      <c r="AY30" t="s">
        <v>58</v>
      </c>
      <c r="AZ30" t="s">
        <v>59</v>
      </c>
      <c r="BA30" t="s">
        <v>55</v>
      </c>
      <c r="BB30" t="s">
        <v>49</v>
      </c>
      <c r="BC30" t="s">
        <v>49</v>
      </c>
      <c r="BD30" t="s">
        <v>106</v>
      </c>
      <c r="BE30" t="s">
        <v>55</v>
      </c>
      <c r="BF30">
        <v>4</v>
      </c>
      <c r="BG30" t="s">
        <v>60</v>
      </c>
      <c r="BH30" t="s">
        <v>82</v>
      </c>
      <c r="BI30" t="s">
        <v>62</v>
      </c>
      <c r="BJ30" t="s">
        <v>63</v>
      </c>
      <c r="BK30">
        <v>2006</v>
      </c>
      <c r="BL30">
        <v>1</v>
      </c>
      <c r="BM30">
        <v>1</v>
      </c>
      <c r="BR30">
        <f>I30-BS30</f>
        <v>205</v>
      </c>
      <c r="BS30">
        <v>144</v>
      </c>
      <c r="BT30">
        <f t="shared" si="0"/>
        <v>2</v>
      </c>
    </row>
    <row r="31" spans="1:72" x14ac:dyDescent="0.2">
      <c r="A31" s="19" t="s">
        <v>107</v>
      </c>
      <c r="B31" s="1" t="s">
        <v>50</v>
      </c>
      <c r="C31">
        <v>0</v>
      </c>
      <c r="D31" t="s">
        <v>49</v>
      </c>
      <c r="E31" s="2" t="s">
        <v>49</v>
      </c>
      <c r="F31" t="s">
        <v>49</v>
      </c>
      <c r="G31" t="s">
        <v>49</v>
      </c>
      <c r="H31" s="2" t="s">
        <v>49</v>
      </c>
      <c r="I31" s="3" t="s">
        <v>50</v>
      </c>
      <c r="J31" t="s">
        <v>50</v>
      </c>
      <c r="P31" t="s">
        <v>755</v>
      </c>
      <c r="Q31" t="s">
        <v>50</v>
      </c>
      <c r="AM31">
        <v>48</v>
      </c>
      <c r="AN31" t="s">
        <v>49</v>
      </c>
      <c r="AO31" t="s">
        <v>49</v>
      </c>
      <c r="AP31">
        <v>-17670</v>
      </c>
      <c r="AQ31">
        <v>0</v>
      </c>
      <c r="AR31" t="s">
        <v>54</v>
      </c>
      <c r="AS31" t="s">
        <v>49</v>
      </c>
      <c r="AT31" t="s">
        <v>49</v>
      </c>
      <c r="AU31" t="s">
        <v>49</v>
      </c>
      <c r="AV31">
        <v>1519</v>
      </c>
      <c r="AW31" t="s">
        <v>49</v>
      </c>
      <c r="AX31" t="s">
        <v>55</v>
      </c>
      <c r="AY31" t="s">
        <v>49</v>
      </c>
      <c r="AZ31" t="s">
        <v>49</v>
      </c>
      <c r="BA31" t="s">
        <v>49</v>
      </c>
      <c r="BB31" t="s">
        <v>49</v>
      </c>
      <c r="BC31" t="s">
        <v>49</v>
      </c>
      <c r="BD31" t="s">
        <v>49</v>
      </c>
      <c r="BE31" t="s">
        <v>49</v>
      </c>
      <c r="BF31">
        <v>4</v>
      </c>
      <c r="BG31" t="s">
        <v>60</v>
      </c>
      <c r="BH31" t="s">
        <v>49</v>
      </c>
      <c r="BI31" t="s">
        <v>62</v>
      </c>
      <c r="BJ31" t="s">
        <v>63</v>
      </c>
      <c r="BK31">
        <v>2007</v>
      </c>
      <c r="BT31">
        <f t="shared" si="0"/>
        <v>0</v>
      </c>
    </row>
    <row r="32" spans="1:72" x14ac:dyDescent="0.2">
      <c r="A32" s="19" t="s">
        <v>108</v>
      </c>
      <c r="B32" s="1">
        <v>1167</v>
      </c>
      <c r="C32">
        <v>1</v>
      </c>
      <c r="D32" t="s">
        <v>48</v>
      </c>
      <c r="E32" s="2" t="s">
        <v>49</v>
      </c>
      <c r="F32">
        <v>1167</v>
      </c>
      <c r="G32">
        <v>1167</v>
      </c>
      <c r="H32" s="2">
        <v>212</v>
      </c>
      <c r="I32" s="3">
        <v>212</v>
      </c>
      <c r="J32" s="4">
        <f>212-16</f>
        <v>196</v>
      </c>
      <c r="K32" t="s">
        <v>50</v>
      </c>
      <c r="Q32" s="4" t="s">
        <v>51</v>
      </c>
      <c r="R32" t="s">
        <v>761</v>
      </c>
      <c r="W32">
        <v>8</v>
      </c>
      <c r="X32">
        <v>16</v>
      </c>
      <c r="Y32" s="4">
        <f>J32</f>
        <v>196</v>
      </c>
      <c r="Z32" s="4">
        <v>1</v>
      </c>
      <c r="AM32">
        <v>47</v>
      </c>
      <c r="AN32" t="s">
        <v>52</v>
      </c>
      <c r="AO32" t="s">
        <v>53</v>
      </c>
      <c r="AP32">
        <v>-17469</v>
      </c>
      <c r="AQ32">
        <v>0</v>
      </c>
      <c r="AR32" t="s">
        <v>54</v>
      </c>
      <c r="AS32" t="s">
        <v>55</v>
      </c>
      <c r="AT32" t="s">
        <v>55</v>
      </c>
      <c r="AU32" t="s">
        <v>56</v>
      </c>
      <c r="AV32">
        <v>1525</v>
      </c>
      <c r="AW32" t="s">
        <v>57</v>
      </c>
      <c r="AX32" t="s">
        <v>55</v>
      </c>
      <c r="AY32" t="s">
        <v>58</v>
      </c>
      <c r="AZ32" t="s">
        <v>59</v>
      </c>
      <c r="BA32" t="s">
        <v>55</v>
      </c>
      <c r="BB32" t="s">
        <v>49</v>
      </c>
      <c r="BC32" t="s">
        <v>49</v>
      </c>
      <c r="BD32" t="s">
        <v>106</v>
      </c>
      <c r="BE32" t="s">
        <v>55</v>
      </c>
      <c r="BF32">
        <v>4</v>
      </c>
      <c r="BG32" t="s">
        <v>60</v>
      </c>
      <c r="BH32" t="s">
        <v>61</v>
      </c>
      <c r="BI32" t="s">
        <v>62</v>
      </c>
      <c r="BJ32" t="s">
        <v>63</v>
      </c>
      <c r="BK32">
        <v>2005</v>
      </c>
      <c r="BL32">
        <v>1</v>
      </c>
      <c r="BR32">
        <f t="shared" ref="BR32:BR39" si="1">I32-BS32</f>
        <v>29</v>
      </c>
      <c r="BS32">
        <v>183</v>
      </c>
      <c r="BT32">
        <f t="shared" si="0"/>
        <v>1</v>
      </c>
    </row>
    <row r="33" spans="1:72" x14ac:dyDescent="0.2">
      <c r="A33" s="19" t="s">
        <v>109</v>
      </c>
      <c r="B33" s="1">
        <v>3622</v>
      </c>
      <c r="C33">
        <v>1</v>
      </c>
      <c r="D33" t="s">
        <v>48</v>
      </c>
      <c r="E33" s="2" t="s">
        <v>49</v>
      </c>
      <c r="F33">
        <v>3622</v>
      </c>
      <c r="G33">
        <v>3622</v>
      </c>
      <c r="H33" s="2">
        <v>350</v>
      </c>
      <c r="I33" s="3">
        <v>350</v>
      </c>
      <c r="J33" s="4">
        <f>350-42</f>
        <v>308</v>
      </c>
      <c r="K33" s="4">
        <f>3622-382</f>
        <v>3240</v>
      </c>
      <c r="Q33" s="4" t="s">
        <v>51</v>
      </c>
      <c r="R33" s="4" t="s">
        <v>51</v>
      </c>
      <c r="W33">
        <v>6</v>
      </c>
      <c r="X33">
        <v>12</v>
      </c>
      <c r="Y33" s="4">
        <f>J33+K33</f>
        <v>3548</v>
      </c>
      <c r="Z33" s="4">
        <v>1</v>
      </c>
      <c r="AM33">
        <v>68</v>
      </c>
      <c r="AN33" t="s">
        <v>52</v>
      </c>
      <c r="AO33" t="s">
        <v>53</v>
      </c>
      <c r="AP33">
        <v>-25013</v>
      </c>
      <c r="AQ33">
        <v>0</v>
      </c>
      <c r="AR33" t="s">
        <v>54</v>
      </c>
      <c r="AS33" t="s">
        <v>55</v>
      </c>
      <c r="AT33" t="s">
        <v>55</v>
      </c>
      <c r="AU33" t="s">
        <v>56</v>
      </c>
      <c r="AV33">
        <v>1530</v>
      </c>
      <c r="AW33" t="s">
        <v>57</v>
      </c>
      <c r="AX33" t="s">
        <v>55</v>
      </c>
      <c r="AY33" t="s">
        <v>58</v>
      </c>
      <c r="AZ33" t="s">
        <v>59</v>
      </c>
      <c r="BA33" t="s">
        <v>55</v>
      </c>
      <c r="BB33" t="s">
        <v>49</v>
      </c>
      <c r="BC33" t="s">
        <v>49</v>
      </c>
      <c r="BD33" t="s">
        <v>106</v>
      </c>
      <c r="BE33" t="s">
        <v>55</v>
      </c>
      <c r="BF33">
        <v>4</v>
      </c>
      <c r="BG33" t="s">
        <v>60</v>
      </c>
      <c r="BH33" t="s">
        <v>61</v>
      </c>
      <c r="BI33" t="s">
        <v>62</v>
      </c>
      <c r="BJ33" t="s">
        <v>63</v>
      </c>
      <c r="BK33">
        <v>1995</v>
      </c>
      <c r="BL33">
        <v>1</v>
      </c>
      <c r="BM33">
        <v>1</v>
      </c>
      <c r="BR33">
        <f t="shared" si="1"/>
        <v>198</v>
      </c>
      <c r="BS33">
        <v>152</v>
      </c>
      <c r="BT33">
        <f t="shared" si="0"/>
        <v>2</v>
      </c>
    </row>
    <row r="34" spans="1:72" x14ac:dyDescent="0.2">
      <c r="A34" s="19" t="s">
        <v>110</v>
      </c>
      <c r="B34" s="1">
        <v>884</v>
      </c>
      <c r="C34">
        <v>1</v>
      </c>
      <c r="D34" t="s">
        <v>48</v>
      </c>
      <c r="E34" s="2" t="s">
        <v>49</v>
      </c>
      <c r="F34">
        <v>884</v>
      </c>
      <c r="G34">
        <v>884</v>
      </c>
      <c r="H34" s="2">
        <v>498</v>
      </c>
      <c r="I34" s="3">
        <v>498</v>
      </c>
      <c r="J34">
        <f>498-36</f>
        <v>462</v>
      </c>
      <c r="K34">
        <f>884-517</f>
        <v>367</v>
      </c>
      <c r="Q34" t="s">
        <v>96</v>
      </c>
      <c r="R34" t="s">
        <v>96</v>
      </c>
      <c r="W34">
        <v>8</v>
      </c>
      <c r="X34">
        <v>24</v>
      </c>
      <c r="AM34">
        <v>60</v>
      </c>
      <c r="AN34" t="s">
        <v>52</v>
      </c>
      <c r="AO34" t="s">
        <v>53</v>
      </c>
      <c r="AP34">
        <v>-21939</v>
      </c>
      <c r="AQ34">
        <v>0</v>
      </c>
      <c r="AR34" t="s">
        <v>54</v>
      </c>
      <c r="AS34" t="s">
        <v>55</v>
      </c>
      <c r="AT34" t="s">
        <v>55</v>
      </c>
      <c r="AU34" t="s">
        <v>85</v>
      </c>
      <c r="AV34">
        <v>1536</v>
      </c>
      <c r="AW34" t="s">
        <v>57</v>
      </c>
      <c r="AX34" t="s">
        <v>55</v>
      </c>
      <c r="AY34" t="s">
        <v>49</v>
      </c>
      <c r="AZ34" t="s">
        <v>111</v>
      </c>
      <c r="BA34" t="s">
        <v>55</v>
      </c>
      <c r="BB34" t="s">
        <v>49</v>
      </c>
      <c r="BC34" t="s">
        <v>49</v>
      </c>
      <c r="BD34" t="s">
        <v>66</v>
      </c>
      <c r="BE34" t="s">
        <v>55</v>
      </c>
      <c r="BF34">
        <v>4</v>
      </c>
      <c r="BG34" t="s">
        <v>60</v>
      </c>
      <c r="BH34" t="s">
        <v>61</v>
      </c>
      <c r="BI34" t="s">
        <v>83</v>
      </c>
      <c r="BJ34" t="s">
        <v>63</v>
      </c>
      <c r="BK34">
        <v>2001</v>
      </c>
      <c r="BL34">
        <v>1</v>
      </c>
      <c r="BM34">
        <v>1</v>
      </c>
      <c r="BR34">
        <f t="shared" si="1"/>
        <v>267</v>
      </c>
      <c r="BS34">
        <v>231</v>
      </c>
      <c r="BT34">
        <f t="shared" si="0"/>
        <v>2</v>
      </c>
    </row>
    <row r="35" spans="1:72" x14ac:dyDescent="0.2">
      <c r="A35" s="19" t="s">
        <v>538</v>
      </c>
      <c r="B35" s="1">
        <v>2561</v>
      </c>
      <c r="C35">
        <v>1</v>
      </c>
      <c r="D35" s="8" t="s">
        <v>48</v>
      </c>
      <c r="E35" s="12" t="s">
        <v>49</v>
      </c>
      <c r="F35" s="8">
        <v>2561</v>
      </c>
      <c r="G35" s="8">
        <v>2561</v>
      </c>
      <c r="H35" s="12">
        <v>1035</v>
      </c>
      <c r="I35" s="3">
        <v>1035</v>
      </c>
      <c r="J35" s="8">
        <f>1035-2</f>
        <v>1033</v>
      </c>
      <c r="K35" s="4">
        <v>435</v>
      </c>
      <c r="L35" s="5">
        <v>63</v>
      </c>
      <c r="M35" s="21">
        <v>444</v>
      </c>
      <c r="N35" s="8">
        <v>122</v>
      </c>
      <c r="O35" s="6">
        <v>92</v>
      </c>
      <c r="P35" s="8" t="s">
        <v>762</v>
      </c>
      <c r="Q35" s="8" t="s">
        <v>78</v>
      </c>
      <c r="R35" s="4" t="s">
        <v>51</v>
      </c>
      <c r="S35" s="5" t="s">
        <v>65</v>
      </c>
      <c r="T35" s="21" t="s">
        <v>87</v>
      </c>
      <c r="U35" s="8" t="s">
        <v>539</v>
      </c>
      <c r="V35" s="6" t="s">
        <v>74</v>
      </c>
      <c r="W35" s="8">
        <v>8</v>
      </c>
      <c r="X35" s="8">
        <v>24</v>
      </c>
      <c r="Y35" s="4">
        <f>K35</f>
        <v>435</v>
      </c>
      <c r="Z35" s="4">
        <v>1</v>
      </c>
      <c r="AA35" s="8"/>
      <c r="AB35" s="8"/>
      <c r="AC35" s="6">
        <f>O35</f>
        <v>92</v>
      </c>
      <c r="AD35" s="6">
        <v>1</v>
      </c>
      <c r="AE35" s="5">
        <f>L35</f>
        <v>63</v>
      </c>
      <c r="AF35" s="5">
        <v>1</v>
      </c>
      <c r="AG35" s="8"/>
      <c r="AH35" s="8"/>
      <c r="AI35" s="8"/>
      <c r="AJ35" s="8"/>
      <c r="AK35" s="21">
        <f>M35</f>
        <v>444</v>
      </c>
      <c r="AL35" s="21">
        <v>1</v>
      </c>
      <c r="AM35" s="8">
        <v>52</v>
      </c>
      <c r="AN35" s="8" t="s">
        <v>52</v>
      </c>
      <c r="AO35" s="8" t="s">
        <v>53</v>
      </c>
      <c r="AP35" s="8">
        <v>-19263</v>
      </c>
      <c r="AQ35" s="8">
        <v>0</v>
      </c>
      <c r="AR35" s="8" t="s">
        <v>54</v>
      </c>
      <c r="AS35" s="8" t="s">
        <v>55</v>
      </c>
      <c r="AT35" s="8" t="s">
        <v>55</v>
      </c>
      <c r="AU35" s="8" t="s">
        <v>56</v>
      </c>
      <c r="AV35" s="8">
        <v>1542</v>
      </c>
      <c r="AW35" s="8" t="s">
        <v>57</v>
      </c>
      <c r="AX35" s="8" t="s">
        <v>55</v>
      </c>
      <c r="AY35" s="8" t="s">
        <v>58</v>
      </c>
      <c r="AZ35" s="8" t="s">
        <v>59</v>
      </c>
      <c r="BA35" s="8" t="s">
        <v>55</v>
      </c>
      <c r="BB35" s="8" t="s">
        <v>49</v>
      </c>
      <c r="BC35" s="8" t="s">
        <v>49</v>
      </c>
      <c r="BD35" s="8" t="s">
        <v>66</v>
      </c>
      <c r="BE35" s="8" t="s">
        <v>55</v>
      </c>
      <c r="BF35" s="8">
        <v>4</v>
      </c>
      <c r="BG35" s="8" t="s">
        <v>511</v>
      </c>
      <c r="BH35" s="8" t="s">
        <v>61</v>
      </c>
      <c r="BI35" s="8" t="s">
        <v>72</v>
      </c>
      <c r="BJ35" s="8" t="s">
        <v>63</v>
      </c>
      <c r="BK35" s="8">
        <v>2001</v>
      </c>
      <c r="BL35">
        <v>1</v>
      </c>
      <c r="BM35">
        <v>1</v>
      </c>
      <c r="BN35">
        <v>1</v>
      </c>
      <c r="BO35">
        <v>1</v>
      </c>
      <c r="BP35">
        <v>1</v>
      </c>
      <c r="BQ35">
        <v>1</v>
      </c>
      <c r="BR35">
        <f t="shared" si="1"/>
        <v>853</v>
      </c>
      <c r="BS35">
        <v>182</v>
      </c>
      <c r="BT35">
        <f t="shared" si="0"/>
        <v>6</v>
      </c>
    </row>
    <row r="36" spans="1:72" x14ac:dyDescent="0.2">
      <c r="A36" s="19" t="s">
        <v>112</v>
      </c>
      <c r="B36" s="1">
        <v>1685</v>
      </c>
      <c r="C36">
        <v>1</v>
      </c>
      <c r="D36" t="s">
        <v>48</v>
      </c>
      <c r="E36" s="2" t="s">
        <v>49</v>
      </c>
      <c r="F36">
        <v>1685</v>
      </c>
      <c r="G36">
        <v>1685</v>
      </c>
      <c r="H36" s="2">
        <v>298</v>
      </c>
      <c r="I36" s="3">
        <v>298</v>
      </c>
      <c r="J36">
        <f>298-17</f>
        <v>281</v>
      </c>
      <c r="K36">
        <f>1685-346</f>
        <v>1339</v>
      </c>
      <c r="P36" t="s">
        <v>763</v>
      </c>
      <c r="Q36" t="s">
        <v>78</v>
      </c>
      <c r="R36" t="s">
        <v>96</v>
      </c>
      <c r="W36" s="8">
        <v>8</v>
      </c>
      <c r="X36" s="8">
        <v>24</v>
      </c>
      <c r="AM36">
        <v>57</v>
      </c>
      <c r="AN36" t="s">
        <v>49</v>
      </c>
      <c r="AO36" t="s">
        <v>53</v>
      </c>
      <c r="AP36">
        <v>-20987</v>
      </c>
      <c r="AQ36">
        <v>0</v>
      </c>
      <c r="AR36" t="s">
        <v>54</v>
      </c>
      <c r="AS36" t="s">
        <v>55</v>
      </c>
      <c r="AT36" t="s">
        <v>55</v>
      </c>
      <c r="AU36" t="s">
        <v>56</v>
      </c>
      <c r="AV36">
        <v>1638</v>
      </c>
      <c r="AW36" t="s">
        <v>70</v>
      </c>
      <c r="AX36" t="s">
        <v>55</v>
      </c>
      <c r="AY36" t="s">
        <v>49</v>
      </c>
      <c r="AZ36" t="s">
        <v>111</v>
      </c>
      <c r="BA36" t="s">
        <v>55</v>
      </c>
      <c r="BB36" t="s">
        <v>49</v>
      </c>
      <c r="BC36" t="s">
        <v>49</v>
      </c>
      <c r="BD36" t="s">
        <v>66</v>
      </c>
      <c r="BE36" t="s">
        <v>55</v>
      </c>
      <c r="BF36">
        <v>4</v>
      </c>
      <c r="BG36" t="s">
        <v>60</v>
      </c>
      <c r="BH36" t="s">
        <v>71</v>
      </c>
      <c r="BI36" t="s">
        <v>83</v>
      </c>
      <c r="BJ36" t="s">
        <v>63</v>
      </c>
      <c r="BK36">
        <v>2002</v>
      </c>
      <c r="BL36">
        <v>1</v>
      </c>
      <c r="BM36">
        <v>1</v>
      </c>
      <c r="BR36">
        <f t="shared" si="1"/>
        <v>106</v>
      </c>
      <c r="BS36">
        <v>192</v>
      </c>
      <c r="BT36">
        <f t="shared" si="0"/>
        <v>2</v>
      </c>
    </row>
    <row r="37" spans="1:72" x14ac:dyDescent="0.2">
      <c r="A37" s="19" t="s">
        <v>113</v>
      </c>
      <c r="B37" s="1">
        <v>1487</v>
      </c>
      <c r="C37">
        <v>1</v>
      </c>
      <c r="D37" t="s">
        <v>48</v>
      </c>
      <c r="E37" s="2">
        <v>634</v>
      </c>
      <c r="F37">
        <v>1487</v>
      </c>
      <c r="G37">
        <v>1487</v>
      </c>
      <c r="H37" s="2" t="s">
        <v>49</v>
      </c>
      <c r="I37" s="3">
        <v>634</v>
      </c>
      <c r="J37">
        <f>634-17</f>
        <v>617</v>
      </c>
      <c r="K37">
        <f>1487-661</f>
        <v>826</v>
      </c>
      <c r="Q37" t="s">
        <v>78</v>
      </c>
      <c r="R37" t="s">
        <v>79</v>
      </c>
      <c r="W37" s="8">
        <v>8</v>
      </c>
      <c r="X37" s="8">
        <v>16</v>
      </c>
      <c r="AM37">
        <v>48</v>
      </c>
      <c r="AN37" t="s">
        <v>52</v>
      </c>
      <c r="AO37" t="s">
        <v>53</v>
      </c>
      <c r="AP37">
        <v>-17724</v>
      </c>
      <c r="AQ37">
        <v>0</v>
      </c>
      <c r="AR37" t="s">
        <v>54</v>
      </c>
      <c r="AS37" t="s">
        <v>55</v>
      </c>
      <c r="AT37" t="s">
        <v>55</v>
      </c>
      <c r="AU37" t="s">
        <v>56</v>
      </c>
      <c r="AV37">
        <v>1644</v>
      </c>
      <c r="AW37" t="s">
        <v>57</v>
      </c>
      <c r="AX37" t="s">
        <v>55</v>
      </c>
      <c r="AY37" t="s">
        <v>114</v>
      </c>
      <c r="AZ37" t="s">
        <v>59</v>
      </c>
      <c r="BA37" t="s">
        <v>55</v>
      </c>
      <c r="BB37" t="s">
        <v>49</v>
      </c>
      <c r="BC37" t="s">
        <v>115</v>
      </c>
      <c r="BD37" t="s">
        <v>66</v>
      </c>
      <c r="BE37" t="s">
        <v>55</v>
      </c>
      <c r="BF37">
        <v>4</v>
      </c>
      <c r="BG37" t="s">
        <v>60</v>
      </c>
      <c r="BH37" t="s">
        <v>82</v>
      </c>
      <c r="BI37" t="s">
        <v>62</v>
      </c>
      <c r="BJ37" t="s">
        <v>63</v>
      </c>
      <c r="BK37">
        <v>2002</v>
      </c>
      <c r="BL37">
        <v>1</v>
      </c>
      <c r="BM37">
        <v>1</v>
      </c>
      <c r="BR37">
        <f t="shared" si="1"/>
        <v>413</v>
      </c>
      <c r="BS37">
        <v>221</v>
      </c>
      <c r="BT37">
        <f t="shared" si="0"/>
        <v>2</v>
      </c>
    </row>
    <row r="38" spans="1:72" x14ac:dyDescent="0.2">
      <c r="A38" s="19" t="s">
        <v>116</v>
      </c>
      <c r="B38" s="1">
        <v>848</v>
      </c>
      <c r="C38">
        <v>1</v>
      </c>
      <c r="D38" t="s">
        <v>48</v>
      </c>
      <c r="E38" s="2" t="s">
        <v>49</v>
      </c>
      <c r="F38">
        <v>848</v>
      </c>
      <c r="G38">
        <v>848</v>
      </c>
      <c r="H38" s="2">
        <v>508</v>
      </c>
      <c r="I38" s="3">
        <v>508</v>
      </c>
      <c r="J38">
        <f>508-18</f>
        <v>490</v>
      </c>
      <c r="K38" t="s">
        <v>50</v>
      </c>
      <c r="L38" t="s">
        <v>50</v>
      </c>
      <c r="P38" t="s">
        <v>764</v>
      </c>
      <c r="Q38" t="s">
        <v>78</v>
      </c>
      <c r="R38" t="s">
        <v>65</v>
      </c>
      <c r="S38" t="s">
        <v>80</v>
      </c>
      <c r="W38" s="8">
        <v>8</v>
      </c>
      <c r="X38" s="8">
        <v>24</v>
      </c>
      <c r="AM38">
        <v>60</v>
      </c>
      <c r="AN38" t="s">
        <v>52</v>
      </c>
      <c r="AO38" t="s">
        <v>53</v>
      </c>
      <c r="AP38">
        <v>-22207</v>
      </c>
      <c r="AQ38">
        <v>0</v>
      </c>
      <c r="AR38" t="s">
        <v>54</v>
      </c>
      <c r="AS38" t="s">
        <v>55</v>
      </c>
      <c r="AT38" t="s">
        <v>55</v>
      </c>
      <c r="AU38" t="s">
        <v>56</v>
      </c>
      <c r="AV38">
        <v>1646</v>
      </c>
      <c r="AW38" t="s">
        <v>57</v>
      </c>
      <c r="AX38" t="s">
        <v>55</v>
      </c>
      <c r="AY38" t="s">
        <v>49</v>
      </c>
      <c r="AZ38" t="s">
        <v>59</v>
      </c>
      <c r="BA38" t="s">
        <v>55</v>
      </c>
      <c r="BB38" t="s">
        <v>49</v>
      </c>
      <c r="BC38" t="s">
        <v>49</v>
      </c>
      <c r="BD38" t="s">
        <v>66</v>
      </c>
      <c r="BE38" t="s">
        <v>55</v>
      </c>
      <c r="BF38">
        <v>4</v>
      </c>
      <c r="BG38" t="s">
        <v>60</v>
      </c>
      <c r="BH38" t="s">
        <v>61</v>
      </c>
      <c r="BI38" t="s">
        <v>62</v>
      </c>
      <c r="BJ38" t="s">
        <v>63</v>
      </c>
      <c r="BK38">
        <v>2003</v>
      </c>
      <c r="BL38">
        <v>1</v>
      </c>
      <c r="BR38">
        <f t="shared" si="1"/>
        <v>269</v>
      </c>
      <c r="BS38">
        <v>239</v>
      </c>
      <c r="BT38">
        <f t="shared" si="0"/>
        <v>1</v>
      </c>
    </row>
    <row r="39" spans="1:72" x14ac:dyDescent="0.2">
      <c r="A39" s="19" t="s">
        <v>543</v>
      </c>
      <c r="B39" s="1">
        <v>871</v>
      </c>
      <c r="C39">
        <v>1</v>
      </c>
      <c r="D39" s="8" t="s">
        <v>48</v>
      </c>
      <c r="E39" s="12" t="s">
        <v>49</v>
      </c>
      <c r="F39" s="8">
        <v>871</v>
      </c>
      <c r="G39" s="8">
        <v>871</v>
      </c>
      <c r="H39" s="12">
        <v>412</v>
      </c>
      <c r="I39" s="3">
        <v>412</v>
      </c>
      <c r="J39" s="8">
        <f>412-3</f>
        <v>409</v>
      </c>
      <c r="K39" s="8" t="s">
        <v>50</v>
      </c>
      <c r="L39" s="8" t="s">
        <v>50</v>
      </c>
      <c r="M39" s="8" t="s">
        <v>50</v>
      </c>
      <c r="N39" s="8"/>
      <c r="O39" s="8"/>
      <c r="P39" s="8" t="s">
        <v>765</v>
      </c>
      <c r="Q39" s="8" t="s">
        <v>78</v>
      </c>
      <c r="R39" s="8" t="s">
        <v>50</v>
      </c>
      <c r="S39" s="8" t="s">
        <v>50</v>
      </c>
      <c r="T39" s="8" t="s">
        <v>50</v>
      </c>
      <c r="U39" s="8"/>
      <c r="V39" s="8"/>
      <c r="W39" s="8">
        <v>8</v>
      </c>
      <c r="X39" s="8">
        <v>24</v>
      </c>
      <c r="Y39" s="8"/>
      <c r="Z39" s="8"/>
      <c r="AA39" s="8"/>
      <c r="AB39" s="8"/>
      <c r="AC39" s="8"/>
      <c r="AD39" s="8"/>
      <c r="AE39" s="8"/>
      <c r="AF39" s="8"/>
      <c r="AG39" s="8"/>
      <c r="AH39" s="8"/>
      <c r="AI39" s="8"/>
      <c r="AJ39" s="8"/>
      <c r="AK39" s="8"/>
      <c r="AL39" s="8"/>
      <c r="AM39" s="8">
        <v>57</v>
      </c>
      <c r="AN39" s="8" t="s">
        <v>49</v>
      </c>
      <c r="AO39" s="8" t="s">
        <v>53</v>
      </c>
      <c r="AP39" s="8">
        <v>-21113</v>
      </c>
      <c r="AQ39" s="8">
        <v>0</v>
      </c>
      <c r="AR39" s="8" t="s">
        <v>54</v>
      </c>
      <c r="AS39" s="8" t="s">
        <v>55</v>
      </c>
      <c r="AT39" s="8" t="s">
        <v>55</v>
      </c>
      <c r="AU39" s="8" t="s">
        <v>85</v>
      </c>
      <c r="AV39" s="8">
        <v>1648</v>
      </c>
      <c r="AW39" s="8" t="s">
        <v>49</v>
      </c>
      <c r="AX39" s="8" t="s">
        <v>55</v>
      </c>
      <c r="AY39" s="8" t="s">
        <v>49</v>
      </c>
      <c r="AZ39" s="8" t="s">
        <v>59</v>
      </c>
      <c r="BA39" s="8" t="s">
        <v>55</v>
      </c>
      <c r="BB39" s="8" t="s">
        <v>49</v>
      </c>
      <c r="BC39" s="8" t="s">
        <v>49</v>
      </c>
      <c r="BD39" s="8" t="s">
        <v>49</v>
      </c>
      <c r="BE39" s="8" t="s">
        <v>55</v>
      </c>
      <c r="BF39" s="8">
        <v>4</v>
      </c>
      <c r="BG39" s="8" t="s">
        <v>511</v>
      </c>
      <c r="BH39" s="8" t="s">
        <v>61</v>
      </c>
      <c r="BI39" s="8" t="s">
        <v>62</v>
      </c>
      <c r="BJ39" s="8" t="s">
        <v>63</v>
      </c>
      <c r="BK39" s="8">
        <v>2003</v>
      </c>
      <c r="BL39">
        <v>1</v>
      </c>
      <c r="BR39">
        <f t="shared" si="1"/>
        <v>263</v>
      </c>
      <c r="BS39">
        <v>149</v>
      </c>
      <c r="BT39">
        <f t="shared" si="0"/>
        <v>1</v>
      </c>
    </row>
    <row r="40" spans="1:72" x14ac:dyDescent="0.2">
      <c r="A40" s="19" t="s">
        <v>117</v>
      </c>
      <c r="B40" s="1">
        <v>1966</v>
      </c>
      <c r="C40">
        <v>0</v>
      </c>
      <c r="D40" t="s">
        <v>68</v>
      </c>
      <c r="E40" s="2" t="s">
        <v>49</v>
      </c>
      <c r="F40" t="s">
        <v>49</v>
      </c>
      <c r="G40">
        <v>1966</v>
      </c>
      <c r="H40" s="2">
        <v>1672</v>
      </c>
      <c r="I40" s="3" t="s">
        <v>69</v>
      </c>
      <c r="J40" s="4">
        <v>262</v>
      </c>
      <c r="P40" s="8" t="s">
        <v>769</v>
      </c>
      <c r="Q40" s="4" t="s">
        <v>51</v>
      </c>
      <c r="Y40" s="4">
        <f>J40</f>
        <v>262</v>
      </c>
      <c r="Z40" s="4">
        <v>0</v>
      </c>
      <c r="AM40">
        <v>74</v>
      </c>
      <c r="AN40" t="s">
        <v>52</v>
      </c>
      <c r="AO40" t="s">
        <v>55</v>
      </c>
      <c r="AP40">
        <v>-27165</v>
      </c>
      <c r="AQ40">
        <v>0</v>
      </c>
      <c r="AR40" t="s">
        <v>54</v>
      </c>
      <c r="AS40" t="s">
        <v>55</v>
      </c>
      <c r="AT40" t="s">
        <v>55</v>
      </c>
      <c r="AU40" t="s">
        <v>56</v>
      </c>
      <c r="AV40">
        <v>1649</v>
      </c>
      <c r="AW40" t="s">
        <v>49</v>
      </c>
      <c r="AX40" t="s">
        <v>55</v>
      </c>
      <c r="AY40" t="s">
        <v>49</v>
      </c>
      <c r="AZ40" t="s">
        <v>59</v>
      </c>
      <c r="BA40" t="s">
        <v>55</v>
      </c>
      <c r="BB40" t="s">
        <v>49</v>
      </c>
      <c r="BC40" t="s">
        <v>49</v>
      </c>
      <c r="BD40" t="s">
        <v>66</v>
      </c>
      <c r="BE40" t="s">
        <v>55</v>
      </c>
      <c r="BF40">
        <v>4</v>
      </c>
      <c r="BG40" t="s">
        <v>60</v>
      </c>
      <c r="BH40" t="s">
        <v>61</v>
      </c>
      <c r="BI40" t="s">
        <v>62</v>
      </c>
      <c r="BJ40" t="s">
        <v>63</v>
      </c>
      <c r="BK40">
        <v>2003</v>
      </c>
      <c r="BL40">
        <v>0</v>
      </c>
      <c r="BR40">
        <f>B40-BS40</f>
        <v>1966</v>
      </c>
      <c r="BT40">
        <f t="shared" si="0"/>
        <v>1</v>
      </c>
    </row>
    <row r="41" spans="1:72" x14ac:dyDescent="0.2">
      <c r="A41" s="19" t="s">
        <v>118</v>
      </c>
      <c r="B41" s="1">
        <v>1102</v>
      </c>
      <c r="C41">
        <v>1</v>
      </c>
      <c r="D41" t="s">
        <v>48</v>
      </c>
      <c r="E41" s="2" t="s">
        <v>49</v>
      </c>
      <c r="F41">
        <v>1102</v>
      </c>
      <c r="G41">
        <v>1102</v>
      </c>
      <c r="H41" s="2">
        <v>60</v>
      </c>
      <c r="I41" s="3">
        <v>638</v>
      </c>
      <c r="J41">
        <f>638-24</f>
        <v>614</v>
      </c>
      <c r="K41" s="11">
        <f>994-639</f>
        <v>355</v>
      </c>
      <c r="L41" s="7">
        <v>108</v>
      </c>
      <c r="Q41" t="s">
        <v>78</v>
      </c>
      <c r="R41" s="11" t="s">
        <v>90</v>
      </c>
      <c r="S41" s="7" t="s">
        <v>75</v>
      </c>
      <c r="W41">
        <v>6</v>
      </c>
      <c r="X41">
        <v>18</v>
      </c>
      <c r="AA41" s="11">
        <f>K41</f>
        <v>355</v>
      </c>
      <c r="AB41" s="11">
        <v>1</v>
      </c>
      <c r="AI41" s="7">
        <f>L41</f>
        <v>108</v>
      </c>
      <c r="AJ41" s="7">
        <v>1</v>
      </c>
      <c r="AK41" s="8"/>
      <c r="AL41" s="8"/>
      <c r="AM41">
        <v>53</v>
      </c>
      <c r="AN41" t="s">
        <v>52</v>
      </c>
      <c r="AO41" t="s">
        <v>53</v>
      </c>
      <c r="AP41">
        <v>-19628</v>
      </c>
      <c r="AQ41">
        <v>0</v>
      </c>
      <c r="AR41" t="s">
        <v>54</v>
      </c>
      <c r="AS41" t="s">
        <v>55</v>
      </c>
      <c r="AT41" t="s">
        <v>55</v>
      </c>
      <c r="AU41" t="s">
        <v>85</v>
      </c>
      <c r="AV41">
        <v>1651</v>
      </c>
      <c r="AW41" t="s">
        <v>49</v>
      </c>
      <c r="AX41" t="s">
        <v>55</v>
      </c>
      <c r="AY41" t="s">
        <v>49</v>
      </c>
      <c r="AZ41" t="s">
        <v>59</v>
      </c>
      <c r="BA41" t="s">
        <v>55</v>
      </c>
      <c r="BB41" t="s">
        <v>49</v>
      </c>
      <c r="BC41" t="s">
        <v>49</v>
      </c>
      <c r="BD41" t="s">
        <v>66</v>
      </c>
      <c r="BE41" t="s">
        <v>55</v>
      </c>
      <c r="BF41">
        <v>4</v>
      </c>
      <c r="BG41" t="s">
        <v>60</v>
      </c>
      <c r="BH41" t="s">
        <v>61</v>
      </c>
      <c r="BI41" t="s">
        <v>62</v>
      </c>
      <c r="BJ41" t="s">
        <v>63</v>
      </c>
      <c r="BK41">
        <v>2004</v>
      </c>
      <c r="BL41">
        <v>1</v>
      </c>
      <c r="BM41">
        <v>1</v>
      </c>
      <c r="BN41">
        <v>1</v>
      </c>
      <c r="BR41">
        <f t="shared" ref="BR41:BR56" si="2">I41-BS41</f>
        <v>488</v>
      </c>
      <c r="BS41">
        <v>150</v>
      </c>
      <c r="BT41">
        <f t="shared" si="0"/>
        <v>3</v>
      </c>
    </row>
    <row r="42" spans="1:72" x14ac:dyDescent="0.2">
      <c r="A42" s="19" t="s">
        <v>544</v>
      </c>
      <c r="B42" s="1">
        <v>969</v>
      </c>
      <c r="C42">
        <v>1</v>
      </c>
      <c r="D42" s="8" t="s">
        <v>48</v>
      </c>
      <c r="E42" s="12" t="s">
        <v>49</v>
      </c>
      <c r="F42" s="8">
        <v>969</v>
      </c>
      <c r="G42" s="8">
        <v>969</v>
      </c>
      <c r="H42" s="12">
        <v>880</v>
      </c>
      <c r="I42" s="3">
        <v>880</v>
      </c>
      <c r="J42" s="8">
        <f>880-62</f>
        <v>818</v>
      </c>
      <c r="K42" s="6">
        <v>75</v>
      </c>
      <c r="L42" s="8"/>
      <c r="M42" s="8"/>
      <c r="N42" s="8"/>
      <c r="O42" s="8"/>
      <c r="P42" s="8"/>
      <c r="Q42" s="8" t="s">
        <v>78</v>
      </c>
      <c r="R42" s="6" t="s">
        <v>74</v>
      </c>
      <c r="S42" s="8"/>
      <c r="T42" s="8"/>
      <c r="U42" s="8"/>
      <c r="V42" s="8"/>
      <c r="W42" s="8">
        <v>8</v>
      </c>
      <c r="X42" s="8">
        <v>24</v>
      </c>
      <c r="Y42" s="8"/>
      <c r="Z42" s="8"/>
      <c r="AA42" s="8"/>
      <c r="AB42" s="8"/>
      <c r="AC42" s="6">
        <f>K42</f>
        <v>75</v>
      </c>
      <c r="AD42" s="6">
        <v>1</v>
      </c>
      <c r="AE42" s="8"/>
      <c r="AF42" s="8"/>
      <c r="AG42" s="8"/>
      <c r="AH42" s="8"/>
      <c r="AI42" s="8"/>
      <c r="AJ42" s="8"/>
      <c r="AK42" s="8"/>
      <c r="AL42" s="8"/>
      <c r="AM42" s="8">
        <v>76</v>
      </c>
      <c r="AN42" s="8" t="s">
        <v>126</v>
      </c>
      <c r="AO42" s="8" t="s">
        <v>53</v>
      </c>
      <c r="AP42" s="8">
        <v>-28101</v>
      </c>
      <c r="AQ42" s="8">
        <v>0</v>
      </c>
      <c r="AR42" s="8" t="s">
        <v>54</v>
      </c>
      <c r="AS42" s="8" t="s">
        <v>55</v>
      </c>
      <c r="AT42" s="8" t="s">
        <v>55</v>
      </c>
      <c r="AU42" s="8" t="s">
        <v>56</v>
      </c>
      <c r="AV42" s="8">
        <v>1652</v>
      </c>
      <c r="AW42" s="8" t="s">
        <v>57</v>
      </c>
      <c r="AX42" s="8" t="s">
        <v>55</v>
      </c>
      <c r="AY42" s="8" t="s">
        <v>58</v>
      </c>
      <c r="AZ42" s="8" t="s">
        <v>59</v>
      </c>
      <c r="BA42" s="8" t="s">
        <v>55</v>
      </c>
      <c r="BB42" s="8" t="s">
        <v>49</v>
      </c>
      <c r="BC42" s="8" t="s">
        <v>49</v>
      </c>
      <c r="BD42" s="8" t="s">
        <v>106</v>
      </c>
      <c r="BE42" s="8" t="s">
        <v>55</v>
      </c>
      <c r="BF42" s="8">
        <v>4</v>
      </c>
      <c r="BG42" s="8" t="s">
        <v>511</v>
      </c>
      <c r="BH42" s="8" t="s">
        <v>49</v>
      </c>
      <c r="BI42" s="8" t="s">
        <v>62</v>
      </c>
      <c r="BJ42" s="8" t="s">
        <v>63</v>
      </c>
      <c r="BK42" s="8">
        <v>2004</v>
      </c>
      <c r="BL42">
        <v>1</v>
      </c>
      <c r="BM42">
        <v>1</v>
      </c>
      <c r="BR42">
        <f t="shared" si="2"/>
        <v>681</v>
      </c>
      <c r="BS42">
        <v>199</v>
      </c>
      <c r="BT42">
        <f t="shared" si="0"/>
        <v>2</v>
      </c>
    </row>
    <row r="43" spans="1:72" x14ac:dyDescent="0.2">
      <c r="A43" s="19" t="s">
        <v>545</v>
      </c>
      <c r="B43" s="1">
        <v>1451</v>
      </c>
      <c r="C43">
        <v>1</v>
      </c>
      <c r="D43" s="8" t="s">
        <v>48</v>
      </c>
      <c r="E43" s="12" t="s">
        <v>49</v>
      </c>
      <c r="F43" s="8">
        <v>1451</v>
      </c>
      <c r="G43" s="8">
        <v>1451</v>
      </c>
      <c r="H43" s="12">
        <v>808</v>
      </c>
      <c r="I43" s="3">
        <v>808</v>
      </c>
      <c r="J43" s="4">
        <f>808-31</f>
        <v>777</v>
      </c>
      <c r="K43" s="4">
        <v>605</v>
      </c>
      <c r="L43" s="8"/>
      <c r="M43" s="8"/>
      <c r="N43" s="8"/>
      <c r="O43" s="8"/>
      <c r="P43" s="8"/>
      <c r="Q43" s="4" t="s">
        <v>51</v>
      </c>
      <c r="R43" s="4" t="s">
        <v>51</v>
      </c>
      <c r="S43" s="8"/>
      <c r="T43" s="8"/>
      <c r="U43" s="8"/>
      <c r="V43" s="8"/>
      <c r="W43" s="8">
        <v>2</v>
      </c>
      <c r="X43" s="8">
        <v>4</v>
      </c>
      <c r="Y43" s="4">
        <f>J43+K43</f>
        <v>1382</v>
      </c>
      <c r="Z43" s="4">
        <v>1</v>
      </c>
      <c r="AA43" s="8"/>
      <c r="AB43" s="8"/>
      <c r="AC43" s="8"/>
      <c r="AD43" s="8"/>
      <c r="AE43" s="8"/>
      <c r="AF43" s="8"/>
      <c r="AG43" s="8"/>
      <c r="AH43" s="8"/>
      <c r="AI43" s="8"/>
      <c r="AJ43" s="8"/>
      <c r="AK43" s="8"/>
      <c r="AL43" s="8"/>
      <c r="AM43" s="8">
        <v>69</v>
      </c>
      <c r="AN43" s="8" t="s">
        <v>52</v>
      </c>
      <c r="AO43" s="8" t="s">
        <v>53</v>
      </c>
      <c r="AP43" s="8">
        <v>-25386</v>
      </c>
      <c r="AQ43" s="8">
        <v>0</v>
      </c>
      <c r="AR43" s="8" t="s">
        <v>54</v>
      </c>
      <c r="AS43" s="8" t="s">
        <v>55</v>
      </c>
      <c r="AT43" s="8" t="s">
        <v>55</v>
      </c>
      <c r="AU43" s="8" t="s">
        <v>85</v>
      </c>
      <c r="AV43" s="8">
        <v>1654</v>
      </c>
      <c r="AW43" s="8" t="s">
        <v>49</v>
      </c>
      <c r="AX43" s="8" t="s">
        <v>55</v>
      </c>
      <c r="AY43" s="8" t="s">
        <v>49</v>
      </c>
      <c r="AZ43" s="8" t="s">
        <v>59</v>
      </c>
      <c r="BA43" s="8" t="s">
        <v>55</v>
      </c>
      <c r="BB43" s="8" t="s">
        <v>49</v>
      </c>
      <c r="BC43" s="8" t="s">
        <v>49</v>
      </c>
      <c r="BD43" s="8" t="s">
        <v>66</v>
      </c>
      <c r="BE43" s="8" t="s">
        <v>55</v>
      </c>
      <c r="BF43" s="8">
        <v>4</v>
      </c>
      <c r="BG43" s="8" t="s">
        <v>511</v>
      </c>
      <c r="BH43" s="8" t="s">
        <v>61</v>
      </c>
      <c r="BI43" s="8" t="s">
        <v>62</v>
      </c>
      <c r="BJ43" s="8" t="s">
        <v>63</v>
      </c>
      <c r="BK43" s="8">
        <v>1999</v>
      </c>
      <c r="BL43">
        <v>1</v>
      </c>
      <c r="BM43">
        <v>1</v>
      </c>
      <c r="BR43">
        <f t="shared" si="2"/>
        <v>756</v>
      </c>
      <c r="BS43">
        <v>52</v>
      </c>
      <c r="BT43">
        <f t="shared" si="0"/>
        <v>2</v>
      </c>
    </row>
    <row r="44" spans="1:72" x14ac:dyDescent="0.2">
      <c r="A44" s="19" t="s">
        <v>546</v>
      </c>
      <c r="B44" s="1">
        <v>1379</v>
      </c>
      <c r="C44">
        <v>1</v>
      </c>
      <c r="D44" s="8" t="s">
        <v>48</v>
      </c>
      <c r="E44" s="12" t="s">
        <v>49</v>
      </c>
      <c r="F44" s="8">
        <v>1379</v>
      </c>
      <c r="G44" s="8">
        <v>1379</v>
      </c>
      <c r="H44" s="12">
        <v>819</v>
      </c>
      <c r="I44" s="3">
        <v>819</v>
      </c>
      <c r="J44" s="4">
        <f>819-34</f>
        <v>785</v>
      </c>
      <c r="K44" s="4">
        <v>539</v>
      </c>
      <c r="L44" s="8"/>
      <c r="M44" s="8"/>
      <c r="N44" s="8"/>
      <c r="O44" s="8"/>
      <c r="P44" s="8"/>
      <c r="Q44" s="4" t="s">
        <v>51</v>
      </c>
      <c r="R44" s="4" t="s">
        <v>51</v>
      </c>
      <c r="S44" s="8"/>
      <c r="T44" s="8"/>
      <c r="U44" s="8"/>
      <c r="V44" s="8"/>
      <c r="W44" s="8">
        <v>6</v>
      </c>
      <c r="X44" s="8">
        <v>12</v>
      </c>
      <c r="Y44" s="4">
        <f>J44+K44</f>
        <v>1324</v>
      </c>
      <c r="Z44" s="4">
        <v>1</v>
      </c>
      <c r="AA44" s="8"/>
      <c r="AB44" s="8"/>
      <c r="AC44" s="8"/>
      <c r="AD44" s="8"/>
      <c r="AE44" s="8"/>
      <c r="AF44" s="8"/>
      <c r="AG44" s="8"/>
      <c r="AH44" s="8"/>
      <c r="AI44" s="8"/>
      <c r="AJ44" s="8"/>
      <c r="AK44" s="8"/>
      <c r="AL44" s="8"/>
      <c r="AM44" s="8">
        <v>49</v>
      </c>
      <c r="AN44" s="8" t="s">
        <v>52</v>
      </c>
      <c r="AO44" s="8" t="s">
        <v>53</v>
      </c>
      <c r="AP44" s="8">
        <v>-17988</v>
      </c>
      <c r="AQ44" s="8">
        <v>0</v>
      </c>
      <c r="AR44" s="8" t="s">
        <v>54</v>
      </c>
      <c r="AS44" s="8" t="s">
        <v>55</v>
      </c>
      <c r="AT44" s="8" t="s">
        <v>55</v>
      </c>
      <c r="AU44" s="8" t="s">
        <v>85</v>
      </c>
      <c r="AV44" s="8">
        <v>1655</v>
      </c>
      <c r="AW44" s="8" t="s">
        <v>49</v>
      </c>
      <c r="AX44" s="8" t="s">
        <v>55</v>
      </c>
      <c r="AY44" s="8" t="s">
        <v>49</v>
      </c>
      <c r="AZ44" s="8" t="s">
        <v>59</v>
      </c>
      <c r="BA44" s="8" t="s">
        <v>55</v>
      </c>
      <c r="BB44" s="8" t="s">
        <v>49</v>
      </c>
      <c r="BC44" s="8" t="s">
        <v>49</v>
      </c>
      <c r="BD44" s="8" t="s">
        <v>66</v>
      </c>
      <c r="BE44" s="8" t="s">
        <v>55</v>
      </c>
      <c r="BF44" s="8">
        <v>4</v>
      </c>
      <c r="BG44" s="8" t="s">
        <v>511</v>
      </c>
      <c r="BH44" s="8" t="s">
        <v>71</v>
      </c>
      <c r="BI44" s="8" t="s">
        <v>72</v>
      </c>
      <c r="BJ44" s="8" t="s">
        <v>63</v>
      </c>
      <c r="BK44" s="8">
        <v>1999</v>
      </c>
      <c r="BL44">
        <v>1</v>
      </c>
      <c r="BM44">
        <v>1</v>
      </c>
      <c r="BR44">
        <f t="shared" si="2"/>
        <v>681</v>
      </c>
      <c r="BS44">
        <v>138</v>
      </c>
      <c r="BT44">
        <f t="shared" si="0"/>
        <v>2</v>
      </c>
    </row>
    <row r="45" spans="1:72" x14ac:dyDescent="0.2">
      <c r="A45" s="19" t="s">
        <v>547</v>
      </c>
      <c r="B45" s="1">
        <v>887</v>
      </c>
      <c r="C45">
        <v>1</v>
      </c>
      <c r="D45" s="8" t="s">
        <v>48</v>
      </c>
      <c r="E45" s="12" t="s">
        <v>49</v>
      </c>
      <c r="F45" s="8">
        <v>887</v>
      </c>
      <c r="G45" s="8">
        <v>887</v>
      </c>
      <c r="H45" s="12">
        <v>395</v>
      </c>
      <c r="I45" s="3">
        <v>395</v>
      </c>
      <c r="J45" s="4">
        <f>395-31</f>
        <v>364</v>
      </c>
      <c r="K45" s="8" t="s">
        <v>50</v>
      </c>
      <c r="L45" s="8"/>
      <c r="M45" s="8"/>
      <c r="N45" s="8"/>
      <c r="O45" s="8"/>
      <c r="P45" s="8" t="s">
        <v>766</v>
      </c>
      <c r="Q45" s="4" t="s">
        <v>51</v>
      </c>
      <c r="R45" s="8"/>
      <c r="S45" s="8"/>
      <c r="T45" s="8"/>
      <c r="U45" s="8"/>
      <c r="V45" s="8"/>
      <c r="W45" s="8">
        <v>6</v>
      </c>
      <c r="X45" s="8">
        <v>12</v>
      </c>
      <c r="Y45" s="4">
        <f>J45</f>
        <v>364</v>
      </c>
      <c r="Z45" s="4">
        <v>1</v>
      </c>
      <c r="AA45" s="8"/>
      <c r="AB45" s="8"/>
      <c r="AC45" s="8"/>
      <c r="AD45" s="8"/>
      <c r="AE45" s="8"/>
      <c r="AF45" s="8"/>
      <c r="AG45" s="8"/>
      <c r="AH45" s="8"/>
      <c r="AI45" s="8"/>
      <c r="AJ45" s="8"/>
      <c r="AK45" s="8"/>
      <c r="AL45" s="8"/>
      <c r="AM45" s="8">
        <v>80</v>
      </c>
      <c r="AN45" s="8" t="s">
        <v>126</v>
      </c>
      <c r="AO45" s="8" t="s">
        <v>53</v>
      </c>
      <c r="AP45" s="8">
        <v>-29261</v>
      </c>
      <c r="AQ45" s="8">
        <v>0</v>
      </c>
      <c r="AR45" s="8" t="s">
        <v>54</v>
      </c>
      <c r="AS45" s="8" t="s">
        <v>55</v>
      </c>
      <c r="AT45" s="8" t="s">
        <v>55</v>
      </c>
      <c r="AU45" s="8" t="s">
        <v>56</v>
      </c>
      <c r="AV45" s="8" t="s">
        <v>49</v>
      </c>
      <c r="AW45" s="8" t="s">
        <v>57</v>
      </c>
      <c r="AX45" s="8" t="s">
        <v>55</v>
      </c>
      <c r="AY45" s="8" t="s">
        <v>58</v>
      </c>
      <c r="AZ45" s="8" t="s">
        <v>59</v>
      </c>
      <c r="BA45" s="8" t="s">
        <v>55</v>
      </c>
      <c r="BB45" s="8" t="s">
        <v>49</v>
      </c>
      <c r="BC45" s="8" t="s">
        <v>49</v>
      </c>
      <c r="BD45" s="8" t="s">
        <v>106</v>
      </c>
      <c r="BE45" s="8" t="s">
        <v>55</v>
      </c>
      <c r="BF45" s="8" t="s">
        <v>49</v>
      </c>
      <c r="BG45" s="8" t="s">
        <v>60</v>
      </c>
      <c r="BH45" s="8" t="s">
        <v>142</v>
      </c>
      <c r="BI45" s="8" t="s">
        <v>521</v>
      </c>
      <c r="BJ45" s="8" t="s">
        <v>63</v>
      </c>
      <c r="BK45" s="8">
        <v>1998</v>
      </c>
      <c r="BL45">
        <v>1</v>
      </c>
      <c r="BR45">
        <f t="shared" si="2"/>
        <v>207</v>
      </c>
      <c r="BS45">
        <v>188</v>
      </c>
      <c r="BT45">
        <f t="shared" si="0"/>
        <v>1</v>
      </c>
    </row>
    <row r="46" spans="1:72" x14ac:dyDescent="0.2">
      <c r="A46" s="19" t="s">
        <v>119</v>
      </c>
      <c r="B46" s="1">
        <v>288</v>
      </c>
      <c r="C46">
        <v>1</v>
      </c>
      <c r="D46" t="s">
        <v>48</v>
      </c>
      <c r="E46" s="2" t="s">
        <v>49</v>
      </c>
      <c r="F46">
        <v>288</v>
      </c>
      <c r="G46">
        <v>288</v>
      </c>
      <c r="H46" s="2">
        <v>251</v>
      </c>
      <c r="I46" s="3">
        <v>251</v>
      </c>
      <c r="J46" s="4">
        <f>251-15</f>
        <v>236</v>
      </c>
      <c r="Q46" s="4" t="s">
        <v>51</v>
      </c>
      <c r="W46" s="8">
        <v>3</v>
      </c>
      <c r="X46" s="8">
        <v>6</v>
      </c>
      <c r="Y46" s="4">
        <f>J46</f>
        <v>236</v>
      </c>
      <c r="Z46" s="4">
        <v>1</v>
      </c>
      <c r="AM46">
        <v>70</v>
      </c>
      <c r="AN46" t="s">
        <v>101</v>
      </c>
      <c r="AO46" t="s">
        <v>53</v>
      </c>
      <c r="AP46">
        <v>-25702</v>
      </c>
      <c r="AQ46">
        <v>0</v>
      </c>
      <c r="AR46" t="s">
        <v>54</v>
      </c>
      <c r="AS46" t="s">
        <v>55</v>
      </c>
      <c r="AT46" t="s">
        <v>55</v>
      </c>
      <c r="AU46" t="s">
        <v>85</v>
      </c>
      <c r="AV46" t="s">
        <v>49</v>
      </c>
      <c r="AW46" t="s">
        <v>57</v>
      </c>
      <c r="AX46" t="s">
        <v>55</v>
      </c>
      <c r="AY46" t="s">
        <v>58</v>
      </c>
      <c r="AZ46" t="s">
        <v>59</v>
      </c>
      <c r="BA46" t="s">
        <v>55</v>
      </c>
      <c r="BB46" t="s">
        <v>49</v>
      </c>
      <c r="BC46" t="s">
        <v>49</v>
      </c>
      <c r="BD46" t="s">
        <v>106</v>
      </c>
      <c r="BE46" t="s">
        <v>55</v>
      </c>
      <c r="BF46" t="s">
        <v>49</v>
      </c>
      <c r="BG46" t="s">
        <v>60</v>
      </c>
      <c r="BH46" t="s">
        <v>71</v>
      </c>
      <c r="BI46" t="s">
        <v>62</v>
      </c>
      <c r="BJ46" t="s">
        <v>63</v>
      </c>
      <c r="BK46">
        <v>1999</v>
      </c>
      <c r="BL46">
        <v>1</v>
      </c>
      <c r="BR46">
        <f t="shared" si="2"/>
        <v>181</v>
      </c>
      <c r="BS46">
        <v>70</v>
      </c>
      <c r="BT46">
        <f t="shared" si="0"/>
        <v>1</v>
      </c>
    </row>
    <row r="47" spans="1:72" x14ac:dyDescent="0.2">
      <c r="A47" s="19" t="s">
        <v>120</v>
      </c>
      <c r="B47" s="1">
        <v>1756</v>
      </c>
      <c r="C47">
        <v>1</v>
      </c>
      <c r="D47" t="s">
        <v>48</v>
      </c>
      <c r="E47" s="2" t="s">
        <v>49</v>
      </c>
      <c r="F47">
        <v>1756</v>
      </c>
      <c r="G47">
        <v>1756</v>
      </c>
      <c r="H47" s="2">
        <v>189</v>
      </c>
      <c r="I47" s="3">
        <v>189</v>
      </c>
      <c r="J47" s="4">
        <f>189-5</f>
        <v>184</v>
      </c>
      <c r="K47" s="9" t="s">
        <v>50</v>
      </c>
      <c r="P47" t="s">
        <v>770</v>
      </c>
      <c r="Q47" s="4" t="s">
        <v>51</v>
      </c>
      <c r="R47" s="9" t="s">
        <v>80</v>
      </c>
      <c r="W47" s="8">
        <v>6</v>
      </c>
      <c r="X47" s="8">
        <v>12</v>
      </c>
      <c r="Y47" s="4">
        <f>J47</f>
        <v>184</v>
      </c>
      <c r="Z47" s="4">
        <v>1</v>
      </c>
      <c r="AG47" s="9" t="str">
        <f>K47</f>
        <v>cannot assess</v>
      </c>
      <c r="AH47" s="9">
        <v>1</v>
      </c>
      <c r="AM47">
        <v>55</v>
      </c>
      <c r="AN47" t="s">
        <v>52</v>
      </c>
      <c r="AO47" t="s">
        <v>53</v>
      </c>
      <c r="AP47">
        <v>-20440</v>
      </c>
      <c r="AQ47">
        <v>0</v>
      </c>
      <c r="AR47" t="s">
        <v>54</v>
      </c>
      <c r="AS47" t="s">
        <v>55</v>
      </c>
      <c r="AT47" t="s">
        <v>55</v>
      </c>
      <c r="AU47" t="s">
        <v>56</v>
      </c>
      <c r="AV47" t="s">
        <v>49</v>
      </c>
      <c r="AW47" t="s">
        <v>57</v>
      </c>
      <c r="AX47" t="s">
        <v>55</v>
      </c>
      <c r="AY47" t="s">
        <v>92</v>
      </c>
      <c r="AZ47" t="s">
        <v>59</v>
      </c>
      <c r="BA47" t="s">
        <v>55</v>
      </c>
      <c r="BB47" t="s">
        <v>49</v>
      </c>
      <c r="BC47" t="s">
        <v>49</v>
      </c>
      <c r="BD47" t="s">
        <v>106</v>
      </c>
      <c r="BE47" t="s">
        <v>55</v>
      </c>
      <c r="BF47" t="s">
        <v>49</v>
      </c>
      <c r="BG47" t="s">
        <v>60</v>
      </c>
      <c r="BH47" t="s">
        <v>61</v>
      </c>
      <c r="BI47" t="s">
        <v>62</v>
      </c>
      <c r="BJ47" t="s">
        <v>63</v>
      </c>
      <c r="BK47">
        <v>1999</v>
      </c>
      <c r="BL47">
        <v>1</v>
      </c>
      <c r="BR47">
        <f t="shared" si="2"/>
        <v>76</v>
      </c>
      <c r="BS47">
        <v>113</v>
      </c>
      <c r="BT47">
        <f t="shared" si="0"/>
        <v>1</v>
      </c>
    </row>
    <row r="48" spans="1:72" x14ac:dyDescent="0.2">
      <c r="A48" s="19" t="s">
        <v>121</v>
      </c>
      <c r="B48" s="1">
        <v>564</v>
      </c>
      <c r="C48">
        <v>1</v>
      </c>
      <c r="D48" t="s">
        <v>48</v>
      </c>
      <c r="E48" s="2" t="s">
        <v>49</v>
      </c>
      <c r="F48">
        <v>546</v>
      </c>
      <c r="G48">
        <v>546</v>
      </c>
      <c r="H48" s="2" t="s">
        <v>49</v>
      </c>
      <c r="I48" s="3">
        <v>141</v>
      </c>
      <c r="J48" s="4">
        <f>141-9</f>
        <v>132</v>
      </c>
      <c r="K48" s="7">
        <v>414</v>
      </c>
      <c r="Q48" s="4" t="s">
        <v>51</v>
      </c>
      <c r="R48" s="7" t="s">
        <v>75</v>
      </c>
      <c r="W48" s="8">
        <v>5</v>
      </c>
      <c r="X48" s="8">
        <v>10</v>
      </c>
      <c r="Y48" s="4">
        <f>J48</f>
        <v>132</v>
      </c>
      <c r="Z48" s="4">
        <v>1</v>
      </c>
      <c r="AI48" s="7">
        <f>K48</f>
        <v>414</v>
      </c>
      <c r="AJ48" s="7">
        <v>1</v>
      </c>
      <c r="AK48" s="8"/>
      <c r="AL48" s="8"/>
      <c r="AM48">
        <v>67</v>
      </c>
      <c r="AN48" t="s">
        <v>52</v>
      </c>
      <c r="AO48" t="s">
        <v>53</v>
      </c>
      <c r="AP48">
        <v>-24473</v>
      </c>
      <c r="AQ48">
        <v>0</v>
      </c>
      <c r="AR48" t="s">
        <v>54</v>
      </c>
      <c r="AS48" t="s">
        <v>55</v>
      </c>
      <c r="AT48" t="s">
        <v>55</v>
      </c>
      <c r="AU48" t="s">
        <v>56</v>
      </c>
      <c r="AV48" t="s">
        <v>49</v>
      </c>
      <c r="AW48" t="s">
        <v>57</v>
      </c>
      <c r="AX48" t="s">
        <v>55</v>
      </c>
      <c r="AY48" t="s">
        <v>81</v>
      </c>
      <c r="AZ48" t="s">
        <v>122</v>
      </c>
      <c r="BA48" t="s">
        <v>55</v>
      </c>
      <c r="BB48" t="s">
        <v>49</v>
      </c>
      <c r="BC48" t="s">
        <v>49</v>
      </c>
      <c r="BD48" t="s">
        <v>49</v>
      </c>
      <c r="BE48" t="s">
        <v>55</v>
      </c>
      <c r="BF48" t="s">
        <v>49</v>
      </c>
      <c r="BG48" t="s">
        <v>60</v>
      </c>
      <c r="BH48" t="s">
        <v>61</v>
      </c>
      <c r="BI48" t="s">
        <v>62</v>
      </c>
      <c r="BJ48" t="s">
        <v>63</v>
      </c>
      <c r="BK48">
        <v>2001</v>
      </c>
      <c r="BL48">
        <v>1</v>
      </c>
      <c r="BM48">
        <v>1</v>
      </c>
      <c r="BR48">
        <f t="shared" si="2"/>
        <v>49</v>
      </c>
      <c r="BS48">
        <v>92</v>
      </c>
      <c r="BT48">
        <f t="shared" si="0"/>
        <v>2</v>
      </c>
    </row>
    <row r="49" spans="1:72" x14ac:dyDescent="0.2">
      <c r="A49" s="19" t="s">
        <v>123</v>
      </c>
      <c r="B49" s="1">
        <v>1081</v>
      </c>
      <c r="C49">
        <v>1</v>
      </c>
      <c r="D49" t="s">
        <v>48</v>
      </c>
      <c r="E49" s="2" t="s">
        <v>49</v>
      </c>
      <c r="F49">
        <v>1081</v>
      </c>
      <c r="G49">
        <v>1081</v>
      </c>
      <c r="H49" s="2">
        <v>273</v>
      </c>
      <c r="I49" s="3">
        <v>273</v>
      </c>
      <c r="J49">
        <f>273-8</f>
        <v>265</v>
      </c>
      <c r="K49" s="5">
        <v>12</v>
      </c>
      <c r="L49" s="9">
        <v>623</v>
      </c>
      <c r="Q49" t="s">
        <v>78</v>
      </c>
      <c r="R49" s="5" t="s">
        <v>65</v>
      </c>
      <c r="S49" s="9" t="s">
        <v>80</v>
      </c>
      <c r="W49" s="8">
        <v>6</v>
      </c>
      <c r="X49" s="8">
        <v>11</v>
      </c>
      <c r="AE49" s="5">
        <f>K49</f>
        <v>12</v>
      </c>
      <c r="AF49" s="5">
        <v>1</v>
      </c>
      <c r="AG49" s="9">
        <f>L49</f>
        <v>623</v>
      </c>
      <c r="AH49" s="9">
        <v>1</v>
      </c>
      <c r="AM49">
        <v>56</v>
      </c>
      <c r="AN49" t="s">
        <v>101</v>
      </c>
      <c r="AO49" t="s">
        <v>53</v>
      </c>
      <c r="AP49">
        <v>-20705</v>
      </c>
      <c r="AQ49">
        <v>0</v>
      </c>
      <c r="AR49" t="s">
        <v>54</v>
      </c>
      <c r="AS49" t="s">
        <v>55</v>
      </c>
      <c r="AT49" t="s">
        <v>55</v>
      </c>
      <c r="AU49" t="s">
        <v>56</v>
      </c>
      <c r="AV49" t="s">
        <v>49</v>
      </c>
      <c r="AW49" t="s">
        <v>57</v>
      </c>
      <c r="AX49" t="s">
        <v>55</v>
      </c>
      <c r="AY49" t="s">
        <v>58</v>
      </c>
      <c r="AZ49" t="s">
        <v>59</v>
      </c>
      <c r="BA49" t="s">
        <v>55</v>
      </c>
      <c r="BB49" t="s">
        <v>49</v>
      </c>
      <c r="BC49" t="s">
        <v>49</v>
      </c>
      <c r="BD49" t="s">
        <v>106</v>
      </c>
      <c r="BE49" t="s">
        <v>55</v>
      </c>
      <c r="BF49" t="s">
        <v>49</v>
      </c>
      <c r="BG49" t="s">
        <v>60</v>
      </c>
      <c r="BH49" t="s">
        <v>71</v>
      </c>
      <c r="BI49" t="s">
        <v>62</v>
      </c>
      <c r="BJ49" t="s">
        <v>63</v>
      </c>
      <c r="BK49">
        <v>2003</v>
      </c>
      <c r="BL49">
        <v>1</v>
      </c>
      <c r="BM49">
        <v>1</v>
      </c>
      <c r="BN49">
        <v>1</v>
      </c>
      <c r="BR49">
        <f t="shared" si="2"/>
        <v>174</v>
      </c>
      <c r="BS49">
        <v>99</v>
      </c>
      <c r="BT49">
        <f t="shared" si="0"/>
        <v>3</v>
      </c>
    </row>
    <row r="50" spans="1:72" x14ac:dyDescent="0.2">
      <c r="A50" s="19" t="s">
        <v>124</v>
      </c>
      <c r="B50" s="1">
        <v>303</v>
      </c>
      <c r="C50">
        <v>1</v>
      </c>
      <c r="D50" t="s">
        <v>48</v>
      </c>
      <c r="E50" s="2" t="s">
        <v>49</v>
      </c>
      <c r="F50">
        <v>303</v>
      </c>
      <c r="G50">
        <v>303</v>
      </c>
      <c r="H50" s="2" t="s">
        <v>49</v>
      </c>
      <c r="I50" s="3">
        <v>303</v>
      </c>
      <c r="J50" s="4">
        <f>303-16</f>
        <v>287</v>
      </c>
      <c r="Q50" s="4" t="s">
        <v>51</v>
      </c>
      <c r="W50" s="8">
        <v>6</v>
      </c>
      <c r="X50" s="8">
        <v>12</v>
      </c>
      <c r="Y50" s="4">
        <f>J50</f>
        <v>287</v>
      </c>
      <c r="Z50" s="4">
        <v>1</v>
      </c>
      <c r="AM50">
        <v>51</v>
      </c>
      <c r="AN50" t="s">
        <v>52</v>
      </c>
      <c r="AO50" t="s">
        <v>53</v>
      </c>
      <c r="AP50">
        <v>-18733</v>
      </c>
      <c r="AQ50">
        <v>0</v>
      </c>
      <c r="AR50" t="s">
        <v>54</v>
      </c>
      <c r="AS50" t="s">
        <v>55</v>
      </c>
      <c r="AT50" t="s">
        <v>55</v>
      </c>
      <c r="AU50" t="s">
        <v>56</v>
      </c>
      <c r="AV50">
        <v>1659</v>
      </c>
      <c r="AW50" t="s">
        <v>57</v>
      </c>
      <c r="AX50" t="s">
        <v>55</v>
      </c>
      <c r="AY50" t="s">
        <v>92</v>
      </c>
      <c r="AZ50" t="s">
        <v>59</v>
      </c>
      <c r="BA50" t="s">
        <v>55</v>
      </c>
      <c r="BB50" t="s">
        <v>49</v>
      </c>
      <c r="BC50" t="s">
        <v>49</v>
      </c>
      <c r="BD50" t="s">
        <v>49</v>
      </c>
      <c r="BE50" t="s">
        <v>55</v>
      </c>
      <c r="BF50">
        <v>9</v>
      </c>
      <c r="BG50" t="s">
        <v>60</v>
      </c>
      <c r="BH50" t="s">
        <v>82</v>
      </c>
      <c r="BI50" t="s">
        <v>62</v>
      </c>
      <c r="BJ50" t="s">
        <v>63</v>
      </c>
      <c r="BK50">
        <v>1997</v>
      </c>
      <c r="BL50">
        <v>1</v>
      </c>
      <c r="BR50">
        <f t="shared" si="2"/>
        <v>167</v>
      </c>
      <c r="BS50">
        <v>136</v>
      </c>
      <c r="BT50">
        <f t="shared" si="0"/>
        <v>1</v>
      </c>
    </row>
    <row r="51" spans="1:72" x14ac:dyDescent="0.2">
      <c r="A51" s="19" t="s">
        <v>125</v>
      </c>
      <c r="B51" s="1">
        <v>1169</v>
      </c>
      <c r="C51">
        <v>1</v>
      </c>
      <c r="D51" t="s">
        <v>48</v>
      </c>
      <c r="E51" s="2" t="s">
        <v>49</v>
      </c>
      <c r="F51">
        <v>1169</v>
      </c>
      <c r="G51">
        <v>1169</v>
      </c>
      <c r="H51" s="2" t="s">
        <v>49</v>
      </c>
      <c r="I51" s="3">
        <v>213</v>
      </c>
      <c r="J51" s="4">
        <f>155-58</f>
        <v>97</v>
      </c>
      <c r="K51" s="5">
        <v>428</v>
      </c>
      <c r="L51" s="11">
        <v>117</v>
      </c>
      <c r="M51" s="7">
        <v>70</v>
      </c>
      <c r="N51" s="6">
        <v>341</v>
      </c>
      <c r="Q51" s="4" t="s">
        <v>51</v>
      </c>
      <c r="R51" s="5" t="s">
        <v>65</v>
      </c>
      <c r="S51" s="11" t="s">
        <v>90</v>
      </c>
      <c r="T51" s="7" t="s">
        <v>75</v>
      </c>
      <c r="U51" s="6" t="s">
        <v>74</v>
      </c>
      <c r="W51" s="8">
        <v>6</v>
      </c>
      <c r="X51" s="8">
        <v>12</v>
      </c>
      <c r="Y51" s="4">
        <f>J51</f>
        <v>97</v>
      </c>
      <c r="Z51" s="4">
        <v>1</v>
      </c>
      <c r="AA51" s="11">
        <f>L51</f>
        <v>117</v>
      </c>
      <c r="AB51" s="11">
        <v>1</v>
      </c>
      <c r="AC51" s="6">
        <f>N51</f>
        <v>341</v>
      </c>
      <c r="AD51" s="6">
        <v>1</v>
      </c>
      <c r="AE51" s="5">
        <f>K51</f>
        <v>428</v>
      </c>
      <c r="AF51" s="5">
        <v>1</v>
      </c>
      <c r="AI51" s="7">
        <f>M51</f>
        <v>70</v>
      </c>
      <c r="AJ51" s="7">
        <v>1</v>
      </c>
      <c r="AK51" s="8"/>
      <c r="AL51" s="8"/>
      <c r="AM51">
        <v>75</v>
      </c>
      <c r="AN51" t="s">
        <v>126</v>
      </c>
      <c r="AO51" t="s">
        <v>53</v>
      </c>
      <c r="AP51">
        <v>-27486</v>
      </c>
      <c r="AQ51">
        <v>0</v>
      </c>
      <c r="AR51" t="s">
        <v>54</v>
      </c>
      <c r="AS51" t="s">
        <v>55</v>
      </c>
      <c r="AT51" t="s">
        <v>55</v>
      </c>
      <c r="AU51" t="s">
        <v>56</v>
      </c>
      <c r="AV51">
        <v>1661</v>
      </c>
      <c r="AW51" t="s">
        <v>57</v>
      </c>
      <c r="AX51" t="s">
        <v>55</v>
      </c>
      <c r="AY51" t="s">
        <v>92</v>
      </c>
      <c r="AZ51" t="s">
        <v>59</v>
      </c>
      <c r="BA51" t="s">
        <v>55</v>
      </c>
      <c r="BB51" t="s">
        <v>49</v>
      </c>
      <c r="BC51" t="s">
        <v>49</v>
      </c>
      <c r="BD51" t="s">
        <v>49</v>
      </c>
      <c r="BE51" t="s">
        <v>55</v>
      </c>
      <c r="BF51">
        <v>9</v>
      </c>
      <c r="BG51" t="s">
        <v>60</v>
      </c>
      <c r="BH51" t="s">
        <v>61</v>
      </c>
      <c r="BI51" t="s">
        <v>62</v>
      </c>
      <c r="BJ51" t="s">
        <v>63</v>
      </c>
      <c r="BK51">
        <v>2000</v>
      </c>
      <c r="BL51">
        <v>1</v>
      </c>
      <c r="BM51">
        <v>1</v>
      </c>
      <c r="BN51">
        <v>1</v>
      </c>
      <c r="BO51">
        <v>1</v>
      </c>
      <c r="BP51">
        <v>1</v>
      </c>
      <c r="BR51">
        <f t="shared" si="2"/>
        <v>48</v>
      </c>
      <c r="BS51">
        <v>165</v>
      </c>
      <c r="BT51">
        <f t="shared" si="0"/>
        <v>5</v>
      </c>
    </row>
    <row r="52" spans="1:72" x14ac:dyDescent="0.2">
      <c r="A52" s="19" t="s">
        <v>127</v>
      </c>
      <c r="B52" s="1">
        <v>2717</v>
      </c>
      <c r="C52">
        <v>1</v>
      </c>
      <c r="D52" t="s">
        <v>48</v>
      </c>
      <c r="E52" s="2" t="s">
        <v>49</v>
      </c>
      <c r="F52">
        <v>2717</v>
      </c>
      <c r="G52">
        <v>2717</v>
      </c>
      <c r="H52" s="2">
        <v>1046</v>
      </c>
      <c r="I52" s="3">
        <v>1046</v>
      </c>
      <c r="J52" s="10">
        <f>1046-15</f>
        <v>1031</v>
      </c>
      <c r="K52" s="4">
        <v>462</v>
      </c>
      <c r="L52" s="4">
        <v>357</v>
      </c>
      <c r="M52" s="5">
        <v>126</v>
      </c>
      <c r="N52" s="9">
        <v>353</v>
      </c>
      <c r="O52" s="7">
        <v>258</v>
      </c>
      <c r="P52" s="7" t="s">
        <v>771</v>
      </c>
      <c r="Q52" s="10" t="s">
        <v>87</v>
      </c>
      <c r="R52" s="4" t="s">
        <v>51</v>
      </c>
      <c r="S52" s="4" t="s">
        <v>51</v>
      </c>
      <c r="T52" s="5" t="s">
        <v>65</v>
      </c>
      <c r="U52" s="9" t="s">
        <v>80</v>
      </c>
      <c r="V52" s="7" t="s">
        <v>75</v>
      </c>
      <c r="W52" s="8">
        <v>7</v>
      </c>
      <c r="X52" s="8">
        <v>14</v>
      </c>
      <c r="Y52" s="4">
        <f>SUM(K52:L52)</f>
        <v>819</v>
      </c>
      <c r="Z52" s="4">
        <v>1</v>
      </c>
      <c r="AE52" s="5">
        <f>M52</f>
        <v>126</v>
      </c>
      <c r="AF52" s="5">
        <v>1</v>
      </c>
      <c r="AG52" s="9">
        <f>N52</f>
        <v>353</v>
      </c>
      <c r="AH52" s="9">
        <v>1</v>
      </c>
      <c r="AI52" s="7">
        <f>O52</f>
        <v>258</v>
      </c>
      <c r="AJ52" s="7">
        <v>1</v>
      </c>
      <c r="AK52" s="10">
        <f>J52</f>
        <v>1031</v>
      </c>
      <c r="AL52" s="10">
        <v>1</v>
      </c>
      <c r="AM52">
        <v>58</v>
      </c>
      <c r="AN52" t="s">
        <v>101</v>
      </c>
      <c r="AO52" t="s">
        <v>53</v>
      </c>
      <c r="AP52">
        <v>-21246</v>
      </c>
      <c r="AQ52">
        <v>0</v>
      </c>
      <c r="AR52" t="s">
        <v>54</v>
      </c>
      <c r="AS52" t="s">
        <v>55</v>
      </c>
      <c r="AT52" t="s">
        <v>55</v>
      </c>
      <c r="AU52" t="s">
        <v>56</v>
      </c>
      <c r="AV52">
        <v>1662</v>
      </c>
      <c r="AW52" t="s">
        <v>57</v>
      </c>
      <c r="AX52" t="s">
        <v>55</v>
      </c>
      <c r="AY52" t="s">
        <v>58</v>
      </c>
      <c r="AZ52" t="s">
        <v>59</v>
      </c>
      <c r="BA52" t="s">
        <v>55</v>
      </c>
      <c r="BB52" t="s">
        <v>49</v>
      </c>
      <c r="BC52" t="s">
        <v>49</v>
      </c>
      <c r="BD52" t="s">
        <v>66</v>
      </c>
      <c r="BE52" t="s">
        <v>55</v>
      </c>
      <c r="BF52">
        <v>9</v>
      </c>
      <c r="BG52" t="s">
        <v>60</v>
      </c>
      <c r="BH52" t="s">
        <v>61</v>
      </c>
      <c r="BI52" t="s">
        <v>83</v>
      </c>
      <c r="BJ52" t="s">
        <v>63</v>
      </c>
      <c r="BK52">
        <v>2001</v>
      </c>
      <c r="BL52">
        <v>1</v>
      </c>
      <c r="BM52">
        <v>1</v>
      </c>
      <c r="BN52">
        <v>1</v>
      </c>
      <c r="BO52">
        <v>1</v>
      </c>
      <c r="BP52">
        <v>1</v>
      </c>
      <c r="BQ52">
        <v>1</v>
      </c>
      <c r="BR52">
        <f t="shared" si="2"/>
        <v>905</v>
      </c>
      <c r="BS52">
        <v>141</v>
      </c>
      <c r="BT52">
        <f t="shared" si="0"/>
        <v>6</v>
      </c>
    </row>
    <row r="53" spans="1:72" x14ac:dyDescent="0.2">
      <c r="A53" s="19" t="s">
        <v>549</v>
      </c>
      <c r="B53" s="1">
        <v>2278</v>
      </c>
      <c r="C53">
        <v>1</v>
      </c>
      <c r="D53" s="8" t="s">
        <v>48</v>
      </c>
      <c r="E53" s="12" t="s">
        <v>49</v>
      </c>
      <c r="F53" s="8">
        <v>2278</v>
      </c>
      <c r="G53" s="8">
        <v>2278</v>
      </c>
      <c r="H53" s="12" t="s">
        <v>49</v>
      </c>
      <c r="I53" s="3">
        <v>2278</v>
      </c>
      <c r="J53" s="4">
        <f>2278-14</f>
        <v>2264</v>
      </c>
      <c r="K53" s="8" t="s">
        <v>550</v>
      </c>
      <c r="L53" s="8"/>
      <c r="M53" s="8"/>
      <c r="N53" s="8"/>
      <c r="O53" s="8"/>
      <c r="P53" s="8" t="s">
        <v>772</v>
      </c>
      <c r="Q53" s="4" t="s">
        <v>51</v>
      </c>
      <c r="R53" s="8"/>
      <c r="S53" s="8"/>
      <c r="T53" s="8"/>
      <c r="U53" s="8"/>
      <c r="V53" s="8"/>
      <c r="W53" s="8">
        <v>6</v>
      </c>
      <c r="X53" s="8">
        <v>12</v>
      </c>
      <c r="Y53" s="4">
        <f t="shared" ref="Y53:Y63" si="3">J53</f>
        <v>2264</v>
      </c>
      <c r="Z53" s="4">
        <v>1</v>
      </c>
      <c r="AA53" s="8"/>
      <c r="AB53" s="8"/>
      <c r="AC53" s="8"/>
      <c r="AD53" s="8"/>
      <c r="AE53" s="8"/>
      <c r="AF53" s="8"/>
      <c r="AG53" s="8"/>
      <c r="AH53" s="8"/>
      <c r="AI53" s="8"/>
      <c r="AJ53" s="8"/>
      <c r="AK53" s="8"/>
      <c r="AL53" s="8"/>
      <c r="AM53" s="8">
        <v>37</v>
      </c>
      <c r="AN53" s="8" t="s">
        <v>52</v>
      </c>
      <c r="AO53" s="8" t="s">
        <v>53</v>
      </c>
      <c r="AP53" s="8">
        <v>-13739</v>
      </c>
      <c r="AQ53" s="8">
        <v>0</v>
      </c>
      <c r="AR53" s="8" t="s">
        <v>54</v>
      </c>
      <c r="AS53" s="8" t="s">
        <v>55</v>
      </c>
      <c r="AT53" s="8" t="s">
        <v>55</v>
      </c>
      <c r="AU53" s="8" t="s">
        <v>56</v>
      </c>
      <c r="AV53" s="8">
        <v>1664</v>
      </c>
      <c r="AW53" s="8" t="s">
        <v>49</v>
      </c>
      <c r="AX53" s="8" t="s">
        <v>55</v>
      </c>
      <c r="AY53" s="8" t="s">
        <v>58</v>
      </c>
      <c r="AZ53" s="8" t="s">
        <v>59</v>
      </c>
      <c r="BA53" s="8" t="s">
        <v>55</v>
      </c>
      <c r="BB53" s="8" t="s">
        <v>49</v>
      </c>
      <c r="BC53" s="8" t="s">
        <v>49</v>
      </c>
      <c r="BD53" s="8" t="s">
        <v>49</v>
      </c>
      <c r="BE53" s="8" t="s">
        <v>55</v>
      </c>
      <c r="BF53" s="8">
        <v>9</v>
      </c>
      <c r="BG53" s="8" t="s">
        <v>551</v>
      </c>
      <c r="BH53" s="8" t="s">
        <v>61</v>
      </c>
      <c r="BI53" s="8" t="s">
        <v>62</v>
      </c>
      <c r="BJ53" s="8" t="s">
        <v>63</v>
      </c>
      <c r="BK53" s="8">
        <v>2002</v>
      </c>
      <c r="BL53">
        <v>1</v>
      </c>
      <c r="BR53">
        <f t="shared" si="2"/>
        <v>2140</v>
      </c>
      <c r="BS53">
        <v>138</v>
      </c>
      <c r="BT53">
        <f t="shared" si="0"/>
        <v>1</v>
      </c>
    </row>
    <row r="54" spans="1:72" x14ac:dyDescent="0.2">
      <c r="A54" s="19" t="s">
        <v>552</v>
      </c>
      <c r="B54" s="1">
        <v>1265</v>
      </c>
      <c r="C54">
        <v>1</v>
      </c>
      <c r="D54" s="8" t="s">
        <v>48</v>
      </c>
      <c r="E54" s="12" t="s">
        <v>49</v>
      </c>
      <c r="F54" s="8">
        <v>1265</v>
      </c>
      <c r="G54" s="8">
        <v>1265</v>
      </c>
      <c r="H54" s="12">
        <v>468</v>
      </c>
      <c r="I54" s="3">
        <v>468</v>
      </c>
      <c r="J54" s="4">
        <f>468-33</f>
        <v>435</v>
      </c>
      <c r="K54" s="11">
        <v>310</v>
      </c>
      <c r="L54" s="8"/>
      <c r="M54" s="8"/>
      <c r="N54" s="8"/>
      <c r="O54" s="8"/>
      <c r="P54" s="8" t="s">
        <v>773</v>
      </c>
      <c r="Q54" s="4" t="s">
        <v>51</v>
      </c>
      <c r="R54" s="11" t="s">
        <v>90</v>
      </c>
      <c r="S54" s="8"/>
      <c r="T54" s="8"/>
      <c r="U54" s="8"/>
      <c r="V54" s="8"/>
      <c r="W54" s="8">
        <v>6</v>
      </c>
      <c r="X54" s="8">
        <v>12</v>
      </c>
      <c r="Y54" s="4">
        <f t="shared" si="3"/>
        <v>435</v>
      </c>
      <c r="Z54" s="4">
        <v>1</v>
      </c>
      <c r="AA54" s="11">
        <f>K54</f>
        <v>310</v>
      </c>
      <c r="AB54" s="11">
        <v>1</v>
      </c>
      <c r="AC54" s="8"/>
      <c r="AD54" s="8"/>
      <c r="AE54" s="8"/>
      <c r="AF54" s="8"/>
      <c r="AG54" s="8"/>
      <c r="AH54" s="8"/>
      <c r="AI54" s="8"/>
      <c r="AJ54" s="8"/>
      <c r="AK54" s="8"/>
      <c r="AL54" s="8"/>
      <c r="AM54" s="8">
        <v>73</v>
      </c>
      <c r="AN54" s="8" t="s">
        <v>101</v>
      </c>
      <c r="AO54" s="8" t="s">
        <v>53</v>
      </c>
      <c r="AP54" s="8">
        <v>-27010</v>
      </c>
      <c r="AQ54" s="8">
        <v>0</v>
      </c>
      <c r="AR54" s="8" t="s">
        <v>54</v>
      </c>
      <c r="AS54" s="8" t="s">
        <v>55</v>
      </c>
      <c r="AT54" s="8" t="s">
        <v>55</v>
      </c>
      <c r="AU54" s="8" t="s">
        <v>56</v>
      </c>
      <c r="AV54" s="8">
        <v>1665</v>
      </c>
      <c r="AW54" s="8" t="s">
        <v>57</v>
      </c>
      <c r="AX54" s="8" t="s">
        <v>55</v>
      </c>
      <c r="AY54" s="8" t="s">
        <v>58</v>
      </c>
      <c r="AZ54" s="8" t="s">
        <v>59</v>
      </c>
      <c r="BA54" s="8" t="s">
        <v>55</v>
      </c>
      <c r="BB54" s="8" t="s">
        <v>49</v>
      </c>
      <c r="BC54" s="8" t="s">
        <v>49</v>
      </c>
      <c r="BD54" s="8" t="s">
        <v>106</v>
      </c>
      <c r="BE54" s="8" t="s">
        <v>55</v>
      </c>
      <c r="BF54" s="8">
        <v>9</v>
      </c>
      <c r="BG54" s="8" t="s">
        <v>511</v>
      </c>
      <c r="BH54" s="8" t="s">
        <v>71</v>
      </c>
      <c r="BI54" s="8" t="s">
        <v>62</v>
      </c>
      <c r="BJ54" s="8" t="s">
        <v>63</v>
      </c>
      <c r="BK54" s="8">
        <v>2002</v>
      </c>
      <c r="BL54">
        <v>1</v>
      </c>
      <c r="BM54">
        <v>1</v>
      </c>
      <c r="BR54">
        <f t="shared" si="2"/>
        <v>257</v>
      </c>
      <c r="BS54">
        <v>211</v>
      </c>
      <c r="BT54">
        <f t="shared" si="0"/>
        <v>2</v>
      </c>
    </row>
    <row r="55" spans="1:72" x14ac:dyDescent="0.2">
      <c r="A55" s="19" t="s">
        <v>128</v>
      </c>
      <c r="B55" s="1">
        <v>1751</v>
      </c>
      <c r="C55">
        <v>0</v>
      </c>
      <c r="D55" t="s">
        <v>68</v>
      </c>
      <c r="E55" s="2" t="s">
        <v>49</v>
      </c>
      <c r="F55" t="s">
        <v>49</v>
      </c>
      <c r="G55">
        <v>1751</v>
      </c>
      <c r="H55" s="2">
        <v>480</v>
      </c>
      <c r="I55" s="3">
        <v>480</v>
      </c>
      <c r="J55" s="4">
        <f>480-27</f>
        <v>453</v>
      </c>
      <c r="K55" s="10">
        <v>892</v>
      </c>
      <c r="L55" s="5">
        <v>105</v>
      </c>
      <c r="Q55" s="4" t="s">
        <v>51</v>
      </c>
      <c r="R55" s="10" t="s">
        <v>87</v>
      </c>
      <c r="S55" s="5" t="s">
        <v>65</v>
      </c>
      <c r="W55" s="8">
        <v>8</v>
      </c>
      <c r="X55" s="8">
        <v>16</v>
      </c>
      <c r="Y55" s="4">
        <f t="shared" si="3"/>
        <v>453</v>
      </c>
      <c r="Z55" s="4">
        <v>1</v>
      </c>
      <c r="AE55" s="5">
        <f>L55</f>
        <v>105</v>
      </c>
      <c r="AF55" s="5">
        <v>1</v>
      </c>
      <c r="AI55" s="8"/>
      <c r="AK55" s="10">
        <f>K55</f>
        <v>892</v>
      </c>
      <c r="AL55" s="10">
        <v>1</v>
      </c>
      <c r="AM55">
        <v>57</v>
      </c>
      <c r="AN55" t="s">
        <v>52</v>
      </c>
      <c r="AO55" t="s">
        <v>53</v>
      </c>
      <c r="AP55">
        <v>-21066</v>
      </c>
      <c r="AQ55">
        <v>0</v>
      </c>
      <c r="AR55" t="s">
        <v>54</v>
      </c>
      <c r="AS55" t="s">
        <v>55</v>
      </c>
      <c r="AT55" t="s">
        <v>53</v>
      </c>
      <c r="AU55" t="s">
        <v>56</v>
      </c>
      <c r="AV55">
        <v>1666</v>
      </c>
      <c r="AW55" t="s">
        <v>57</v>
      </c>
      <c r="AX55" t="s">
        <v>55</v>
      </c>
      <c r="AY55" t="s">
        <v>58</v>
      </c>
      <c r="AZ55" t="s">
        <v>59</v>
      </c>
      <c r="BA55" t="s">
        <v>55</v>
      </c>
      <c r="BB55" t="s">
        <v>49</v>
      </c>
      <c r="BC55" t="s">
        <v>49</v>
      </c>
      <c r="BD55" t="s">
        <v>106</v>
      </c>
      <c r="BE55" t="s">
        <v>55</v>
      </c>
      <c r="BF55">
        <v>9</v>
      </c>
      <c r="BG55" t="s">
        <v>60</v>
      </c>
      <c r="BH55" t="s">
        <v>71</v>
      </c>
      <c r="BI55" t="s">
        <v>62</v>
      </c>
      <c r="BJ55" t="s">
        <v>63</v>
      </c>
      <c r="BK55">
        <v>2003</v>
      </c>
      <c r="BL55">
        <v>1</v>
      </c>
      <c r="BM55">
        <v>1</v>
      </c>
      <c r="BN55">
        <v>0</v>
      </c>
      <c r="BR55">
        <f t="shared" si="2"/>
        <v>299</v>
      </c>
      <c r="BS55">
        <v>181</v>
      </c>
      <c r="BT55">
        <f t="shared" si="0"/>
        <v>3</v>
      </c>
    </row>
    <row r="56" spans="1:72" x14ac:dyDescent="0.2">
      <c r="A56" s="19" t="s">
        <v>553</v>
      </c>
      <c r="B56" s="1">
        <v>1882</v>
      </c>
      <c r="C56">
        <v>0</v>
      </c>
      <c r="D56" s="8" t="s">
        <v>68</v>
      </c>
      <c r="E56" s="12" t="s">
        <v>49</v>
      </c>
      <c r="F56" s="8" t="s">
        <v>49</v>
      </c>
      <c r="G56" s="8">
        <v>1882</v>
      </c>
      <c r="H56" s="12">
        <v>460</v>
      </c>
      <c r="I56" s="3">
        <v>460</v>
      </c>
      <c r="J56" s="4">
        <f>460-7</f>
        <v>453</v>
      </c>
      <c r="K56" s="11">
        <f>820-559</f>
        <v>261</v>
      </c>
      <c r="L56" s="5">
        <v>1067</v>
      </c>
      <c r="M56" s="8"/>
      <c r="N56" s="8"/>
      <c r="O56" s="8"/>
      <c r="P56" s="8" t="s">
        <v>774</v>
      </c>
      <c r="Q56" s="4" t="s">
        <v>51</v>
      </c>
      <c r="R56" s="11" t="s">
        <v>90</v>
      </c>
      <c r="S56" s="5" t="s">
        <v>65</v>
      </c>
      <c r="T56" s="8"/>
      <c r="U56" s="8"/>
      <c r="V56" s="8"/>
      <c r="W56" s="8">
        <v>6</v>
      </c>
      <c r="X56" s="8">
        <v>12</v>
      </c>
      <c r="Y56" s="4">
        <f t="shared" si="3"/>
        <v>453</v>
      </c>
      <c r="Z56" s="4">
        <v>1</v>
      </c>
      <c r="AA56" s="11">
        <f>K56</f>
        <v>261</v>
      </c>
      <c r="AB56" s="11">
        <v>1</v>
      </c>
      <c r="AC56" s="8"/>
      <c r="AD56" s="8"/>
      <c r="AE56" s="5">
        <f>L56</f>
        <v>1067</v>
      </c>
      <c r="AF56" s="5">
        <v>0</v>
      </c>
      <c r="AG56" s="8"/>
      <c r="AH56" s="8"/>
      <c r="AI56" s="8"/>
      <c r="AJ56" s="8"/>
      <c r="AK56" s="8"/>
      <c r="AL56" s="8"/>
      <c r="AM56" s="8">
        <v>61</v>
      </c>
      <c r="AN56" s="8" t="s">
        <v>52</v>
      </c>
      <c r="AO56" s="8" t="s">
        <v>53</v>
      </c>
      <c r="AP56" s="8">
        <v>-22306</v>
      </c>
      <c r="AQ56" s="8">
        <v>0</v>
      </c>
      <c r="AR56" s="8" t="s">
        <v>54</v>
      </c>
      <c r="AS56" s="8" t="s">
        <v>55</v>
      </c>
      <c r="AT56" s="8" t="s">
        <v>55</v>
      </c>
      <c r="AU56" s="8" t="s">
        <v>56</v>
      </c>
      <c r="AV56" s="8">
        <v>1667</v>
      </c>
      <c r="AW56" s="8" t="s">
        <v>57</v>
      </c>
      <c r="AX56" s="8" t="s">
        <v>55</v>
      </c>
      <c r="AY56" s="8" t="s">
        <v>58</v>
      </c>
      <c r="AZ56" s="8" t="s">
        <v>59</v>
      </c>
      <c r="BA56" s="8" t="s">
        <v>55</v>
      </c>
      <c r="BB56" s="8" t="s">
        <v>49</v>
      </c>
      <c r="BC56" s="8" t="s">
        <v>49</v>
      </c>
      <c r="BD56" s="8" t="s">
        <v>106</v>
      </c>
      <c r="BE56" s="8" t="s">
        <v>55</v>
      </c>
      <c r="BF56" s="8">
        <v>9</v>
      </c>
      <c r="BG56" s="8" t="s">
        <v>511</v>
      </c>
      <c r="BH56" s="8" t="s">
        <v>71</v>
      </c>
      <c r="BI56" s="8" t="s">
        <v>521</v>
      </c>
      <c r="BJ56" s="8" t="s">
        <v>63</v>
      </c>
      <c r="BK56" s="8">
        <v>2004</v>
      </c>
      <c r="BL56">
        <v>1</v>
      </c>
      <c r="BM56">
        <v>1</v>
      </c>
      <c r="BN56">
        <v>0</v>
      </c>
      <c r="BR56">
        <f t="shared" si="2"/>
        <v>342</v>
      </c>
      <c r="BS56">
        <v>118</v>
      </c>
      <c r="BT56">
        <f t="shared" si="0"/>
        <v>3</v>
      </c>
    </row>
    <row r="57" spans="1:72" x14ac:dyDescent="0.2">
      <c r="A57" s="19" t="s">
        <v>129</v>
      </c>
      <c r="B57" s="1">
        <v>1684</v>
      </c>
      <c r="C57">
        <v>0</v>
      </c>
      <c r="D57" t="s">
        <v>68</v>
      </c>
      <c r="E57" s="2" t="s">
        <v>49</v>
      </c>
      <c r="F57" t="s">
        <v>49</v>
      </c>
      <c r="G57">
        <v>1684</v>
      </c>
      <c r="H57" s="2" t="s">
        <v>49</v>
      </c>
      <c r="I57" s="3" t="s">
        <v>69</v>
      </c>
      <c r="J57" s="4">
        <f>1684-31</f>
        <v>1653</v>
      </c>
      <c r="Q57" s="4" t="s">
        <v>51</v>
      </c>
      <c r="W57" s="8">
        <v>15</v>
      </c>
      <c r="X57" s="8">
        <v>21</v>
      </c>
      <c r="Y57" s="4">
        <f t="shared" si="3"/>
        <v>1653</v>
      </c>
      <c r="Z57" s="4">
        <v>0</v>
      </c>
      <c r="AM57">
        <v>57</v>
      </c>
      <c r="AN57" t="s">
        <v>126</v>
      </c>
      <c r="AO57" t="s">
        <v>53</v>
      </c>
      <c r="AP57">
        <v>-20971</v>
      </c>
      <c r="AQ57">
        <v>0</v>
      </c>
      <c r="AR57" t="s">
        <v>54</v>
      </c>
      <c r="AS57" t="s">
        <v>55</v>
      </c>
      <c r="AT57" t="s">
        <v>55</v>
      </c>
      <c r="AU57" t="s">
        <v>56</v>
      </c>
      <c r="AV57">
        <v>1668</v>
      </c>
      <c r="AW57" t="s">
        <v>57</v>
      </c>
      <c r="AX57" t="s">
        <v>55</v>
      </c>
      <c r="AY57" t="s">
        <v>58</v>
      </c>
      <c r="AZ57" t="s">
        <v>59</v>
      </c>
      <c r="BA57" t="s">
        <v>55</v>
      </c>
      <c r="BB57" t="s">
        <v>49</v>
      </c>
      <c r="BC57" t="s">
        <v>49</v>
      </c>
      <c r="BD57" t="s">
        <v>49</v>
      </c>
      <c r="BE57" t="s">
        <v>55</v>
      </c>
      <c r="BF57">
        <v>9</v>
      </c>
      <c r="BG57" t="s">
        <v>60</v>
      </c>
      <c r="BH57" t="s">
        <v>49</v>
      </c>
      <c r="BI57" t="s">
        <v>62</v>
      </c>
      <c r="BJ57" t="s">
        <v>63</v>
      </c>
      <c r="BK57">
        <v>2004</v>
      </c>
      <c r="BL57">
        <v>0</v>
      </c>
      <c r="BR57">
        <f>B57-BS57</f>
        <v>1549</v>
      </c>
      <c r="BS57">
        <v>135</v>
      </c>
      <c r="BT57">
        <f t="shared" si="0"/>
        <v>1</v>
      </c>
    </row>
    <row r="58" spans="1:72" x14ac:dyDescent="0.2">
      <c r="A58" s="19" t="s">
        <v>130</v>
      </c>
      <c r="B58" s="1">
        <v>927</v>
      </c>
      <c r="C58">
        <v>0</v>
      </c>
      <c r="D58" t="s">
        <v>68</v>
      </c>
      <c r="E58" s="2" t="s">
        <v>49</v>
      </c>
      <c r="F58" t="s">
        <v>49</v>
      </c>
      <c r="G58">
        <v>927</v>
      </c>
      <c r="H58" s="2" t="s">
        <v>49</v>
      </c>
      <c r="I58" s="3" t="s">
        <v>69</v>
      </c>
      <c r="J58" s="4">
        <v>900</v>
      </c>
      <c r="Q58" s="4" t="s">
        <v>51</v>
      </c>
      <c r="W58" s="8">
        <v>6</v>
      </c>
      <c r="X58" s="8">
        <v>12</v>
      </c>
      <c r="Y58" s="4">
        <f t="shared" si="3"/>
        <v>900</v>
      </c>
      <c r="Z58" s="4">
        <v>0</v>
      </c>
      <c r="AM58">
        <v>54</v>
      </c>
      <c r="AN58" t="s">
        <v>126</v>
      </c>
      <c r="AO58" t="s">
        <v>53</v>
      </c>
      <c r="AP58">
        <v>-20052</v>
      </c>
      <c r="AQ58">
        <v>0</v>
      </c>
      <c r="AR58" t="s">
        <v>54</v>
      </c>
      <c r="AS58" t="s">
        <v>55</v>
      </c>
      <c r="AT58" t="s">
        <v>55</v>
      </c>
      <c r="AU58" t="s">
        <v>56</v>
      </c>
      <c r="AV58">
        <v>1669</v>
      </c>
      <c r="AW58" t="s">
        <v>57</v>
      </c>
      <c r="AX58" t="s">
        <v>55</v>
      </c>
      <c r="AY58" t="s">
        <v>58</v>
      </c>
      <c r="AZ58" t="s">
        <v>59</v>
      </c>
      <c r="BA58" t="s">
        <v>55</v>
      </c>
      <c r="BB58" t="s">
        <v>49</v>
      </c>
      <c r="BC58" t="s">
        <v>49</v>
      </c>
      <c r="BD58" t="s">
        <v>49</v>
      </c>
      <c r="BE58" t="s">
        <v>55</v>
      </c>
      <c r="BF58">
        <v>9</v>
      </c>
      <c r="BG58" t="s">
        <v>60</v>
      </c>
      <c r="BH58" t="s">
        <v>71</v>
      </c>
      <c r="BI58" t="s">
        <v>131</v>
      </c>
      <c r="BJ58" t="s">
        <v>63</v>
      </c>
      <c r="BK58">
        <v>2004</v>
      </c>
      <c r="BL58">
        <v>0</v>
      </c>
      <c r="BR58">
        <f>B58-BS58</f>
        <v>796</v>
      </c>
      <c r="BS58">
        <v>131</v>
      </c>
      <c r="BT58">
        <f t="shared" si="0"/>
        <v>1</v>
      </c>
    </row>
    <row r="59" spans="1:72" x14ac:dyDescent="0.2">
      <c r="A59" s="19" t="s">
        <v>132</v>
      </c>
      <c r="B59" s="1">
        <v>547</v>
      </c>
      <c r="C59">
        <v>0</v>
      </c>
      <c r="D59" t="s">
        <v>68</v>
      </c>
      <c r="E59" s="2" t="s">
        <v>49</v>
      </c>
      <c r="F59" t="s">
        <v>49</v>
      </c>
      <c r="G59">
        <v>547</v>
      </c>
      <c r="H59" s="2">
        <v>547</v>
      </c>
      <c r="I59" s="3">
        <v>547</v>
      </c>
      <c r="J59" s="4">
        <v>473</v>
      </c>
      <c r="Q59" s="4" t="s">
        <v>51</v>
      </c>
      <c r="W59" s="8">
        <v>6</v>
      </c>
      <c r="X59" s="8">
        <v>12</v>
      </c>
      <c r="Y59" s="4">
        <f t="shared" si="3"/>
        <v>473</v>
      </c>
      <c r="Z59" s="4">
        <v>0</v>
      </c>
      <c r="AM59">
        <v>57</v>
      </c>
      <c r="AN59" t="s">
        <v>52</v>
      </c>
      <c r="AO59" t="s">
        <v>53</v>
      </c>
      <c r="AP59">
        <v>-21146</v>
      </c>
      <c r="AQ59">
        <v>0</v>
      </c>
      <c r="AR59" t="s">
        <v>54</v>
      </c>
      <c r="AS59" t="s">
        <v>55</v>
      </c>
      <c r="AT59" t="s">
        <v>55</v>
      </c>
      <c r="AU59" t="s">
        <v>56</v>
      </c>
      <c r="AV59">
        <v>1670</v>
      </c>
      <c r="AW59" t="s">
        <v>57</v>
      </c>
      <c r="AX59" t="s">
        <v>55</v>
      </c>
      <c r="AY59" t="s">
        <v>58</v>
      </c>
      <c r="AZ59" t="s">
        <v>59</v>
      </c>
      <c r="BA59" t="s">
        <v>55</v>
      </c>
      <c r="BB59" t="s">
        <v>49</v>
      </c>
      <c r="BC59" t="s">
        <v>49</v>
      </c>
      <c r="BD59" t="s">
        <v>106</v>
      </c>
      <c r="BE59" t="s">
        <v>55</v>
      </c>
      <c r="BF59">
        <v>9</v>
      </c>
      <c r="BG59" t="s">
        <v>60</v>
      </c>
      <c r="BH59" t="s">
        <v>71</v>
      </c>
      <c r="BI59" t="s">
        <v>131</v>
      </c>
      <c r="BJ59" t="s">
        <v>63</v>
      </c>
      <c r="BK59">
        <v>2005</v>
      </c>
      <c r="BL59">
        <v>1</v>
      </c>
      <c r="BR59">
        <f>I59-BS59</f>
        <v>368</v>
      </c>
      <c r="BS59">
        <v>179</v>
      </c>
      <c r="BT59">
        <f t="shared" si="0"/>
        <v>1</v>
      </c>
    </row>
    <row r="60" spans="1:72" x14ac:dyDescent="0.2">
      <c r="A60" s="19" t="s">
        <v>554</v>
      </c>
      <c r="B60" s="1">
        <v>178</v>
      </c>
      <c r="C60">
        <v>0</v>
      </c>
      <c r="D60" s="8" t="s">
        <v>68</v>
      </c>
      <c r="E60" s="12" t="s">
        <v>49</v>
      </c>
      <c r="F60" s="8" t="s">
        <v>49</v>
      </c>
      <c r="G60" s="8">
        <v>178</v>
      </c>
      <c r="H60" s="12" t="s">
        <v>49</v>
      </c>
      <c r="I60" s="3" t="s">
        <v>69</v>
      </c>
      <c r="J60" s="4">
        <v>148</v>
      </c>
      <c r="K60" s="8"/>
      <c r="L60" s="8"/>
      <c r="M60" s="8"/>
      <c r="N60" s="8"/>
      <c r="O60" s="8"/>
      <c r="P60" s="8"/>
      <c r="Q60" s="4" t="s">
        <v>51</v>
      </c>
      <c r="R60" s="8"/>
      <c r="S60" s="8"/>
      <c r="T60" s="8"/>
      <c r="U60" s="8"/>
      <c r="V60" s="8"/>
      <c r="W60" s="8"/>
      <c r="X60" s="8"/>
      <c r="Y60" s="4">
        <f t="shared" si="3"/>
        <v>148</v>
      </c>
      <c r="Z60" s="4">
        <v>0</v>
      </c>
      <c r="AA60" s="8"/>
      <c r="AB60" s="8"/>
      <c r="AC60" s="8"/>
      <c r="AD60" s="8"/>
      <c r="AE60" s="8"/>
      <c r="AF60" s="8"/>
      <c r="AG60" s="8"/>
      <c r="AH60" s="8"/>
      <c r="AI60" s="8"/>
      <c r="AJ60" s="8"/>
      <c r="AK60" s="8"/>
      <c r="AL60" s="8"/>
      <c r="AM60" s="8">
        <v>78</v>
      </c>
      <c r="AN60" s="8" t="s">
        <v>126</v>
      </c>
      <c r="AO60" s="8" t="s">
        <v>53</v>
      </c>
      <c r="AP60" s="8">
        <v>-28555</v>
      </c>
      <c r="AQ60" s="8">
        <v>0</v>
      </c>
      <c r="AR60" s="8" t="s">
        <v>54</v>
      </c>
      <c r="AS60" s="8" t="s">
        <v>55</v>
      </c>
      <c r="AT60" s="8" t="s">
        <v>55</v>
      </c>
      <c r="AU60" s="8" t="s">
        <v>56</v>
      </c>
      <c r="AV60" s="8">
        <v>1672</v>
      </c>
      <c r="AW60" s="8" t="s">
        <v>70</v>
      </c>
      <c r="AX60" s="8" t="s">
        <v>55</v>
      </c>
      <c r="AY60" s="8" t="s">
        <v>49</v>
      </c>
      <c r="AZ60" s="8" t="s">
        <v>59</v>
      </c>
      <c r="BA60" s="8" t="s">
        <v>55</v>
      </c>
      <c r="BB60" s="8" t="s">
        <v>49</v>
      </c>
      <c r="BC60" s="8" t="s">
        <v>49</v>
      </c>
      <c r="BD60" s="8" t="s">
        <v>49</v>
      </c>
      <c r="BE60" s="8" t="s">
        <v>55</v>
      </c>
      <c r="BF60" s="8">
        <v>9</v>
      </c>
      <c r="BG60" s="8" t="s">
        <v>551</v>
      </c>
      <c r="BH60" s="8" t="s">
        <v>49</v>
      </c>
      <c r="BI60" s="8" t="s">
        <v>62</v>
      </c>
      <c r="BJ60" s="8" t="s">
        <v>63</v>
      </c>
      <c r="BK60" s="8">
        <v>2008</v>
      </c>
      <c r="BL60">
        <v>0</v>
      </c>
      <c r="BR60">
        <f>B60-BS60</f>
        <v>22</v>
      </c>
      <c r="BS60">
        <f>30+126</f>
        <v>156</v>
      </c>
      <c r="BT60">
        <f t="shared" si="0"/>
        <v>1</v>
      </c>
    </row>
    <row r="61" spans="1:72" x14ac:dyDescent="0.2">
      <c r="A61" s="19" t="s">
        <v>133</v>
      </c>
      <c r="B61" s="1">
        <v>92</v>
      </c>
      <c r="C61">
        <v>0</v>
      </c>
      <c r="D61" t="s">
        <v>68</v>
      </c>
      <c r="E61" s="2" t="s">
        <v>49</v>
      </c>
      <c r="F61" t="s">
        <v>49</v>
      </c>
      <c r="G61">
        <v>92</v>
      </c>
      <c r="H61" s="2" t="s">
        <v>49</v>
      </c>
      <c r="I61" s="3" t="s">
        <v>69</v>
      </c>
      <c r="J61" s="4">
        <v>61</v>
      </c>
      <c r="Q61" s="4" t="s">
        <v>51</v>
      </c>
      <c r="Y61" s="4">
        <f t="shared" si="3"/>
        <v>61</v>
      </c>
      <c r="Z61" s="4">
        <v>0</v>
      </c>
      <c r="AM61">
        <v>50</v>
      </c>
      <c r="AN61" t="s">
        <v>52</v>
      </c>
      <c r="AO61" t="s">
        <v>53</v>
      </c>
      <c r="AP61">
        <v>-18599</v>
      </c>
      <c r="AQ61">
        <v>0</v>
      </c>
      <c r="AR61" t="s">
        <v>54</v>
      </c>
      <c r="AS61" t="s">
        <v>55</v>
      </c>
      <c r="AT61" t="s">
        <v>55</v>
      </c>
      <c r="AU61" t="s">
        <v>56</v>
      </c>
      <c r="AV61">
        <v>1673</v>
      </c>
      <c r="AW61" t="s">
        <v>57</v>
      </c>
      <c r="AX61" t="s">
        <v>55</v>
      </c>
      <c r="AY61" t="s">
        <v>49</v>
      </c>
      <c r="AZ61" t="s">
        <v>59</v>
      </c>
      <c r="BA61" t="s">
        <v>55</v>
      </c>
      <c r="BB61" t="s">
        <v>49</v>
      </c>
      <c r="BC61" t="s">
        <v>49</v>
      </c>
      <c r="BD61" t="s">
        <v>49</v>
      </c>
      <c r="BE61" t="s">
        <v>55</v>
      </c>
      <c r="BF61">
        <v>9</v>
      </c>
      <c r="BG61" t="s">
        <v>60</v>
      </c>
      <c r="BH61" t="s">
        <v>82</v>
      </c>
      <c r="BI61" t="s">
        <v>83</v>
      </c>
      <c r="BJ61" t="s">
        <v>63</v>
      </c>
      <c r="BK61">
        <v>2008</v>
      </c>
      <c r="BL61">
        <v>0</v>
      </c>
      <c r="BR61">
        <f>B61-BS61</f>
        <v>0</v>
      </c>
      <c r="BS61">
        <v>92</v>
      </c>
      <c r="BT61">
        <f t="shared" si="0"/>
        <v>1</v>
      </c>
    </row>
    <row r="62" spans="1:72" x14ac:dyDescent="0.2">
      <c r="A62" s="19" t="s">
        <v>134</v>
      </c>
      <c r="B62" s="1">
        <v>260</v>
      </c>
      <c r="C62">
        <v>0</v>
      </c>
      <c r="D62" t="s">
        <v>68</v>
      </c>
      <c r="E62" s="2" t="s">
        <v>49</v>
      </c>
      <c r="F62" t="s">
        <v>49</v>
      </c>
      <c r="G62">
        <v>260</v>
      </c>
      <c r="H62" s="2" t="s">
        <v>49</v>
      </c>
      <c r="I62" s="3" t="s">
        <v>69</v>
      </c>
      <c r="J62" s="4">
        <v>219</v>
      </c>
      <c r="Q62" s="4" t="s">
        <v>51</v>
      </c>
      <c r="W62">
        <v>6</v>
      </c>
      <c r="X62">
        <v>12</v>
      </c>
      <c r="Y62" s="4">
        <f t="shared" si="3"/>
        <v>219</v>
      </c>
      <c r="Z62" s="4">
        <v>0</v>
      </c>
      <c r="AM62">
        <v>79</v>
      </c>
      <c r="AN62" t="s">
        <v>52</v>
      </c>
      <c r="AO62" t="s">
        <v>53</v>
      </c>
      <c r="AP62">
        <v>-28878</v>
      </c>
      <c r="AQ62">
        <v>0</v>
      </c>
      <c r="AR62" t="s">
        <v>54</v>
      </c>
      <c r="AS62" t="s">
        <v>55</v>
      </c>
      <c r="AT62" t="s">
        <v>55</v>
      </c>
      <c r="AU62" t="s">
        <v>56</v>
      </c>
      <c r="AV62">
        <v>1674</v>
      </c>
      <c r="AW62" t="s">
        <v>57</v>
      </c>
      <c r="AX62" t="s">
        <v>55</v>
      </c>
      <c r="AY62" t="s">
        <v>58</v>
      </c>
      <c r="AZ62" t="s">
        <v>59</v>
      </c>
      <c r="BA62" t="s">
        <v>55</v>
      </c>
      <c r="BB62" t="s">
        <v>49</v>
      </c>
      <c r="BC62" t="s">
        <v>49</v>
      </c>
      <c r="BD62" t="s">
        <v>49</v>
      </c>
      <c r="BE62" t="s">
        <v>55</v>
      </c>
      <c r="BF62">
        <v>9</v>
      </c>
      <c r="BG62" t="s">
        <v>60</v>
      </c>
      <c r="BH62" t="s">
        <v>61</v>
      </c>
      <c r="BI62" t="s">
        <v>62</v>
      </c>
      <c r="BJ62" t="s">
        <v>63</v>
      </c>
      <c r="BK62">
        <v>2008</v>
      </c>
      <c r="BL62">
        <v>0</v>
      </c>
      <c r="BR62">
        <f>B62-BS62</f>
        <v>115</v>
      </c>
      <c r="BS62">
        <v>145</v>
      </c>
      <c r="BT62">
        <f t="shared" si="0"/>
        <v>1</v>
      </c>
    </row>
    <row r="63" spans="1:72" x14ac:dyDescent="0.2">
      <c r="A63" s="19" t="s">
        <v>555</v>
      </c>
      <c r="B63" s="1">
        <v>2967</v>
      </c>
      <c r="C63">
        <v>0</v>
      </c>
      <c r="D63" s="8" t="s">
        <v>68</v>
      </c>
      <c r="E63" s="12" t="s">
        <v>49</v>
      </c>
      <c r="F63" s="8" t="s">
        <v>49</v>
      </c>
      <c r="G63" s="8">
        <v>2967</v>
      </c>
      <c r="H63" s="12" t="s">
        <v>49</v>
      </c>
      <c r="I63" s="3" t="s">
        <v>69</v>
      </c>
      <c r="J63" s="4">
        <v>2913</v>
      </c>
      <c r="K63" s="8"/>
      <c r="L63" s="8"/>
      <c r="M63" s="8"/>
      <c r="N63" s="8"/>
      <c r="O63" s="8"/>
      <c r="P63" s="8"/>
      <c r="Q63" s="4" t="s">
        <v>51</v>
      </c>
      <c r="R63" s="8"/>
      <c r="S63" s="8"/>
      <c r="T63" s="8"/>
      <c r="U63" s="8"/>
      <c r="V63" s="8"/>
      <c r="W63" s="8">
        <v>18</v>
      </c>
      <c r="X63" s="8">
        <v>36</v>
      </c>
      <c r="Y63" s="4">
        <f t="shared" si="3"/>
        <v>2913</v>
      </c>
      <c r="Z63" s="4">
        <v>0</v>
      </c>
      <c r="AA63" s="8"/>
      <c r="AB63" s="8"/>
      <c r="AC63" s="8"/>
      <c r="AD63" s="8"/>
      <c r="AE63" s="8"/>
      <c r="AF63" s="8"/>
      <c r="AG63" s="8"/>
      <c r="AH63" s="8"/>
      <c r="AI63" s="8"/>
      <c r="AJ63" s="8"/>
      <c r="AK63" s="8"/>
      <c r="AL63" s="8"/>
      <c r="AM63" s="8">
        <v>50</v>
      </c>
      <c r="AN63" s="8" t="s">
        <v>101</v>
      </c>
      <c r="AO63" s="8" t="s">
        <v>53</v>
      </c>
      <c r="AP63" s="8">
        <v>-18596</v>
      </c>
      <c r="AQ63" s="8">
        <v>0</v>
      </c>
      <c r="AR63" s="8" t="s">
        <v>54</v>
      </c>
      <c r="AS63" s="8" t="s">
        <v>55</v>
      </c>
      <c r="AT63" s="8" t="s">
        <v>55</v>
      </c>
      <c r="AU63" s="8" t="s">
        <v>56</v>
      </c>
      <c r="AV63" s="8">
        <v>1675</v>
      </c>
      <c r="AW63" s="8" t="s">
        <v>70</v>
      </c>
      <c r="AX63" s="8" t="s">
        <v>55</v>
      </c>
      <c r="AY63" s="8" t="s">
        <v>58</v>
      </c>
      <c r="AZ63" s="8" t="s">
        <v>49</v>
      </c>
      <c r="BA63" s="8" t="s">
        <v>55</v>
      </c>
      <c r="BB63" s="8" t="s">
        <v>49</v>
      </c>
      <c r="BC63" s="8" t="s">
        <v>49</v>
      </c>
      <c r="BD63" s="8" t="s">
        <v>49</v>
      </c>
      <c r="BE63" s="8" t="s">
        <v>55</v>
      </c>
      <c r="BF63" s="8">
        <v>9</v>
      </c>
      <c r="BG63" s="8" t="s">
        <v>511</v>
      </c>
      <c r="BH63" s="8" t="s">
        <v>71</v>
      </c>
      <c r="BI63" s="8" t="s">
        <v>556</v>
      </c>
      <c r="BJ63" s="8" t="s">
        <v>63</v>
      </c>
      <c r="BK63" s="8">
        <v>2001</v>
      </c>
      <c r="BL63">
        <v>0</v>
      </c>
      <c r="BR63">
        <f>B63-BS63</f>
        <v>2780</v>
      </c>
      <c r="BS63">
        <v>187</v>
      </c>
      <c r="BT63">
        <f t="shared" si="0"/>
        <v>1</v>
      </c>
    </row>
    <row r="64" spans="1:72" x14ac:dyDescent="0.2">
      <c r="A64" s="19" t="s">
        <v>557</v>
      </c>
      <c r="B64" s="1">
        <v>187</v>
      </c>
      <c r="C64">
        <v>0</v>
      </c>
      <c r="D64" s="8" t="s">
        <v>68</v>
      </c>
      <c r="E64" s="12" t="s">
        <v>49</v>
      </c>
      <c r="F64" s="8" t="s">
        <v>49</v>
      </c>
      <c r="G64" s="8">
        <v>187</v>
      </c>
      <c r="H64" s="12" t="s">
        <v>49</v>
      </c>
      <c r="I64" s="3" t="s">
        <v>69</v>
      </c>
      <c r="J64" s="8"/>
      <c r="K64" s="8"/>
      <c r="L64" s="8"/>
      <c r="M64" s="8"/>
      <c r="N64" s="8"/>
      <c r="O64" s="8"/>
      <c r="P64" s="8" t="s">
        <v>755</v>
      </c>
      <c r="Q64" s="8" t="s">
        <v>50</v>
      </c>
      <c r="R64" s="8"/>
      <c r="S64" s="8"/>
      <c r="T64" s="8"/>
      <c r="U64" s="8"/>
      <c r="V64" s="8"/>
      <c r="W64" s="8"/>
      <c r="X64" s="8"/>
      <c r="Y64" s="8"/>
      <c r="Z64" s="8"/>
      <c r="AA64" s="8"/>
      <c r="AB64" s="8"/>
      <c r="AC64" s="8"/>
      <c r="AD64" s="8"/>
      <c r="AE64" s="8"/>
      <c r="AF64" s="8"/>
      <c r="AG64" s="8"/>
      <c r="AH64" s="8"/>
      <c r="AI64" s="8"/>
      <c r="AJ64" s="8"/>
      <c r="AK64" s="8"/>
      <c r="AL64" s="8"/>
      <c r="AM64" s="8">
        <v>69</v>
      </c>
      <c r="AN64" s="8" t="s">
        <v>101</v>
      </c>
      <c r="AO64" s="8" t="s">
        <v>55</v>
      </c>
      <c r="AP64" s="8">
        <v>-25480</v>
      </c>
      <c r="AQ64" s="8">
        <v>0</v>
      </c>
      <c r="AR64" s="8" t="s">
        <v>54</v>
      </c>
      <c r="AS64" s="8" t="s">
        <v>55</v>
      </c>
      <c r="AT64" s="8" t="s">
        <v>55</v>
      </c>
      <c r="AU64" s="8" t="s">
        <v>56</v>
      </c>
      <c r="AV64" s="8">
        <v>2043</v>
      </c>
      <c r="AW64" s="8" t="s">
        <v>70</v>
      </c>
      <c r="AX64" s="8" t="s">
        <v>55</v>
      </c>
      <c r="AY64" s="8" t="s">
        <v>58</v>
      </c>
      <c r="AZ64" s="8" t="s">
        <v>59</v>
      </c>
      <c r="BA64" s="8" t="s">
        <v>55</v>
      </c>
      <c r="BB64" s="8" t="s">
        <v>49</v>
      </c>
      <c r="BC64" s="8" t="s">
        <v>49</v>
      </c>
      <c r="BD64" s="8" t="s">
        <v>49</v>
      </c>
      <c r="BE64" s="8" t="s">
        <v>55</v>
      </c>
      <c r="BF64" s="8">
        <v>9</v>
      </c>
      <c r="BG64" s="8" t="s">
        <v>60</v>
      </c>
      <c r="BH64" s="8" t="s">
        <v>71</v>
      </c>
      <c r="BI64" s="8" t="s">
        <v>556</v>
      </c>
      <c r="BJ64" s="8" t="s">
        <v>63</v>
      </c>
      <c r="BK64" s="8">
        <v>2009</v>
      </c>
      <c r="BT64">
        <f t="shared" si="0"/>
        <v>0</v>
      </c>
    </row>
    <row r="65" spans="1:72" x14ac:dyDescent="0.2">
      <c r="A65" s="19" t="s">
        <v>558</v>
      </c>
      <c r="B65" s="1">
        <v>186</v>
      </c>
      <c r="C65">
        <v>0</v>
      </c>
      <c r="D65" s="8" t="s">
        <v>68</v>
      </c>
      <c r="E65" s="12" t="s">
        <v>49</v>
      </c>
      <c r="F65" s="8" t="s">
        <v>49</v>
      </c>
      <c r="G65" s="8">
        <v>186</v>
      </c>
      <c r="H65" s="12" t="s">
        <v>49</v>
      </c>
      <c r="I65" s="3" t="s">
        <v>69</v>
      </c>
      <c r="J65" s="4">
        <f>186-30</f>
        <v>156</v>
      </c>
      <c r="K65" s="8"/>
      <c r="L65" s="8"/>
      <c r="M65" s="8"/>
      <c r="N65" s="8"/>
      <c r="O65" s="8"/>
      <c r="P65" s="8"/>
      <c r="Q65" s="4" t="s">
        <v>51</v>
      </c>
      <c r="R65" s="8"/>
      <c r="S65" s="8"/>
      <c r="T65" s="8"/>
      <c r="U65" s="8"/>
      <c r="V65" s="8"/>
      <c r="W65" s="8">
        <v>6</v>
      </c>
      <c r="X65" s="8">
        <v>12</v>
      </c>
      <c r="Y65" s="4">
        <f>J65</f>
        <v>156</v>
      </c>
      <c r="Z65" s="4">
        <v>0</v>
      </c>
      <c r="AA65" s="8"/>
      <c r="AB65" s="8"/>
      <c r="AC65" s="8"/>
      <c r="AD65" s="8"/>
      <c r="AE65" s="8"/>
      <c r="AF65" s="8"/>
      <c r="AG65" s="8"/>
      <c r="AH65" s="8"/>
      <c r="AI65" s="8"/>
      <c r="AJ65" s="8"/>
      <c r="AK65" s="8"/>
      <c r="AL65" s="8"/>
      <c r="AM65" s="8">
        <v>77</v>
      </c>
      <c r="AN65" s="8" t="s">
        <v>126</v>
      </c>
      <c r="AO65" s="8" t="s">
        <v>53</v>
      </c>
      <c r="AP65" s="8">
        <v>-28230</v>
      </c>
      <c r="AQ65" s="8">
        <v>0</v>
      </c>
      <c r="AR65" s="8" t="s">
        <v>54</v>
      </c>
      <c r="AS65" s="8" t="s">
        <v>55</v>
      </c>
      <c r="AT65" s="8" t="s">
        <v>55</v>
      </c>
      <c r="AU65" s="8" t="s">
        <v>56</v>
      </c>
      <c r="AV65" s="8">
        <v>2044</v>
      </c>
      <c r="AW65" s="8" t="s">
        <v>70</v>
      </c>
      <c r="AX65" s="8" t="s">
        <v>55</v>
      </c>
      <c r="AY65" s="8" t="s">
        <v>58</v>
      </c>
      <c r="AZ65" s="8" t="s">
        <v>180</v>
      </c>
      <c r="BA65" s="8" t="s">
        <v>55</v>
      </c>
      <c r="BB65" s="8" t="s">
        <v>49</v>
      </c>
      <c r="BC65" s="8" t="s">
        <v>49</v>
      </c>
      <c r="BD65" s="8" t="s">
        <v>49</v>
      </c>
      <c r="BE65" s="8" t="s">
        <v>55</v>
      </c>
      <c r="BF65" s="8">
        <v>9</v>
      </c>
      <c r="BG65" s="8" t="s">
        <v>60</v>
      </c>
      <c r="BH65" s="8" t="s">
        <v>71</v>
      </c>
      <c r="BI65" s="8" t="s">
        <v>559</v>
      </c>
      <c r="BJ65" s="8" t="s">
        <v>63</v>
      </c>
      <c r="BK65" s="8">
        <v>2009</v>
      </c>
      <c r="BL65">
        <v>0</v>
      </c>
      <c r="BR65">
        <f>B65-BS65</f>
        <v>35</v>
      </c>
      <c r="BS65">
        <v>151</v>
      </c>
      <c r="BT65">
        <f t="shared" si="0"/>
        <v>1</v>
      </c>
    </row>
    <row r="66" spans="1:72" x14ac:dyDescent="0.2">
      <c r="A66" s="19" t="s">
        <v>560</v>
      </c>
      <c r="B66" s="1">
        <v>1069</v>
      </c>
      <c r="C66">
        <v>1</v>
      </c>
      <c r="D66" s="8" t="s">
        <v>48</v>
      </c>
      <c r="E66" s="12" t="s">
        <v>49</v>
      </c>
      <c r="F66" s="8">
        <v>1069</v>
      </c>
      <c r="G66" s="8">
        <v>1069</v>
      </c>
      <c r="H66" s="12">
        <v>631</v>
      </c>
      <c r="I66" s="3">
        <v>631</v>
      </c>
      <c r="J66" s="4">
        <f>631-11</f>
        <v>620</v>
      </c>
      <c r="K66" s="8">
        <v>197</v>
      </c>
      <c r="L66" s="8">
        <v>58</v>
      </c>
      <c r="M66" s="21">
        <v>136</v>
      </c>
      <c r="N66" s="8"/>
      <c r="O66" s="8"/>
      <c r="P66" s="8"/>
      <c r="Q66" s="4" t="s">
        <v>51</v>
      </c>
      <c r="R66" s="8" t="s">
        <v>561</v>
      </c>
      <c r="S66" s="8" t="s">
        <v>98</v>
      </c>
      <c r="T66" s="21" t="s">
        <v>87</v>
      </c>
      <c r="U66" s="8"/>
      <c r="V66" s="8"/>
      <c r="W66" s="8">
        <v>8</v>
      </c>
      <c r="X66" s="8">
        <v>16</v>
      </c>
      <c r="Y66" s="4">
        <f>J66</f>
        <v>620</v>
      </c>
      <c r="Z66" s="4">
        <v>1</v>
      </c>
      <c r="AA66" s="8"/>
      <c r="AB66" s="8"/>
      <c r="AC66" s="8"/>
      <c r="AD66" s="8"/>
      <c r="AE66" s="8"/>
      <c r="AF66" s="8"/>
      <c r="AG66" s="8"/>
      <c r="AH66" s="8"/>
      <c r="AI66" s="8"/>
      <c r="AJ66" s="8"/>
      <c r="AK66" s="21">
        <f>M66</f>
        <v>136</v>
      </c>
      <c r="AL66" s="21">
        <v>1</v>
      </c>
      <c r="AM66" s="8">
        <v>50</v>
      </c>
      <c r="AN66" s="8" t="s">
        <v>52</v>
      </c>
      <c r="AO66" s="8" t="s">
        <v>53</v>
      </c>
      <c r="AP66" s="8">
        <v>-18285</v>
      </c>
      <c r="AQ66" s="8">
        <v>0</v>
      </c>
      <c r="AR66" s="8" t="s">
        <v>54</v>
      </c>
      <c r="AS66" s="8" t="s">
        <v>55</v>
      </c>
      <c r="AT66" s="8" t="s">
        <v>55</v>
      </c>
      <c r="AU66" s="8" t="s">
        <v>56</v>
      </c>
      <c r="AV66" s="8">
        <v>2045</v>
      </c>
      <c r="AW66" s="8" t="s">
        <v>57</v>
      </c>
      <c r="AX66" s="8" t="s">
        <v>55</v>
      </c>
      <c r="AY66" s="8" t="s">
        <v>92</v>
      </c>
      <c r="AZ66" s="8" t="s">
        <v>180</v>
      </c>
      <c r="BA66" s="8" t="s">
        <v>55</v>
      </c>
      <c r="BB66" s="8" t="s">
        <v>49</v>
      </c>
      <c r="BC66" s="8" t="s">
        <v>49</v>
      </c>
      <c r="BD66" s="8" t="s">
        <v>106</v>
      </c>
      <c r="BE66" s="8" t="s">
        <v>55</v>
      </c>
      <c r="BF66" s="8">
        <v>9</v>
      </c>
      <c r="BG66" s="8" t="s">
        <v>511</v>
      </c>
      <c r="BH66" s="8" t="s">
        <v>61</v>
      </c>
      <c r="BI66" s="8" t="s">
        <v>83</v>
      </c>
      <c r="BJ66" s="8" t="s">
        <v>63</v>
      </c>
      <c r="BK66" s="8">
        <v>1996</v>
      </c>
      <c r="BL66">
        <v>1</v>
      </c>
      <c r="BM66">
        <v>1</v>
      </c>
      <c r="BN66">
        <v>1</v>
      </c>
      <c r="BO66">
        <v>1</v>
      </c>
      <c r="BR66">
        <f>I66-BS66</f>
        <v>392</v>
      </c>
      <c r="BS66">
        <v>239</v>
      </c>
      <c r="BT66">
        <f t="shared" si="0"/>
        <v>4</v>
      </c>
    </row>
    <row r="67" spans="1:72" x14ac:dyDescent="0.2">
      <c r="A67" s="19" t="s">
        <v>135</v>
      </c>
      <c r="B67" s="1">
        <v>137</v>
      </c>
      <c r="C67">
        <v>1</v>
      </c>
      <c r="D67" t="s">
        <v>48</v>
      </c>
      <c r="E67" s="2" t="s">
        <v>49</v>
      </c>
      <c r="F67">
        <v>137</v>
      </c>
      <c r="G67">
        <v>137</v>
      </c>
      <c r="H67" s="2" t="s">
        <v>49</v>
      </c>
      <c r="I67" s="3">
        <v>137</v>
      </c>
      <c r="P67" t="s">
        <v>755</v>
      </c>
      <c r="Q67" t="s">
        <v>50</v>
      </c>
      <c r="AM67">
        <v>63</v>
      </c>
      <c r="AN67" t="s">
        <v>52</v>
      </c>
      <c r="AO67" t="s">
        <v>53</v>
      </c>
      <c r="AP67">
        <v>-23043</v>
      </c>
      <c r="AQ67">
        <v>0</v>
      </c>
      <c r="AR67" t="s">
        <v>54</v>
      </c>
      <c r="AS67" t="s">
        <v>55</v>
      </c>
      <c r="AT67" t="s">
        <v>55</v>
      </c>
      <c r="AU67" t="s">
        <v>56</v>
      </c>
      <c r="AV67">
        <v>2048</v>
      </c>
      <c r="AW67" t="s">
        <v>57</v>
      </c>
      <c r="AX67" t="s">
        <v>55</v>
      </c>
      <c r="AY67" t="s">
        <v>92</v>
      </c>
      <c r="AZ67" t="s">
        <v>59</v>
      </c>
      <c r="BA67" t="s">
        <v>55</v>
      </c>
      <c r="BB67" t="s">
        <v>49</v>
      </c>
      <c r="BC67" t="s">
        <v>49</v>
      </c>
      <c r="BD67" t="s">
        <v>49</v>
      </c>
      <c r="BE67" t="s">
        <v>55</v>
      </c>
      <c r="BF67">
        <v>9</v>
      </c>
      <c r="BG67" t="s">
        <v>60</v>
      </c>
      <c r="BH67" t="s">
        <v>61</v>
      </c>
      <c r="BI67" t="s">
        <v>62</v>
      </c>
      <c r="BJ67" t="s">
        <v>63</v>
      </c>
      <c r="BK67">
        <v>1999</v>
      </c>
      <c r="BT67">
        <f t="shared" si="0"/>
        <v>0</v>
      </c>
    </row>
    <row r="68" spans="1:72" x14ac:dyDescent="0.2">
      <c r="A68" s="19" t="s">
        <v>136</v>
      </c>
      <c r="B68" s="1">
        <v>3418</v>
      </c>
      <c r="C68">
        <v>0</v>
      </c>
      <c r="D68" t="s">
        <v>68</v>
      </c>
      <c r="E68" s="2" t="s">
        <v>49</v>
      </c>
      <c r="F68" t="s">
        <v>49</v>
      </c>
      <c r="G68">
        <v>3418</v>
      </c>
      <c r="H68" s="2">
        <v>952</v>
      </c>
      <c r="I68" s="3">
        <v>952</v>
      </c>
      <c r="J68" s="4">
        <f>952-42</f>
        <v>910</v>
      </c>
      <c r="K68" s="4">
        <v>55</v>
      </c>
      <c r="L68" s="9">
        <v>393</v>
      </c>
      <c r="M68" s="10">
        <v>369</v>
      </c>
      <c r="N68" s="6">
        <v>1598</v>
      </c>
      <c r="Q68" s="4" t="s">
        <v>51</v>
      </c>
      <c r="R68" s="4" t="s">
        <v>51</v>
      </c>
      <c r="S68" s="9" t="s">
        <v>80</v>
      </c>
      <c r="T68" s="10" t="s">
        <v>87</v>
      </c>
      <c r="U68" s="6" t="s">
        <v>74</v>
      </c>
      <c r="W68">
        <v>6</v>
      </c>
      <c r="X68">
        <v>12</v>
      </c>
      <c r="Y68" s="4">
        <f>J68+K68</f>
        <v>965</v>
      </c>
      <c r="Z68" s="4">
        <v>1</v>
      </c>
      <c r="AC68" s="6">
        <f>N68</f>
        <v>1598</v>
      </c>
      <c r="AD68" s="6">
        <v>0</v>
      </c>
      <c r="AG68" s="9">
        <f>L68</f>
        <v>393</v>
      </c>
      <c r="AH68" s="9">
        <v>1</v>
      </c>
      <c r="AK68" s="10">
        <f>M68</f>
        <v>369</v>
      </c>
      <c r="AL68" s="10">
        <v>1</v>
      </c>
      <c r="AM68">
        <v>64</v>
      </c>
      <c r="AN68" t="s">
        <v>101</v>
      </c>
      <c r="AO68" t="s">
        <v>53</v>
      </c>
      <c r="AP68">
        <v>-23410</v>
      </c>
      <c r="AQ68">
        <v>0</v>
      </c>
      <c r="AR68" t="s">
        <v>54</v>
      </c>
      <c r="AS68" t="s">
        <v>55</v>
      </c>
      <c r="AT68" t="s">
        <v>55</v>
      </c>
      <c r="AU68" t="s">
        <v>56</v>
      </c>
      <c r="AV68">
        <v>2049</v>
      </c>
      <c r="AW68" t="s">
        <v>57</v>
      </c>
      <c r="AX68" t="s">
        <v>55</v>
      </c>
      <c r="AY68" t="s">
        <v>58</v>
      </c>
      <c r="AZ68" t="s">
        <v>59</v>
      </c>
      <c r="BA68" t="s">
        <v>55</v>
      </c>
      <c r="BB68" t="s">
        <v>49</v>
      </c>
      <c r="BC68" t="s">
        <v>49</v>
      </c>
      <c r="BD68" t="s">
        <v>49</v>
      </c>
      <c r="BE68" t="s">
        <v>55</v>
      </c>
      <c r="BF68">
        <v>9</v>
      </c>
      <c r="BG68" t="s">
        <v>60</v>
      </c>
      <c r="BH68" t="s">
        <v>82</v>
      </c>
      <c r="BI68" t="s">
        <v>62</v>
      </c>
      <c r="BJ68" t="s">
        <v>63</v>
      </c>
      <c r="BK68">
        <v>1999</v>
      </c>
      <c r="BL68">
        <v>1</v>
      </c>
      <c r="BM68">
        <v>1</v>
      </c>
      <c r="BN68">
        <v>1</v>
      </c>
      <c r="BO68">
        <v>1</v>
      </c>
      <c r="BP68">
        <v>0</v>
      </c>
      <c r="BR68">
        <f>I68-BS68</f>
        <v>781</v>
      </c>
      <c r="BS68">
        <v>171</v>
      </c>
      <c r="BT68">
        <f t="shared" si="0"/>
        <v>5</v>
      </c>
    </row>
    <row r="69" spans="1:72" x14ac:dyDescent="0.2">
      <c r="A69" s="19" t="s">
        <v>563</v>
      </c>
      <c r="B69" s="1">
        <v>2163</v>
      </c>
      <c r="C69">
        <v>0</v>
      </c>
      <c r="D69" s="8" t="s">
        <v>68</v>
      </c>
      <c r="E69" s="12" t="s">
        <v>49</v>
      </c>
      <c r="F69" s="8" t="s">
        <v>49</v>
      </c>
      <c r="G69" s="8">
        <v>2163</v>
      </c>
      <c r="H69" s="12" t="s">
        <v>49</v>
      </c>
      <c r="I69" s="3" t="s">
        <v>69</v>
      </c>
      <c r="J69" s="4">
        <v>2158</v>
      </c>
      <c r="K69" s="8"/>
      <c r="L69" s="8"/>
      <c r="M69" s="8"/>
      <c r="N69" s="8"/>
      <c r="O69" s="8"/>
      <c r="P69" s="8"/>
      <c r="Q69" s="4" t="s">
        <v>51</v>
      </c>
      <c r="R69" s="8"/>
      <c r="S69" s="8"/>
      <c r="T69" s="8"/>
      <c r="U69" s="8"/>
      <c r="V69" s="8"/>
      <c r="W69" s="8">
        <v>6</v>
      </c>
      <c r="X69" s="8">
        <v>12</v>
      </c>
      <c r="Y69" s="4">
        <f>J69</f>
        <v>2158</v>
      </c>
      <c r="Z69" s="4">
        <v>0</v>
      </c>
      <c r="AA69" s="8"/>
      <c r="AB69" s="8"/>
      <c r="AC69" s="8"/>
      <c r="AD69" s="8"/>
      <c r="AE69" s="8"/>
      <c r="AF69" s="8"/>
      <c r="AG69" s="8"/>
      <c r="AH69" s="8"/>
      <c r="AI69" s="8"/>
      <c r="AJ69" s="8"/>
      <c r="AK69" s="8"/>
      <c r="AL69" s="8"/>
      <c r="AM69" s="8">
        <v>65</v>
      </c>
      <c r="AN69" s="8" t="s">
        <v>52</v>
      </c>
      <c r="AO69" s="8" t="s">
        <v>53</v>
      </c>
      <c r="AP69" s="8">
        <v>-23987</v>
      </c>
      <c r="AQ69" s="8">
        <v>0</v>
      </c>
      <c r="AR69" s="8" t="s">
        <v>54</v>
      </c>
      <c r="AS69" s="8" t="s">
        <v>55</v>
      </c>
      <c r="AT69" s="8" t="s">
        <v>55</v>
      </c>
      <c r="AU69" s="8" t="s">
        <v>56</v>
      </c>
      <c r="AV69" s="8">
        <v>2050</v>
      </c>
      <c r="AW69" s="8" t="s">
        <v>70</v>
      </c>
      <c r="AX69" s="8" t="s">
        <v>55</v>
      </c>
      <c r="AY69" s="8" t="s">
        <v>58</v>
      </c>
      <c r="AZ69" s="8" t="s">
        <v>59</v>
      </c>
      <c r="BA69" s="8" t="s">
        <v>55</v>
      </c>
      <c r="BB69" s="8" t="s">
        <v>49</v>
      </c>
      <c r="BC69" s="8" t="s">
        <v>49</v>
      </c>
      <c r="BD69" s="8" t="s">
        <v>49</v>
      </c>
      <c r="BE69" s="8" t="s">
        <v>55</v>
      </c>
      <c r="BF69" s="8">
        <v>9</v>
      </c>
      <c r="BG69" s="8" t="s">
        <v>511</v>
      </c>
      <c r="BH69" s="8" t="s">
        <v>71</v>
      </c>
      <c r="BI69" s="8" t="s">
        <v>564</v>
      </c>
      <c r="BJ69" s="8" t="s">
        <v>63</v>
      </c>
      <c r="BK69" s="8">
        <v>2003</v>
      </c>
      <c r="BL69">
        <v>0</v>
      </c>
      <c r="BR69">
        <f>B69-BS69</f>
        <v>2054</v>
      </c>
      <c r="BS69">
        <v>109</v>
      </c>
      <c r="BT69">
        <f t="shared" si="0"/>
        <v>1</v>
      </c>
    </row>
    <row r="70" spans="1:72" x14ac:dyDescent="0.2">
      <c r="A70" s="19" t="s">
        <v>137</v>
      </c>
      <c r="B70" s="1">
        <v>1919</v>
      </c>
      <c r="C70">
        <v>0</v>
      </c>
      <c r="D70" t="s">
        <v>68</v>
      </c>
      <c r="E70" s="2" t="s">
        <v>49</v>
      </c>
      <c r="F70" t="s">
        <v>49</v>
      </c>
      <c r="G70">
        <v>1919</v>
      </c>
      <c r="H70" s="2">
        <v>583</v>
      </c>
      <c r="I70" s="3">
        <v>583</v>
      </c>
      <c r="J70" s="4">
        <f>583-8</f>
        <v>575</v>
      </c>
      <c r="K70" s="4">
        <v>673</v>
      </c>
      <c r="L70" s="10">
        <v>325</v>
      </c>
      <c r="Q70" s="4" t="s">
        <v>51</v>
      </c>
      <c r="R70" s="4" t="s">
        <v>51</v>
      </c>
      <c r="S70" s="10" t="s">
        <v>87</v>
      </c>
      <c r="W70" s="8">
        <v>8</v>
      </c>
      <c r="X70" s="8">
        <v>16</v>
      </c>
      <c r="Y70" s="4">
        <f>J70+K70</f>
        <v>1248</v>
      </c>
      <c r="Z70" s="4">
        <v>1</v>
      </c>
      <c r="AK70" s="10">
        <f>L70</f>
        <v>325</v>
      </c>
      <c r="AL70" s="10">
        <v>0</v>
      </c>
      <c r="AM70">
        <v>42</v>
      </c>
      <c r="AN70" t="s">
        <v>52</v>
      </c>
      <c r="AO70" t="s">
        <v>53</v>
      </c>
      <c r="AP70">
        <v>-15650</v>
      </c>
      <c r="AQ70">
        <v>0</v>
      </c>
      <c r="AR70" t="s">
        <v>54</v>
      </c>
      <c r="AS70" t="s">
        <v>55</v>
      </c>
      <c r="AT70" t="s">
        <v>55</v>
      </c>
      <c r="AU70" t="s">
        <v>56</v>
      </c>
      <c r="AV70">
        <v>2051</v>
      </c>
      <c r="AW70" t="s">
        <v>70</v>
      </c>
      <c r="AX70" t="s">
        <v>55</v>
      </c>
      <c r="AY70" t="s">
        <v>58</v>
      </c>
      <c r="AZ70" t="s">
        <v>59</v>
      </c>
      <c r="BA70" t="s">
        <v>55</v>
      </c>
      <c r="BB70" t="s">
        <v>49</v>
      </c>
      <c r="BC70" t="s">
        <v>49</v>
      </c>
      <c r="BD70" t="s">
        <v>66</v>
      </c>
      <c r="BE70" t="s">
        <v>55</v>
      </c>
      <c r="BF70">
        <v>9</v>
      </c>
      <c r="BG70" t="s">
        <v>60</v>
      </c>
      <c r="BH70" t="s">
        <v>71</v>
      </c>
      <c r="BI70" t="s">
        <v>62</v>
      </c>
      <c r="BJ70" t="s">
        <v>63</v>
      </c>
      <c r="BK70">
        <v>2004</v>
      </c>
      <c r="BL70">
        <v>1</v>
      </c>
      <c r="BM70">
        <v>1</v>
      </c>
      <c r="BN70">
        <v>0</v>
      </c>
      <c r="BR70">
        <f>I70-BS70</f>
        <v>428</v>
      </c>
      <c r="BS70">
        <v>155</v>
      </c>
      <c r="BT70">
        <f t="shared" si="0"/>
        <v>3</v>
      </c>
    </row>
    <row r="71" spans="1:72" x14ac:dyDescent="0.2">
      <c r="A71" s="19" t="s">
        <v>138</v>
      </c>
      <c r="B71" s="1">
        <v>1209</v>
      </c>
      <c r="C71">
        <v>0</v>
      </c>
      <c r="D71" t="s">
        <v>68</v>
      </c>
      <c r="E71" s="2" t="s">
        <v>49</v>
      </c>
      <c r="F71" t="s">
        <v>49</v>
      </c>
      <c r="G71">
        <v>1209</v>
      </c>
      <c r="H71" s="2" t="s">
        <v>49</v>
      </c>
      <c r="I71" s="3" t="s">
        <v>69</v>
      </c>
      <c r="J71" s="4">
        <f>1209-34</f>
        <v>1175</v>
      </c>
      <c r="Q71" s="4" t="s">
        <v>51</v>
      </c>
      <c r="W71" s="8">
        <v>6</v>
      </c>
      <c r="X71" s="8">
        <v>12</v>
      </c>
      <c r="Y71" s="4">
        <f t="shared" ref="Y71:Y77" si="4">J71</f>
        <v>1175</v>
      </c>
      <c r="Z71" s="4">
        <v>0</v>
      </c>
      <c r="AM71">
        <v>72</v>
      </c>
      <c r="AN71" t="s">
        <v>101</v>
      </c>
      <c r="AO71" t="s">
        <v>53</v>
      </c>
      <c r="AP71">
        <v>-26433</v>
      </c>
      <c r="AQ71">
        <v>0</v>
      </c>
      <c r="AR71" t="s">
        <v>54</v>
      </c>
      <c r="AS71" t="s">
        <v>55</v>
      </c>
      <c r="AT71" t="s">
        <v>55</v>
      </c>
      <c r="AU71" t="s">
        <v>56</v>
      </c>
      <c r="AV71">
        <v>2053</v>
      </c>
      <c r="AW71" t="s">
        <v>70</v>
      </c>
      <c r="AX71" t="s">
        <v>55</v>
      </c>
      <c r="AY71" t="s">
        <v>58</v>
      </c>
      <c r="AZ71" t="s">
        <v>59</v>
      </c>
      <c r="BA71" t="s">
        <v>55</v>
      </c>
      <c r="BB71" t="s">
        <v>49</v>
      </c>
      <c r="BC71" t="s">
        <v>49</v>
      </c>
      <c r="BD71" t="s">
        <v>49</v>
      </c>
      <c r="BE71" t="s">
        <v>55</v>
      </c>
      <c r="BF71">
        <v>9</v>
      </c>
      <c r="BG71" t="s">
        <v>60</v>
      </c>
      <c r="BH71" t="s">
        <v>71</v>
      </c>
      <c r="BI71" t="s">
        <v>62</v>
      </c>
      <c r="BJ71" t="s">
        <v>63</v>
      </c>
      <c r="BK71">
        <v>2005</v>
      </c>
      <c r="BL71">
        <v>0</v>
      </c>
      <c r="BR71">
        <f>B71-BS71</f>
        <v>1071</v>
      </c>
      <c r="BS71">
        <v>138</v>
      </c>
      <c r="BT71">
        <f t="shared" si="0"/>
        <v>1</v>
      </c>
    </row>
    <row r="72" spans="1:72" x14ac:dyDescent="0.2">
      <c r="A72" s="19" t="s">
        <v>139</v>
      </c>
      <c r="B72" s="1">
        <v>636</v>
      </c>
      <c r="C72">
        <v>1</v>
      </c>
      <c r="D72" t="s">
        <v>48</v>
      </c>
      <c r="E72" s="2" t="s">
        <v>49</v>
      </c>
      <c r="F72">
        <v>636</v>
      </c>
      <c r="G72">
        <v>636</v>
      </c>
      <c r="H72" s="2" t="s">
        <v>49</v>
      </c>
      <c r="I72" s="3">
        <v>206</v>
      </c>
      <c r="J72" s="4">
        <f>206-37</f>
        <v>169</v>
      </c>
      <c r="K72" s="5">
        <v>92</v>
      </c>
      <c r="L72" s="9">
        <v>93</v>
      </c>
      <c r="M72" s="7">
        <v>208</v>
      </c>
      <c r="Q72" s="4" t="s">
        <v>51</v>
      </c>
      <c r="R72" s="5" t="s">
        <v>65</v>
      </c>
      <c r="S72" s="9" t="s">
        <v>80</v>
      </c>
      <c r="T72" s="7" t="s">
        <v>75</v>
      </c>
      <c r="W72" s="8">
        <v>6</v>
      </c>
      <c r="X72" s="8">
        <v>12</v>
      </c>
      <c r="Y72" s="4">
        <f t="shared" si="4"/>
        <v>169</v>
      </c>
      <c r="Z72" s="4">
        <v>1</v>
      </c>
      <c r="AE72" s="5">
        <f>K72</f>
        <v>92</v>
      </c>
      <c r="AF72" s="5">
        <v>1</v>
      </c>
      <c r="AG72" s="9">
        <f>L72</f>
        <v>93</v>
      </c>
      <c r="AH72" s="9">
        <v>1</v>
      </c>
      <c r="AI72" s="7">
        <f>M72</f>
        <v>208</v>
      </c>
      <c r="AJ72" s="7">
        <v>1</v>
      </c>
      <c r="AK72" s="8"/>
      <c r="AL72" s="8"/>
      <c r="AM72">
        <v>58</v>
      </c>
      <c r="AN72" t="s">
        <v>52</v>
      </c>
      <c r="AO72" t="s">
        <v>53</v>
      </c>
      <c r="AP72">
        <v>-21285</v>
      </c>
      <c r="AQ72">
        <v>0</v>
      </c>
      <c r="AR72" t="s">
        <v>54</v>
      </c>
      <c r="AS72" t="s">
        <v>55</v>
      </c>
      <c r="AT72" t="s">
        <v>55</v>
      </c>
      <c r="AU72" t="s">
        <v>56</v>
      </c>
      <c r="AV72">
        <v>2054</v>
      </c>
      <c r="AW72" t="s">
        <v>57</v>
      </c>
      <c r="AX72" t="s">
        <v>55</v>
      </c>
      <c r="AY72" t="s">
        <v>81</v>
      </c>
      <c r="AZ72" t="s">
        <v>111</v>
      </c>
      <c r="BA72" t="s">
        <v>55</v>
      </c>
      <c r="BB72" t="s">
        <v>49</v>
      </c>
      <c r="BC72" t="s">
        <v>49</v>
      </c>
      <c r="BD72" t="s">
        <v>49</v>
      </c>
      <c r="BE72" t="s">
        <v>55</v>
      </c>
      <c r="BF72">
        <v>9</v>
      </c>
      <c r="BG72" t="s">
        <v>60</v>
      </c>
      <c r="BH72" t="s">
        <v>61</v>
      </c>
      <c r="BI72" t="s">
        <v>62</v>
      </c>
      <c r="BJ72" t="s">
        <v>63</v>
      </c>
      <c r="BK72">
        <v>2005</v>
      </c>
      <c r="BL72">
        <v>1</v>
      </c>
      <c r="BM72">
        <v>1</v>
      </c>
      <c r="BN72">
        <v>1</v>
      </c>
      <c r="BO72">
        <v>1</v>
      </c>
      <c r="BR72">
        <f>I72-BS72</f>
        <v>46</v>
      </c>
      <c r="BS72">
        <v>160</v>
      </c>
      <c r="BT72">
        <f t="shared" si="0"/>
        <v>4</v>
      </c>
    </row>
    <row r="73" spans="1:72" x14ac:dyDescent="0.2">
      <c r="A73" s="19" t="s">
        <v>565</v>
      </c>
      <c r="B73" s="1">
        <v>819</v>
      </c>
      <c r="C73">
        <v>0</v>
      </c>
      <c r="D73" s="8" t="s">
        <v>68</v>
      </c>
      <c r="E73" s="12" t="s">
        <v>49</v>
      </c>
      <c r="F73" s="8" t="s">
        <v>49</v>
      </c>
      <c r="G73" s="8">
        <v>819</v>
      </c>
      <c r="H73" s="12" t="s">
        <v>49</v>
      </c>
      <c r="I73" s="3" t="s">
        <v>69</v>
      </c>
      <c r="J73" s="4">
        <v>819</v>
      </c>
      <c r="K73" s="8"/>
      <c r="L73" s="8"/>
      <c r="M73" s="8"/>
      <c r="N73" s="8"/>
      <c r="O73" s="8"/>
      <c r="P73" s="8"/>
      <c r="Q73" s="4" t="s">
        <v>51</v>
      </c>
      <c r="R73" s="8"/>
      <c r="S73" s="8"/>
      <c r="T73" s="8"/>
      <c r="U73" s="8"/>
      <c r="V73" s="8"/>
      <c r="W73" s="8">
        <v>6</v>
      </c>
      <c r="X73" s="8">
        <v>12</v>
      </c>
      <c r="Y73" s="4">
        <f t="shared" si="4"/>
        <v>819</v>
      </c>
      <c r="Z73" s="4">
        <v>0</v>
      </c>
      <c r="AA73" s="8"/>
      <c r="AB73" s="8"/>
      <c r="AC73" s="8"/>
      <c r="AD73" s="8"/>
      <c r="AE73" s="8"/>
      <c r="AF73" s="8"/>
      <c r="AG73" s="8"/>
      <c r="AH73" s="8"/>
      <c r="AI73" s="8"/>
      <c r="AJ73" s="8"/>
      <c r="AK73" s="8"/>
      <c r="AL73" s="8"/>
      <c r="AM73" s="8">
        <v>48</v>
      </c>
      <c r="AN73" s="8" t="s">
        <v>101</v>
      </c>
      <c r="AO73" s="8" t="s">
        <v>53</v>
      </c>
      <c r="AP73" s="8">
        <v>-17545</v>
      </c>
      <c r="AQ73" s="8">
        <v>0</v>
      </c>
      <c r="AR73" s="8" t="s">
        <v>54</v>
      </c>
      <c r="AS73" s="8" t="s">
        <v>55</v>
      </c>
      <c r="AT73" s="8" t="s">
        <v>55</v>
      </c>
      <c r="AU73" s="8" t="s">
        <v>56</v>
      </c>
      <c r="AV73" s="8">
        <v>2055</v>
      </c>
      <c r="AW73" s="8" t="s">
        <v>70</v>
      </c>
      <c r="AX73" s="8" t="s">
        <v>55</v>
      </c>
      <c r="AY73" s="8" t="s">
        <v>58</v>
      </c>
      <c r="AZ73" s="8" t="s">
        <v>59</v>
      </c>
      <c r="BA73" s="8" t="s">
        <v>55</v>
      </c>
      <c r="BB73" s="8" t="s">
        <v>49</v>
      </c>
      <c r="BC73" s="8" t="s">
        <v>49</v>
      </c>
      <c r="BD73" s="8" t="s">
        <v>49</v>
      </c>
      <c r="BE73" s="8" t="s">
        <v>55</v>
      </c>
      <c r="BF73" s="8">
        <v>9</v>
      </c>
      <c r="BG73" s="8" t="s">
        <v>60</v>
      </c>
      <c r="BH73" s="8" t="s">
        <v>71</v>
      </c>
      <c r="BI73" s="8" t="s">
        <v>556</v>
      </c>
      <c r="BJ73" s="8" t="s">
        <v>63</v>
      </c>
      <c r="BK73" s="8">
        <v>2007</v>
      </c>
      <c r="BL73">
        <v>0</v>
      </c>
      <c r="BR73">
        <f>B73-BS73</f>
        <v>635</v>
      </c>
      <c r="BS73">
        <v>184</v>
      </c>
      <c r="BT73">
        <f t="shared" si="0"/>
        <v>1</v>
      </c>
    </row>
    <row r="74" spans="1:72" x14ac:dyDescent="0.2">
      <c r="A74" s="19" t="s">
        <v>140</v>
      </c>
      <c r="B74" s="1">
        <v>348</v>
      </c>
      <c r="C74">
        <v>0</v>
      </c>
      <c r="D74" t="s">
        <v>68</v>
      </c>
      <c r="E74" s="2" t="s">
        <v>49</v>
      </c>
      <c r="F74" t="s">
        <v>49</v>
      </c>
      <c r="G74">
        <v>379</v>
      </c>
      <c r="H74" s="2" t="s">
        <v>49</v>
      </c>
      <c r="I74" s="3" t="s">
        <v>69</v>
      </c>
      <c r="J74" s="4">
        <f>379-31</f>
        <v>348</v>
      </c>
      <c r="Q74" s="4" t="s">
        <v>51</v>
      </c>
      <c r="W74" s="8">
        <v>6</v>
      </c>
      <c r="X74" s="8">
        <v>12</v>
      </c>
      <c r="Y74" s="4">
        <f t="shared" si="4"/>
        <v>348</v>
      </c>
      <c r="Z74" s="4">
        <v>0</v>
      </c>
      <c r="AM74">
        <v>62</v>
      </c>
      <c r="AN74" t="s">
        <v>52</v>
      </c>
      <c r="AO74" t="s">
        <v>53</v>
      </c>
      <c r="AP74">
        <v>-22863</v>
      </c>
      <c r="AQ74">
        <v>0</v>
      </c>
      <c r="AR74" t="s">
        <v>54</v>
      </c>
      <c r="AS74" t="s">
        <v>55</v>
      </c>
      <c r="AT74" t="s">
        <v>55</v>
      </c>
      <c r="AU74" t="s">
        <v>56</v>
      </c>
      <c r="AV74">
        <v>2056</v>
      </c>
      <c r="AW74" t="s">
        <v>70</v>
      </c>
      <c r="AX74" t="s">
        <v>55</v>
      </c>
      <c r="AY74" t="s">
        <v>58</v>
      </c>
      <c r="AZ74" t="s">
        <v>59</v>
      </c>
      <c r="BA74" t="s">
        <v>55</v>
      </c>
      <c r="BB74" t="s">
        <v>49</v>
      </c>
      <c r="BC74" t="s">
        <v>49</v>
      </c>
      <c r="BD74" t="s">
        <v>49</v>
      </c>
      <c r="BE74" t="s">
        <v>55</v>
      </c>
      <c r="BF74">
        <v>9</v>
      </c>
      <c r="BG74" t="s">
        <v>60</v>
      </c>
      <c r="BH74" t="s">
        <v>71</v>
      </c>
      <c r="BI74" t="s">
        <v>62</v>
      </c>
      <c r="BJ74" t="s">
        <v>63</v>
      </c>
      <c r="BK74">
        <v>2008</v>
      </c>
      <c r="BL74">
        <v>0</v>
      </c>
      <c r="BR74">
        <f>B74-BS74</f>
        <v>195</v>
      </c>
      <c r="BS74">
        <v>153</v>
      </c>
      <c r="BT74">
        <f t="shared" si="0"/>
        <v>1</v>
      </c>
    </row>
    <row r="75" spans="1:72" x14ac:dyDescent="0.2">
      <c r="A75" s="19" t="s">
        <v>566</v>
      </c>
      <c r="B75" s="1">
        <v>1652</v>
      </c>
      <c r="C75">
        <v>1</v>
      </c>
      <c r="D75" s="8" t="s">
        <v>48</v>
      </c>
      <c r="E75" s="12" t="s">
        <v>49</v>
      </c>
      <c r="F75" s="8">
        <v>1652</v>
      </c>
      <c r="G75" s="8">
        <v>1652</v>
      </c>
      <c r="H75" s="12">
        <v>558</v>
      </c>
      <c r="I75" s="3">
        <v>558</v>
      </c>
      <c r="J75" s="4">
        <f>558-20</f>
        <v>538</v>
      </c>
      <c r="K75" s="11">
        <v>715</v>
      </c>
      <c r="L75" s="11">
        <v>146</v>
      </c>
      <c r="M75" s="6">
        <v>63</v>
      </c>
      <c r="N75" s="5">
        <v>135</v>
      </c>
      <c r="O75" s="8"/>
      <c r="P75" s="8"/>
      <c r="Q75" s="4" t="s">
        <v>51</v>
      </c>
      <c r="R75" s="11" t="s">
        <v>90</v>
      </c>
      <c r="S75" s="11" t="s">
        <v>90</v>
      </c>
      <c r="T75" s="6" t="s">
        <v>74</v>
      </c>
      <c r="U75" s="5" t="s">
        <v>65</v>
      </c>
      <c r="V75" s="8"/>
      <c r="W75" s="8">
        <v>12</v>
      </c>
      <c r="X75" s="8">
        <v>18</v>
      </c>
      <c r="Y75" s="4">
        <f t="shared" si="4"/>
        <v>538</v>
      </c>
      <c r="Z75" s="4">
        <v>1</v>
      </c>
      <c r="AA75" s="11">
        <f>K75+L75</f>
        <v>861</v>
      </c>
      <c r="AB75" s="11">
        <v>1</v>
      </c>
      <c r="AC75" s="6">
        <f>M75</f>
        <v>63</v>
      </c>
      <c r="AD75" s="6">
        <v>1</v>
      </c>
      <c r="AE75" s="5">
        <f>N75</f>
        <v>135</v>
      </c>
      <c r="AF75" s="5">
        <v>1</v>
      </c>
      <c r="AG75" s="8"/>
      <c r="AH75" s="8"/>
      <c r="AI75" s="8"/>
      <c r="AJ75" s="8"/>
      <c r="AK75" s="8"/>
      <c r="AL75" s="8"/>
      <c r="AM75" s="8">
        <v>58</v>
      </c>
      <c r="AN75" s="8" t="s">
        <v>52</v>
      </c>
      <c r="AO75" s="8" t="s">
        <v>53</v>
      </c>
      <c r="AP75" s="8">
        <v>-21498</v>
      </c>
      <c r="AQ75" s="8">
        <v>0</v>
      </c>
      <c r="AR75" s="8" t="s">
        <v>54</v>
      </c>
      <c r="AS75" s="8" t="s">
        <v>53</v>
      </c>
      <c r="AT75" s="8" t="s">
        <v>55</v>
      </c>
      <c r="AU75" s="8" t="s">
        <v>56</v>
      </c>
      <c r="AV75" s="8">
        <v>925</v>
      </c>
      <c r="AW75" s="8" t="s">
        <v>57</v>
      </c>
      <c r="AX75" s="8" t="s">
        <v>55</v>
      </c>
      <c r="AY75" s="8" t="s">
        <v>114</v>
      </c>
      <c r="AZ75" s="8" t="s">
        <v>59</v>
      </c>
      <c r="BA75" s="8" t="s">
        <v>55</v>
      </c>
      <c r="BB75" s="8" t="s">
        <v>49</v>
      </c>
      <c r="BC75" s="8" t="s">
        <v>49</v>
      </c>
      <c r="BD75" s="8" t="s">
        <v>66</v>
      </c>
      <c r="BE75" s="8" t="s">
        <v>55</v>
      </c>
      <c r="BF75" s="8">
        <v>10</v>
      </c>
      <c r="BG75" s="8" t="s">
        <v>551</v>
      </c>
      <c r="BH75" s="8" t="s">
        <v>61</v>
      </c>
      <c r="BI75" s="8" t="s">
        <v>72</v>
      </c>
      <c r="BJ75" s="8" t="s">
        <v>63</v>
      </c>
      <c r="BK75" s="8">
        <v>2000</v>
      </c>
      <c r="BL75">
        <v>1</v>
      </c>
      <c r="BM75">
        <v>1</v>
      </c>
      <c r="BN75">
        <v>1</v>
      </c>
      <c r="BO75">
        <v>1</v>
      </c>
      <c r="BP75">
        <v>1</v>
      </c>
      <c r="BR75">
        <f>I75-BS75</f>
        <v>265</v>
      </c>
      <c r="BS75">
        <v>293</v>
      </c>
      <c r="BT75">
        <f t="shared" si="0"/>
        <v>5</v>
      </c>
    </row>
    <row r="76" spans="1:72" x14ac:dyDescent="0.2">
      <c r="A76" s="19" t="s">
        <v>141</v>
      </c>
      <c r="B76" s="1">
        <v>788</v>
      </c>
      <c r="C76">
        <v>1</v>
      </c>
      <c r="D76" t="s">
        <v>48</v>
      </c>
      <c r="E76" s="2" t="s">
        <v>49</v>
      </c>
      <c r="F76">
        <v>788</v>
      </c>
      <c r="G76">
        <v>788</v>
      </c>
      <c r="H76" s="2">
        <v>287</v>
      </c>
      <c r="I76" s="3">
        <v>287</v>
      </c>
      <c r="J76" s="4">
        <f>287-6</f>
        <v>281</v>
      </c>
      <c r="K76" s="5">
        <v>498</v>
      </c>
      <c r="Q76" s="4" t="s">
        <v>51</v>
      </c>
      <c r="R76" s="5" t="s">
        <v>65</v>
      </c>
      <c r="W76" s="8">
        <v>6</v>
      </c>
      <c r="X76" s="8">
        <v>12</v>
      </c>
      <c r="Y76" s="4">
        <f t="shared" si="4"/>
        <v>281</v>
      </c>
      <c r="Z76" s="4">
        <v>1</v>
      </c>
      <c r="AE76" s="5">
        <f>K76</f>
        <v>498</v>
      </c>
      <c r="AF76" s="5">
        <v>1</v>
      </c>
      <c r="AM76">
        <v>63</v>
      </c>
      <c r="AN76" t="s">
        <v>52</v>
      </c>
      <c r="AO76" t="s">
        <v>53</v>
      </c>
      <c r="AP76">
        <v>-23307</v>
      </c>
      <c r="AQ76">
        <v>0</v>
      </c>
      <c r="AR76" t="s">
        <v>54</v>
      </c>
      <c r="AS76" t="s">
        <v>55</v>
      </c>
      <c r="AT76" t="s">
        <v>55</v>
      </c>
      <c r="AU76" t="s">
        <v>56</v>
      </c>
      <c r="AV76">
        <v>926</v>
      </c>
      <c r="AW76" t="s">
        <v>57</v>
      </c>
      <c r="AX76" t="s">
        <v>55</v>
      </c>
      <c r="AY76" t="s">
        <v>58</v>
      </c>
      <c r="AZ76" t="s">
        <v>59</v>
      </c>
      <c r="BA76" t="s">
        <v>53</v>
      </c>
      <c r="BB76" t="s">
        <v>49</v>
      </c>
      <c r="BC76" t="s">
        <v>49</v>
      </c>
      <c r="BD76" t="s">
        <v>66</v>
      </c>
      <c r="BE76" t="s">
        <v>55</v>
      </c>
      <c r="BF76">
        <v>10</v>
      </c>
      <c r="BG76" t="s">
        <v>60</v>
      </c>
      <c r="BH76" t="s">
        <v>142</v>
      </c>
      <c r="BI76" t="s">
        <v>62</v>
      </c>
      <c r="BJ76" t="s">
        <v>63</v>
      </c>
      <c r="BK76">
        <v>2000</v>
      </c>
      <c r="BL76">
        <v>1</v>
      </c>
      <c r="BM76">
        <v>1</v>
      </c>
      <c r="BR76">
        <f>I76-BS76</f>
        <v>144</v>
      </c>
      <c r="BS76">
        <v>143</v>
      </c>
      <c r="BT76">
        <f t="shared" si="0"/>
        <v>2</v>
      </c>
    </row>
    <row r="77" spans="1:72" x14ac:dyDescent="0.2">
      <c r="A77" s="19" t="s">
        <v>567</v>
      </c>
      <c r="B77" s="1">
        <v>2490</v>
      </c>
      <c r="C77">
        <v>1</v>
      </c>
      <c r="D77" s="8" t="s">
        <v>48</v>
      </c>
      <c r="E77" s="12" t="s">
        <v>49</v>
      </c>
      <c r="F77" s="8">
        <v>2490</v>
      </c>
      <c r="G77" s="8">
        <v>2478</v>
      </c>
      <c r="H77" s="12">
        <v>1001</v>
      </c>
      <c r="I77" s="3">
        <v>1001</v>
      </c>
      <c r="J77" s="4">
        <f>1001-9</f>
        <v>992</v>
      </c>
      <c r="K77" s="11">
        <f>1601-1017</f>
        <v>584</v>
      </c>
      <c r="L77" s="6">
        <f>1938-1686</f>
        <v>252</v>
      </c>
      <c r="M77" s="5">
        <f>2330-1938</f>
        <v>392</v>
      </c>
      <c r="N77" s="7">
        <f>2490-2330</f>
        <v>160</v>
      </c>
      <c r="O77" s="8"/>
      <c r="P77" s="8" t="s">
        <v>775</v>
      </c>
      <c r="Q77" s="4" t="s">
        <v>51</v>
      </c>
      <c r="R77" s="11" t="s">
        <v>90</v>
      </c>
      <c r="S77" s="6" t="s">
        <v>74</v>
      </c>
      <c r="T77" s="5" t="s">
        <v>65</v>
      </c>
      <c r="U77" s="7" t="s">
        <v>75</v>
      </c>
      <c r="V77" s="8"/>
      <c r="W77" s="8">
        <v>6</v>
      </c>
      <c r="X77" s="8">
        <v>12</v>
      </c>
      <c r="Y77" s="4">
        <f t="shared" si="4"/>
        <v>992</v>
      </c>
      <c r="Z77" s="4">
        <v>1</v>
      </c>
      <c r="AA77" s="11">
        <f>K77</f>
        <v>584</v>
      </c>
      <c r="AB77" s="11">
        <v>1</v>
      </c>
      <c r="AC77" s="6">
        <f>L77</f>
        <v>252</v>
      </c>
      <c r="AD77" s="6">
        <v>1</v>
      </c>
      <c r="AE77" s="5">
        <f>M77</f>
        <v>392</v>
      </c>
      <c r="AF77" s="5">
        <v>1</v>
      </c>
      <c r="AG77" s="8"/>
      <c r="AH77" s="8"/>
      <c r="AI77" s="7">
        <f>N77</f>
        <v>160</v>
      </c>
      <c r="AJ77" s="7">
        <v>1</v>
      </c>
      <c r="AK77" s="8"/>
      <c r="AL77" s="8"/>
      <c r="AM77" s="8">
        <v>65</v>
      </c>
      <c r="AN77" s="8" t="s">
        <v>52</v>
      </c>
      <c r="AO77" s="8" t="s">
        <v>53</v>
      </c>
      <c r="AP77" s="8">
        <v>-23981</v>
      </c>
      <c r="AQ77" s="8">
        <v>0</v>
      </c>
      <c r="AR77" s="8" t="s">
        <v>54</v>
      </c>
      <c r="AS77" s="8" t="s">
        <v>53</v>
      </c>
      <c r="AT77" s="8" t="s">
        <v>55</v>
      </c>
      <c r="AU77" s="8" t="s">
        <v>56</v>
      </c>
      <c r="AV77" s="8">
        <v>927</v>
      </c>
      <c r="AW77" s="8" t="s">
        <v>57</v>
      </c>
      <c r="AX77" s="8" t="s">
        <v>55</v>
      </c>
      <c r="AY77" s="8" t="s">
        <v>58</v>
      </c>
      <c r="AZ77" s="8" t="s">
        <v>49</v>
      </c>
      <c r="BA77" s="8" t="s">
        <v>55</v>
      </c>
      <c r="BB77" s="8" t="s">
        <v>49</v>
      </c>
      <c r="BC77" s="8" t="s">
        <v>49</v>
      </c>
      <c r="BD77" s="8" t="s">
        <v>66</v>
      </c>
      <c r="BE77" s="8" t="s">
        <v>55</v>
      </c>
      <c r="BF77" s="8">
        <v>10</v>
      </c>
      <c r="BG77" s="8" t="s">
        <v>511</v>
      </c>
      <c r="BH77" s="8" t="s">
        <v>61</v>
      </c>
      <c r="BI77" s="8" t="s">
        <v>62</v>
      </c>
      <c r="BJ77" s="8" t="s">
        <v>63</v>
      </c>
      <c r="BK77" s="8">
        <v>2000</v>
      </c>
      <c r="BL77">
        <v>1</v>
      </c>
      <c r="BM77">
        <v>1</v>
      </c>
      <c r="BN77">
        <v>1</v>
      </c>
      <c r="BO77">
        <v>1</v>
      </c>
      <c r="BP77">
        <v>1</v>
      </c>
      <c r="BR77">
        <f>I77-BS77</f>
        <v>880</v>
      </c>
      <c r="BS77">
        <v>121</v>
      </c>
      <c r="BT77">
        <f t="shared" si="0"/>
        <v>5</v>
      </c>
    </row>
    <row r="78" spans="1:72" x14ac:dyDescent="0.2">
      <c r="A78" s="19" t="s">
        <v>143</v>
      </c>
      <c r="B78" s="1">
        <v>562</v>
      </c>
      <c r="C78">
        <v>1</v>
      </c>
      <c r="D78" t="s">
        <v>48</v>
      </c>
      <c r="E78" s="2" t="s">
        <v>49</v>
      </c>
      <c r="F78">
        <v>562</v>
      </c>
      <c r="G78">
        <v>562</v>
      </c>
      <c r="H78" s="2" t="s">
        <v>49</v>
      </c>
      <c r="I78" s="3">
        <v>562</v>
      </c>
      <c r="P78" t="s">
        <v>755</v>
      </c>
      <c r="Q78" t="s">
        <v>50</v>
      </c>
      <c r="AM78">
        <v>71</v>
      </c>
      <c r="AN78" t="s">
        <v>52</v>
      </c>
      <c r="AO78" t="s">
        <v>53</v>
      </c>
      <c r="AP78">
        <v>-26066</v>
      </c>
      <c r="AQ78">
        <v>0</v>
      </c>
      <c r="AR78" t="s">
        <v>54</v>
      </c>
      <c r="AS78" t="s">
        <v>55</v>
      </c>
      <c r="AT78" t="s">
        <v>55</v>
      </c>
      <c r="AU78" t="s">
        <v>56</v>
      </c>
      <c r="AV78">
        <v>928</v>
      </c>
      <c r="AW78" t="s">
        <v>57</v>
      </c>
      <c r="AX78" t="s">
        <v>55</v>
      </c>
      <c r="AY78" t="s">
        <v>49</v>
      </c>
      <c r="AZ78" t="s">
        <v>59</v>
      </c>
      <c r="BA78" t="s">
        <v>55</v>
      </c>
      <c r="BB78" t="s">
        <v>49</v>
      </c>
      <c r="BC78" t="s">
        <v>49</v>
      </c>
      <c r="BD78" t="s">
        <v>49</v>
      </c>
      <c r="BE78" t="s">
        <v>55</v>
      </c>
      <c r="BF78">
        <v>10</v>
      </c>
      <c r="BG78" t="s">
        <v>60</v>
      </c>
      <c r="BH78" t="s">
        <v>61</v>
      </c>
      <c r="BI78" t="s">
        <v>62</v>
      </c>
      <c r="BJ78" t="s">
        <v>63</v>
      </c>
      <c r="BK78">
        <v>2000</v>
      </c>
      <c r="BT78">
        <f t="shared" ref="BT78:BT141" si="5">COUNT(BL78:BQ78)</f>
        <v>0</v>
      </c>
    </row>
    <row r="79" spans="1:72" x14ac:dyDescent="0.2">
      <c r="A79" s="19" t="s">
        <v>144</v>
      </c>
      <c r="B79" s="1">
        <v>1040</v>
      </c>
      <c r="C79">
        <v>1</v>
      </c>
      <c r="D79" t="s">
        <v>48</v>
      </c>
      <c r="E79" s="2" t="s">
        <v>49</v>
      </c>
      <c r="F79">
        <v>1040</v>
      </c>
      <c r="G79">
        <v>1011</v>
      </c>
      <c r="H79" s="2">
        <v>680</v>
      </c>
      <c r="I79" s="3">
        <v>680</v>
      </c>
      <c r="J79" s="4">
        <f>680-8</f>
        <v>672</v>
      </c>
      <c r="K79" s="4">
        <v>88</v>
      </c>
      <c r="L79" s="5">
        <v>258</v>
      </c>
      <c r="Q79" s="4" t="s">
        <v>51</v>
      </c>
      <c r="R79" s="4" t="s">
        <v>51</v>
      </c>
      <c r="S79" s="5" t="s">
        <v>65</v>
      </c>
      <c r="W79">
        <v>6</v>
      </c>
      <c r="X79">
        <v>12</v>
      </c>
      <c r="Y79" s="4">
        <f>J79+K79</f>
        <v>760</v>
      </c>
      <c r="Z79" s="4">
        <v>1</v>
      </c>
      <c r="AE79" s="5">
        <f>L79</f>
        <v>258</v>
      </c>
      <c r="AF79" s="5">
        <v>1</v>
      </c>
      <c r="AM79">
        <v>70</v>
      </c>
      <c r="AN79" t="s">
        <v>101</v>
      </c>
      <c r="AO79" t="s">
        <v>53</v>
      </c>
      <c r="AP79">
        <v>-25736</v>
      </c>
      <c r="AQ79">
        <v>0</v>
      </c>
      <c r="AR79" t="s">
        <v>54</v>
      </c>
      <c r="AS79" t="s">
        <v>55</v>
      </c>
      <c r="AT79" t="s">
        <v>55</v>
      </c>
      <c r="AU79" t="s">
        <v>56</v>
      </c>
      <c r="AV79">
        <v>930</v>
      </c>
      <c r="AW79" t="s">
        <v>57</v>
      </c>
      <c r="AX79" t="s">
        <v>55</v>
      </c>
      <c r="AY79" t="s">
        <v>58</v>
      </c>
      <c r="AZ79" t="s">
        <v>59</v>
      </c>
      <c r="BA79" t="s">
        <v>55</v>
      </c>
      <c r="BB79" t="s">
        <v>49</v>
      </c>
      <c r="BC79" t="s">
        <v>49</v>
      </c>
      <c r="BD79" t="s">
        <v>106</v>
      </c>
      <c r="BE79" t="s">
        <v>55</v>
      </c>
      <c r="BF79">
        <v>10</v>
      </c>
      <c r="BG79" t="s">
        <v>60</v>
      </c>
      <c r="BH79" t="s">
        <v>61</v>
      </c>
      <c r="BI79" t="s">
        <v>62</v>
      </c>
      <c r="BJ79" t="s">
        <v>63</v>
      </c>
      <c r="BK79">
        <v>2002</v>
      </c>
      <c r="BL79">
        <v>1</v>
      </c>
      <c r="BM79">
        <v>1</v>
      </c>
      <c r="BN79">
        <v>1</v>
      </c>
      <c r="BR79">
        <f t="shared" ref="BR79:BR94" si="6">I79-BS79</f>
        <v>556</v>
      </c>
      <c r="BS79">
        <v>124</v>
      </c>
      <c r="BT79">
        <f t="shared" si="5"/>
        <v>3</v>
      </c>
    </row>
    <row r="80" spans="1:72" x14ac:dyDescent="0.2">
      <c r="A80" s="19" t="s">
        <v>145</v>
      </c>
      <c r="B80" s="1">
        <v>1000</v>
      </c>
      <c r="C80">
        <v>1</v>
      </c>
      <c r="D80" t="s">
        <v>48</v>
      </c>
      <c r="E80" s="2" t="s">
        <v>49</v>
      </c>
      <c r="F80">
        <v>1000</v>
      </c>
      <c r="G80">
        <v>982</v>
      </c>
      <c r="H80" s="2">
        <v>300</v>
      </c>
      <c r="I80" s="3">
        <v>300</v>
      </c>
      <c r="J80" s="4">
        <f>300-19</f>
        <v>281</v>
      </c>
      <c r="K80" s="4">
        <v>406</v>
      </c>
      <c r="L80" s="9">
        <v>84</v>
      </c>
      <c r="M80" s="5">
        <v>124</v>
      </c>
      <c r="P80" t="s">
        <v>821</v>
      </c>
      <c r="Q80" s="4" t="s">
        <v>51</v>
      </c>
      <c r="R80" s="4" t="s">
        <v>51</v>
      </c>
      <c r="S80" s="9" t="s">
        <v>80</v>
      </c>
      <c r="T80" s="5" t="s">
        <v>65</v>
      </c>
      <c r="W80">
        <v>6</v>
      </c>
      <c r="X80">
        <v>18</v>
      </c>
      <c r="Y80" s="4">
        <f>J80+K80</f>
        <v>687</v>
      </c>
      <c r="Z80" s="4">
        <v>1</v>
      </c>
      <c r="AE80" s="5">
        <f>M80</f>
        <v>124</v>
      </c>
      <c r="AF80" s="5">
        <v>1</v>
      </c>
      <c r="AG80" s="9">
        <f>L80</f>
        <v>84</v>
      </c>
      <c r="AH80" s="9">
        <v>1</v>
      </c>
      <c r="AM80">
        <v>44</v>
      </c>
      <c r="AN80" t="s">
        <v>52</v>
      </c>
      <c r="AO80" t="s">
        <v>53</v>
      </c>
      <c r="AP80">
        <v>-16261</v>
      </c>
      <c r="AQ80">
        <v>0</v>
      </c>
      <c r="AR80" t="s">
        <v>54</v>
      </c>
      <c r="AS80" t="s">
        <v>53</v>
      </c>
      <c r="AT80" t="s">
        <v>53</v>
      </c>
      <c r="AU80" t="s">
        <v>56</v>
      </c>
      <c r="AV80">
        <v>931</v>
      </c>
      <c r="AW80" t="s">
        <v>57</v>
      </c>
      <c r="AX80" t="s">
        <v>55</v>
      </c>
      <c r="AY80" t="s">
        <v>58</v>
      </c>
      <c r="AZ80" t="s">
        <v>59</v>
      </c>
      <c r="BA80" t="s">
        <v>55</v>
      </c>
      <c r="BB80" t="s">
        <v>49</v>
      </c>
      <c r="BC80" t="s">
        <v>49</v>
      </c>
      <c r="BD80" t="s">
        <v>66</v>
      </c>
      <c r="BE80" t="s">
        <v>53</v>
      </c>
      <c r="BF80">
        <v>10</v>
      </c>
      <c r="BG80" t="s">
        <v>60</v>
      </c>
      <c r="BH80" t="s">
        <v>61</v>
      </c>
      <c r="BI80" t="s">
        <v>62</v>
      </c>
      <c r="BJ80" t="s">
        <v>63</v>
      </c>
      <c r="BK80">
        <v>2002</v>
      </c>
      <c r="BL80">
        <v>1</v>
      </c>
      <c r="BM80">
        <v>1</v>
      </c>
      <c r="BN80">
        <v>1</v>
      </c>
      <c r="BO80">
        <v>1</v>
      </c>
      <c r="BR80">
        <f t="shared" si="6"/>
        <v>176</v>
      </c>
      <c r="BS80">
        <v>124</v>
      </c>
      <c r="BT80">
        <f t="shared" si="5"/>
        <v>4</v>
      </c>
    </row>
    <row r="81" spans="1:72" x14ac:dyDescent="0.2">
      <c r="A81" s="19" t="s">
        <v>146</v>
      </c>
      <c r="B81" s="1">
        <v>446</v>
      </c>
      <c r="C81">
        <v>1</v>
      </c>
      <c r="D81" t="s">
        <v>48</v>
      </c>
      <c r="E81" s="2" t="s">
        <v>49</v>
      </c>
      <c r="F81">
        <v>446</v>
      </c>
      <c r="G81">
        <v>356</v>
      </c>
      <c r="H81" s="2">
        <v>356</v>
      </c>
      <c r="I81" s="3">
        <v>356</v>
      </c>
      <c r="J81" s="4">
        <f>356-20</f>
        <v>336</v>
      </c>
      <c r="Q81" s="4" t="s">
        <v>51</v>
      </c>
      <c r="W81">
        <v>6</v>
      </c>
      <c r="X81">
        <v>12</v>
      </c>
      <c r="Y81" s="4">
        <f t="shared" ref="Y81:Y86" si="7">J81</f>
        <v>336</v>
      </c>
      <c r="Z81" s="4">
        <v>1</v>
      </c>
      <c r="AM81">
        <v>77</v>
      </c>
      <c r="AN81" t="s">
        <v>52</v>
      </c>
      <c r="AO81" t="s">
        <v>53</v>
      </c>
      <c r="AP81">
        <v>-28433</v>
      </c>
      <c r="AQ81">
        <v>0</v>
      </c>
      <c r="AR81" t="s">
        <v>54</v>
      </c>
      <c r="AS81" t="s">
        <v>55</v>
      </c>
      <c r="AT81" t="s">
        <v>55</v>
      </c>
      <c r="AU81" t="s">
        <v>56</v>
      </c>
      <c r="AV81">
        <v>933</v>
      </c>
      <c r="AW81" t="s">
        <v>57</v>
      </c>
      <c r="AX81" t="s">
        <v>55</v>
      </c>
      <c r="AY81" t="s">
        <v>58</v>
      </c>
      <c r="AZ81" t="s">
        <v>59</v>
      </c>
      <c r="BA81" t="s">
        <v>55</v>
      </c>
      <c r="BB81" t="s">
        <v>49</v>
      </c>
      <c r="BC81" t="s">
        <v>49</v>
      </c>
      <c r="BD81" t="s">
        <v>106</v>
      </c>
      <c r="BE81" t="s">
        <v>55</v>
      </c>
      <c r="BF81">
        <v>10</v>
      </c>
      <c r="BG81" t="s">
        <v>60</v>
      </c>
      <c r="BH81" t="s">
        <v>71</v>
      </c>
      <c r="BI81" t="s">
        <v>62</v>
      </c>
      <c r="BJ81" t="s">
        <v>63</v>
      </c>
      <c r="BK81">
        <v>2003</v>
      </c>
      <c r="BL81">
        <v>1</v>
      </c>
      <c r="BR81">
        <f t="shared" si="6"/>
        <v>224</v>
      </c>
      <c r="BS81">
        <v>132</v>
      </c>
      <c r="BT81">
        <f t="shared" si="5"/>
        <v>1</v>
      </c>
    </row>
    <row r="82" spans="1:72" x14ac:dyDescent="0.2">
      <c r="A82" s="19" t="s">
        <v>147</v>
      </c>
      <c r="B82" s="1">
        <v>203</v>
      </c>
      <c r="C82">
        <v>1</v>
      </c>
      <c r="D82" t="s">
        <v>48</v>
      </c>
      <c r="E82" s="2" t="s">
        <v>49</v>
      </c>
      <c r="F82">
        <v>203</v>
      </c>
      <c r="G82">
        <v>118</v>
      </c>
      <c r="H82" s="2">
        <v>110</v>
      </c>
      <c r="I82" s="3">
        <v>110</v>
      </c>
      <c r="J82" s="4">
        <f>110-34</f>
        <v>76</v>
      </c>
      <c r="Q82" s="4" t="s">
        <v>51</v>
      </c>
      <c r="W82">
        <v>3</v>
      </c>
      <c r="X82">
        <v>6</v>
      </c>
      <c r="Y82" s="4">
        <f t="shared" si="7"/>
        <v>76</v>
      </c>
      <c r="Z82" s="4">
        <v>1</v>
      </c>
      <c r="AM82">
        <v>51</v>
      </c>
      <c r="AN82" t="s">
        <v>52</v>
      </c>
      <c r="AO82" t="s">
        <v>53</v>
      </c>
      <c r="AP82">
        <v>-18602</v>
      </c>
      <c r="AQ82">
        <v>0</v>
      </c>
      <c r="AR82" t="s">
        <v>54</v>
      </c>
      <c r="AS82" t="s">
        <v>55</v>
      </c>
      <c r="AT82" t="s">
        <v>55</v>
      </c>
      <c r="AU82" t="s">
        <v>56</v>
      </c>
      <c r="AV82">
        <v>934</v>
      </c>
      <c r="AW82" t="s">
        <v>57</v>
      </c>
      <c r="AX82" t="s">
        <v>55</v>
      </c>
      <c r="AY82" t="s">
        <v>81</v>
      </c>
      <c r="AZ82" t="s">
        <v>59</v>
      </c>
      <c r="BA82" t="s">
        <v>55</v>
      </c>
      <c r="BB82" t="s">
        <v>49</v>
      </c>
      <c r="BC82" t="s">
        <v>49</v>
      </c>
      <c r="BD82" t="s">
        <v>66</v>
      </c>
      <c r="BE82" t="s">
        <v>55</v>
      </c>
      <c r="BF82">
        <v>10</v>
      </c>
      <c r="BG82" t="s">
        <v>60</v>
      </c>
      <c r="BH82" t="s">
        <v>61</v>
      </c>
      <c r="BI82" t="s">
        <v>62</v>
      </c>
      <c r="BJ82" t="s">
        <v>63</v>
      </c>
      <c r="BK82">
        <v>2003</v>
      </c>
      <c r="BL82">
        <v>1</v>
      </c>
      <c r="BR82">
        <f t="shared" si="6"/>
        <v>55</v>
      </c>
      <c r="BS82">
        <v>55</v>
      </c>
      <c r="BT82">
        <f t="shared" si="5"/>
        <v>1</v>
      </c>
    </row>
    <row r="83" spans="1:72" x14ac:dyDescent="0.2">
      <c r="A83" s="19" t="s">
        <v>148</v>
      </c>
      <c r="B83" s="1">
        <v>1077</v>
      </c>
      <c r="C83">
        <v>1</v>
      </c>
      <c r="D83" t="s">
        <v>48</v>
      </c>
      <c r="E83" s="2" t="s">
        <v>49</v>
      </c>
      <c r="F83">
        <v>1077</v>
      </c>
      <c r="G83">
        <v>1077</v>
      </c>
      <c r="H83" s="2" t="s">
        <v>49</v>
      </c>
      <c r="I83" s="3">
        <v>1077</v>
      </c>
      <c r="J83" s="4">
        <v>1043</v>
      </c>
      <c r="Q83" s="4" t="s">
        <v>51</v>
      </c>
      <c r="W83">
        <v>1</v>
      </c>
      <c r="X83">
        <v>2</v>
      </c>
      <c r="Y83" s="4">
        <f t="shared" si="7"/>
        <v>1043</v>
      </c>
      <c r="Z83" s="4">
        <v>1</v>
      </c>
      <c r="AM83">
        <v>68</v>
      </c>
      <c r="AN83" t="s">
        <v>52</v>
      </c>
      <c r="AO83" t="s">
        <v>53</v>
      </c>
      <c r="AP83">
        <v>-25098</v>
      </c>
      <c r="AQ83">
        <v>0</v>
      </c>
      <c r="AR83" t="s">
        <v>54</v>
      </c>
      <c r="AS83" t="s">
        <v>55</v>
      </c>
      <c r="AT83" t="s">
        <v>55</v>
      </c>
      <c r="AU83" t="s">
        <v>56</v>
      </c>
      <c r="AV83">
        <v>935</v>
      </c>
      <c r="AW83" t="s">
        <v>57</v>
      </c>
      <c r="AX83" t="s">
        <v>55</v>
      </c>
      <c r="AY83" t="s">
        <v>49</v>
      </c>
      <c r="AZ83" t="s">
        <v>59</v>
      </c>
      <c r="BA83" t="s">
        <v>55</v>
      </c>
      <c r="BB83" t="s">
        <v>49</v>
      </c>
      <c r="BC83" t="s">
        <v>49</v>
      </c>
      <c r="BD83" t="s">
        <v>49</v>
      </c>
      <c r="BE83" t="s">
        <v>55</v>
      </c>
      <c r="BF83">
        <v>10</v>
      </c>
      <c r="BG83" t="s">
        <v>60</v>
      </c>
      <c r="BH83" t="s">
        <v>61</v>
      </c>
      <c r="BI83" t="s">
        <v>62</v>
      </c>
      <c r="BJ83" t="s">
        <v>63</v>
      </c>
      <c r="BK83">
        <v>2003</v>
      </c>
      <c r="BL83">
        <v>1</v>
      </c>
      <c r="BR83">
        <f t="shared" si="6"/>
        <v>1043</v>
      </c>
      <c r="BS83">
        <v>34</v>
      </c>
      <c r="BT83">
        <f t="shared" si="5"/>
        <v>1</v>
      </c>
    </row>
    <row r="84" spans="1:72" x14ac:dyDescent="0.2">
      <c r="A84" s="19" t="s">
        <v>149</v>
      </c>
      <c r="B84" s="1">
        <v>1123</v>
      </c>
      <c r="C84">
        <v>1</v>
      </c>
      <c r="D84" t="s">
        <v>48</v>
      </c>
      <c r="E84" s="2" t="s">
        <v>49</v>
      </c>
      <c r="F84">
        <v>1123</v>
      </c>
      <c r="G84">
        <v>1089</v>
      </c>
      <c r="H84" s="2" t="s">
        <v>49</v>
      </c>
      <c r="I84" s="3">
        <v>601</v>
      </c>
      <c r="J84" s="4">
        <f>601-20</f>
        <v>581</v>
      </c>
      <c r="K84" s="11">
        <v>57</v>
      </c>
      <c r="L84" s="5">
        <v>132</v>
      </c>
      <c r="M84" s="6">
        <v>129</v>
      </c>
      <c r="N84" s="7">
        <v>184</v>
      </c>
      <c r="Q84" s="4" t="s">
        <v>51</v>
      </c>
      <c r="R84" s="11" t="s">
        <v>90</v>
      </c>
      <c r="S84" s="5" t="s">
        <v>65</v>
      </c>
      <c r="T84" s="6" t="s">
        <v>74</v>
      </c>
      <c r="U84" s="7" t="s">
        <v>75</v>
      </c>
      <c r="W84">
        <v>8</v>
      </c>
      <c r="X84">
        <v>14</v>
      </c>
      <c r="Y84" s="4">
        <f t="shared" si="7"/>
        <v>581</v>
      </c>
      <c r="Z84" s="4">
        <v>1</v>
      </c>
      <c r="AA84" s="11">
        <f>K84</f>
        <v>57</v>
      </c>
      <c r="AB84" s="11">
        <v>1</v>
      </c>
      <c r="AC84" s="6">
        <f>M84</f>
        <v>129</v>
      </c>
      <c r="AD84" s="6">
        <v>1</v>
      </c>
      <c r="AE84" s="5">
        <f>L84</f>
        <v>132</v>
      </c>
      <c r="AF84" s="5">
        <v>1</v>
      </c>
      <c r="AI84" s="7">
        <f>N84</f>
        <v>184</v>
      </c>
      <c r="AJ84" s="7">
        <v>1</v>
      </c>
      <c r="AK84" s="8"/>
      <c r="AL84" s="8"/>
      <c r="AM84">
        <v>69</v>
      </c>
      <c r="AN84" t="s">
        <v>52</v>
      </c>
      <c r="AO84" t="s">
        <v>53</v>
      </c>
      <c r="AP84">
        <v>-25454</v>
      </c>
      <c r="AQ84">
        <v>0</v>
      </c>
      <c r="AR84" t="s">
        <v>54</v>
      </c>
      <c r="AS84" t="s">
        <v>53</v>
      </c>
      <c r="AT84" t="s">
        <v>55</v>
      </c>
      <c r="AU84" t="s">
        <v>56</v>
      </c>
      <c r="AV84">
        <v>936</v>
      </c>
      <c r="AW84" t="s">
        <v>57</v>
      </c>
      <c r="AX84" t="s">
        <v>55</v>
      </c>
      <c r="AY84" t="s">
        <v>114</v>
      </c>
      <c r="AZ84" t="s">
        <v>111</v>
      </c>
      <c r="BA84" t="s">
        <v>55</v>
      </c>
      <c r="BB84" t="s">
        <v>49</v>
      </c>
      <c r="BC84" t="s">
        <v>49</v>
      </c>
      <c r="BD84" t="s">
        <v>106</v>
      </c>
      <c r="BE84" t="s">
        <v>55</v>
      </c>
      <c r="BF84">
        <v>10</v>
      </c>
      <c r="BG84" t="s">
        <v>60</v>
      </c>
      <c r="BH84" t="s">
        <v>82</v>
      </c>
      <c r="BI84" t="s">
        <v>62</v>
      </c>
      <c r="BJ84" t="s">
        <v>63</v>
      </c>
      <c r="BK84">
        <v>2005</v>
      </c>
      <c r="BL84">
        <v>1</v>
      </c>
      <c r="BM84">
        <v>1</v>
      </c>
      <c r="BN84">
        <v>1</v>
      </c>
      <c r="BO84">
        <v>1</v>
      </c>
      <c r="BP84">
        <v>1</v>
      </c>
      <c r="BR84">
        <f t="shared" si="6"/>
        <v>407</v>
      </c>
      <c r="BS84">
        <v>194</v>
      </c>
      <c r="BT84">
        <f t="shared" si="5"/>
        <v>5</v>
      </c>
    </row>
    <row r="85" spans="1:72" x14ac:dyDescent="0.2">
      <c r="A85" s="19" t="s">
        <v>150</v>
      </c>
      <c r="B85" s="1">
        <v>608</v>
      </c>
      <c r="C85">
        <v>1</v>
      </c>
      <c r="D85" t="s">
        <v>48</v>
      </c>
      <c r="E85" s="2" t="s">
        <v>49</v>
      </c>
      <c r="F85">
        <v>608</v>
      </c>
      <c r="G85">
        <v>460</v>
      </c>
      <c r="H85" s="2">
        <v>235</v>
      </c>
      <c r="I85" s="3">
        <v>235</v>
      </c>
      <c r="J85" s="4">
        <f>235-33</f>
        <v>202</v>
      </c>
      <c r="K85" s="5">
        <v>102</v>
      </c>
      <c r="L85" s="9">
        <v>105</v>
      </c>
      <c r="M85" s="7">
        <v>157</v>
      </c>
      <c r="Q85" s="4" t="s">
        <v>51</v>
      </c>
      <c r="R85" s="5" t="s">
        <v>65</v>
      </c>
      <c r="S85" s="9" t="s">
        <v>80</v>
      </c>
      <c r="T85" s="7" t="s">
        <v>75</v>
      </c>
      <c r="W85">
        <v>6</v>
      </c>
      <c r="X85">
        <v>12</v>
      </c>
      <c r="Y85" s="4">
        <f t="shared" si="7"/>
        <v>202</v>
      </c>
      <c r="Z85" s="4">
        <v>1</v>
      </c>
      <c r="AE85" s="5">
        <f>K85</f>
        <v>102</v>
      </c>
      <c r="AF85" s="5">
        <v>1</v>
      </c>
      <c r="AG85" s="9">
        <f>L85</f>
        <v>105</v>
      </c>
      <c r="AH85" s="9">
        <v>1</v>
      </c>
      <c r="AI85" s="7">
        <f>M85</f>
        <v>157</v>
      </c>
      <c r="AJ85" s="7">
        <v>1</v>
      </c>
      <c r="AK85" s="8"/>
      <c r="AL85" s="8"/>
      <c r="AM85">
        <v>44</v>
      </c>
      <c r="AN85" t="s">
        <v>52</v>
      </c>
      <c r="AO85" t="s">
        <v>53</v>
      </c>
      <c r="AP85">
        <v>-16221</v>
      </c>
      <c r="AQ85">
        <v>0</v>
      </c>
      <c r="AR85" t="s">
        <v>54</v>
      </c>
      <c r="AS85" t="s">
        <v>55</v>
      </c>
      <c r="AT85" t="s">
        <v>55</v>
      </c>
      <c r="AU85" t="s">
        <v>56</v>
      </c>
      <c r="AV85">
        <v>937</v>
      </c>
      <c r="AW85" t="s">
        <v>57</v>
      </c>
      <c r="AX85" t="s">
        <v>55</v>
      </c>
      <c r="AY85" t="s">
        <v>58</v>
      </c>
      <c r="AZ85" t="s">
        <v>59</v>
      </c>
      <c r="BA85" t="s">
        <v>55</v>
      </c>
      <c r="BB85" t="s">
        <v>49</v>
      </c>
      <c r="BC85" t="s">
        <v>49</v>
      </c>
      <c r="BD85" t="s">
        <v>66</v>
      </c>
      <c r="BE85" t="s">
        <v>55</v>
      </c>
      <c r="BF85">
        <v>10</v>
      </c>
      <c r="BG85" t="s">
        <v>60</v>
      </c>
      <c r="BH85" t="s">
        <v>61</v>
      </c>
      <c r="BI85" t="s">
        <v>62</v>
      </c>
      <c r="BJ85" t="s">
        <v>63</v>
      </c>
      <c r="BK85">
        <v>2005</v>
      </c>
      <c r="BL85">
        <v>1</v>
      </c>
      <c r="BM85">
        <v>1</v>
      </c>
      <c r="BN85">
        <v>1</v>
      </c>
      <c r="BO85">
        <v>1</v>
      </c>
      <c r="BR85">
        <f t="shared" si="6"/>
        <v>89</v>
      </c>
      <c r="BS85">
        <v>146</v>
      </c>
      <c r="BT85">
        <f t="shared" si="5"/>
        <v>4</v>
      </c>
    </row>
    <row r="86" spans="1:72" x14ac:dyDescent="0.2">
      <c r="A86" s="19" t="s">
        <v>151</v>
      </c>
      <c r="B86" s="1">
        <v>636</v>
      </c>
      <c r="C86">
        <v>1</v>
      </c>
      <c r="D86" t="s">
        <v>48</v>
      </c>
      <c r="E86" s="2">
        <v>362</v>
      </c>
      <c r="F86">
        <v>636</v>
      </c>
      <c r="G86">
        <v>604</v>
      </c>
      <c r="H86" s="2" t="s">
        <v>49</v>
      </c>
      <c r="I86" s="3">
        <v>362</v>
      </c>
      <c r="J86" s="4">
        <f>362-41</f>
        <v>321</v>
      </c>
      <c r="Q86" s="4" t="s">
        <v>51</v>
      </c>
      <c r="W86">
        <v>6</v>
      </c>
      <c r="X86">
        <v>12</v>
      </c>
      <c r="Y86" s="4">
        <f t="shared" si="7"/>
        <v>321</v>
      </c>
      <c r="Z86" s="4">
        <v>1</v>
      </c>
      <c r="AM86">
        <v>80</v>
      </c>
      <c r="AN86" t="s">
        <v>52</v>
      </c>
      <c r="AO86" t="s">
        <v>53</v>
      </c>
      <c r="AP86">
        <v>-29557</v>
      </c>
      <c r="AQ86">
        <v>0</v>
      </c>
      <c r="AR86" t="s">
        <v>54</v>
      </c>
      <c r="AS86" t="s">
        <v>53</v>
      </c>
      <c r="AT86" t="s">
        <v>55</v>
      </c>
      <c r="AU86" t="s">
        <v>49</v>
      </c>
      <c r="AV86">
        <v>938</v>
      </c>
      <c r="AW86" t="s">
        <v>57</v>
      </c>
      <c r="AX86" t="s">
        <v>55</v>
      </c>
      <c r="AY86" t="s">
        <v>81</v>
      </c>
      <c r="AZ86" t="s">
        <v>59</v>
      </c>
      <c r="BA86" t="s">
        <v>55</v>
      </c>
      <c r="BB86" t="s">
        <v>49</v>
      </c>
      <c r="BC86" t="s">
        <v>49</v>
      </c>
      <c r="BD86" t="s">
        <v>66</v>
      </c>
      <c r="BE86" t="s">
        <v>55</v>
      </c>
      <c r="BF86">
        <v>10</v>
      </c>
      <c r="BG86" t="s">
        <v>60</v>
      </c>
      <c r="BH86" t="s">
        <v>82</v>
      </c>
      <c r="BI86" t="s">
        <v>62</v>
      </c>
      <c r="BJ86" t="s">
        <v>63</v>
      </c>
      <c r="BK86">
        <v>2002</v>
      </c>
      <c r="BL86">
        <v>1</v>
      </c>
      <c r="BR86">
        <f t="shared" si="6"/>
        <v>174</v>
      </c>
      <c r="BS86">
        <v>188</v>
      </c>
      <c r="BT86">
        <f t="shared" si="5"/>
        <v>1</v>
      </c>
    </row>
    <row r="87" spans="1:72" x14ac:dyDescent="0.2">
      <c r="A87" s="19" t="s">
        <v>152</v>
      </c>
      <c r="B87" s="1">
        <v>189</v>
      </c>
      <c r="C87">
        <v>1</v>
      </c>
      <c r="D87" t="s">
        <v>48</v>
      </c>
      <c r="E87" s="2">
        <v>110</v>
      </c>
      <c r="F87">
        <v>189</v>
      </c>
      <c r="G87">
        <v>189</v>
      </c>
      <c r="H87" s="2" t="s">
        <v>49</v>
      </c>
      <c r="I87" s="3">
        <v>110</v>
      </c>
      <c r="J87">
        <f>110-12</f>
        <v>98</v>
      </c>
      <c r="Q87" t="s">
        <v>78</v>
      </c>
      <c r="W87">
        <v>4</v>
      </c>
      <c r="X87">
        <v>12</v>
      </c>
      <c r="AM87">
        <v>55</v>
      </c>
      <c r="AN87" t="s">
        <v>52</v>
      </c>
      <c r="AO87" t="s">
        <v>53</v>
      </c>
      <c r="AP87">
        <v>-20109</v>
      </c>
      <c r="AQ87">
        <v>0</v>
      </c>
      <c r="AR87" t="s">
        <v>54</v>
      </c>
      <c r="AS87" t="s">
        <v>55</v>
      </c>
      <c r="AT87" t="s">
        <v>55</v>
      </c>
      <c r="AU87" t="s">
        <v>85</v>
      </c>
      <c r="AV87" t="s">
        <v>49</v>
      </c>
      <c r="AW87" t="s">
        <v>57</v>
      </c>
      <c r="AX87" t="s">
        <v>55</v>
      </c>
      <c r="AY87" t="s">
        <v>81</v>
      </c>
      <c r="AZ87" t="s">
        <v>59</v>
      </c>
      <c r="BA87" t="s">
        <v>55</v>
      </c>
      <c r="BB87" t="s">
        <v>49</v>
      </c>
      <c r="BC87" t="s">
        <v>49</v>
      </c>
      <c r="BD87" t="s">
        <v>49</v>
      </c>
      <c r="BE87" t="s">
        <v>55</v>
      </c>
      <c r="BF87" t="s">
        <v>49</v>
      </c>
      <c r="BG87" t="s">
        <v>60</v>
      </c>
      <c r="BH87" t="s">
        <v>61</v>
      </c>
      <c r="BI87" t="s">
        <v>83</v>
      </c>
      <c r="BJ87" t="s">
        <v>63</v>
      </c>
      <c r="BK87">
        <v>2000</v>
      </c>
      <c r="BL87">
        <v>1</v>
      </c>
      <c r="BR87">
        <f t="shared" si="6"/>
        <v>35</v>
      </c>
      <c r="BS87">
        <v>75</v>
      </c>
      <c r="BT87">
        <f t="shared" si="5"/>
        <v>1</v>
      </c>
    </row>
    <row r="88" spans="1:72" x14ac:dyDescent="0.2">
      <c r="A88" s="19" t="s">
        <v>153</v>
      </c>
      <c r="B88" s="1">
        <v>748</v>
      </c>
      <c r="C88">
        <v>1</v>
      </c>
      <c r="D88" t="s">
        <v>48</v>
      </c>
      <c r="E88" s="2" t="s">
        <v>49</v>
      </c>
      <c r="F88">
        <v>748</v>
      </c>
      <c r="G88">
        <v>748</v>
      </c>
      <c r="H88" s="2">
        <v>294</v>
      </c>
      <c r="I88" s="3">
        <v>294</v>
      </c>
      <c r="J88" s="4">
        <f>294-9</f>
        <v>285</v>
      </c>
      <c r="P88" t="s">
        <v>776</v>
      </c>
      <c r="Q88" s="4" t="s">
        <v>51</v>
      </c>
      <c r="W88">
        <v>8</v>
      </c>
      <c r="X88">
        <v>16</v>
      </c>
      <c r="Y88" s="4">
        <f>J88</f>
        <v>285</v>
      </c>
      <c r="Z88" s="4">
        <v>1</v>
      </c>
      <c r="AM88">
        <v>54</v>
      </c>
      <c r="AN88" t="s">
        <v>52</v>
      </c>
      <c r="AO88" t="s">
        <v>53</v>
      </c>
      <c r="AP88">
        <v>-20042</v>
      </c>
      <c r="AQ88">
        <v>0</v>
      </c>
      <c r="AR88" t="s">
        <v>54</v>
      </c>
      <c r="AS88" t="s">
        <v>55</v>
      </c>
      <c r="AT88" t="s">
        <v>55</v>
      </c>
      <c r="AU88" t="s">
        <v>56</v>
      </c>
      <c r="AV88" t="s">
        <v>49</v>
      </c>
      <c r="AW88" t="s">
        <v>57</v>
      </c>
      <c r="AX88" t="s">
        <v>55</v>
      </c>
      <c r="AY88" t="s">
        <v>58</v>
      </c>
      <c r="AZ88" t="s">
        <v>59</v>
      </c>
      <c r="BA88" t="s">
        <v>55</v>
      </c>
      <c r="BB88" t="s">
        <v>49</v>
      </c>
      <c r="BC88" t="s">
        <v>49</v>
      </c>
      <c r="BD88" t="s">
        <v>66</v>
      </c>
      <c r="BE88" t="s">
        <v>55</v>
      </c>
      <c r="BF88" t="s">
        <v>49</v>
      </c>
      <c r="BG88" t="s">
        <v>60</v>
      </c>
      <c r="BH88" t="s">
        <v>82</v>
      </c>
      <c r="BI88" t="s">
        <v>62</v>
      </c>
      <c r="BJ88" t="s">
        <v>63</v>
      </c>
      <c r="BK88">
        <v>2000</v>
      </c>
      <c r="BL88">
        <v>1</v>
      </c>
      <c r="BR88">
        <f t="shared" si="6"/>
        <v>112</v>
      </c>
      <c r="BS88">
        <v>182</v>
      </c>
      <c r="BT88">
        <f t="shared" si="5"/>
        <v>1</v>
      </c>
    </row>
    <row r="89" spans="1:72" x14ac:dyDescent="0.2">
      <c r="A89" s="19" t="s">
        <v>154</v>
      </c>
      <c r="B89" s="1">
        <v>1355</v>
      </c>
      <c r="C89">
        <v>1</v>
      </c>
      <c r="D89" t="s">
        <v>48</v>
      </c>
      <c r="E89" s="2" t="s">
        <v>49</v>
      </c>
      <c r="F89">
        <v>1355</v>
      </c>
      <c r="G89">
        <v>1355</v>
      </c>
      <c r="H89" s="2">
        <v>292</v>
      </c>
      <c r="I89" s="3">
        <v>292</v>
      </c>
      <c r="J89" s="4">
        <f>292-7</f>
        <v>285</v>
      </c>
      <c r="K89" s="6" t="s">
        <v>50</v>
      </c>
      <c r="P89" t="s">
        <v>777</v>
      </c>
      <c r="Q89" s="4" t="s">
        <v>51</v>
      </c>
      <c r="R89" s="6" t="s">
        <v>74</v>
      </c>
      <c r="W89">
        <v>15</v>
      </c>
      <c r="X89">
        <v>23</v>
      </c>
      <c r="Y89" s="4">
        <f>J89</f>
        <v>285</v>
      </c>
      <c r="Z89" s="4">
        <v>1</v>
      </c>
      <c r="AC89" s="6" t="str">
        <f>K89</f>
        <v>cannot assess</v>
      </c>
      <c r="AD89" s="6">
        <v>0</v>
      </c>
      <c r="AM89">
        <v>48</v>
      </c>
      <c r="AN89" t="s">
        <v>52</v>
      </c>
      <c r="AO89" t="s">
        <v>53</v>
      </c>
      <c r="AP89">
        <v>-17798</v>
      </c>
      <c r="AQ89">
        <v>0</v>
      </c>
      <c r="AR89" t="s">
        <v>54</v>
      </c>
      <c r="AS89" t="s">
        <v>55</v>
      </c>
      <c r="AT89" t="s">
        <v>55</v>
      </c>
      <c r="AU89" t="s">
        <v>56</v>
      </c>
      <c r="AV89" t="s">
        <v>49</v>
      </c>
      <c r="AW89" t="s">
        <v>57</v>
      </c>
      <c r="AX89" t="s">
        <v>55</v>
      </c>
      <c r="AY89" t="s">
        <v>58</v>
      </c>
      <c r="AZ89" t="s">
        <v>59</v>
      </c>
      <c r="BA89" t="s">
        <v>55</v>
      </c>
      <c r="BB89" t="s">
        <v>49</v>
      </c>
      <c r="BC89" t="s">
        <v>49</v>
      </c>
      <c r="BD89" t="s">
        <v>66</v>
      </c>
      <c r="BE89" t="s">
        <v>55</v>
      </c>
      <c r="BF89" t="s">
        <v>49</v>
      </c>
      <c r="BG89" t="s">
        <v>60</v>
      </c>
      <c r="BH89" t="s">
        <v>61</v>
      </c>
      <c r="BI89" t="s">
        <v>62</v>
      </c>
      <c r="BJ89" t="s">
        <v>63</v>
      </c>
      <c r="BK89">
        <v>2001</v>
      </c>
      <c r="BL89">
        <v>1</v>
      </c>
      <c r="BR89">
        <f t="shared" si="6"/>
        <v>112</v>
      </c>
      <c r="BS89">
        <v>180</v>
      </c>
      <c r="BT89">
        <f t="shared" si="5"/>
        <v>1</v>
      </c>
    </row>
    <row r="90" spans="1:72" x14ac:dyDescent="0.2">
      <c r="A90" s="19" t="s">
        <v>155</v>
      </c>
      <c r="B90" s="1">
        <v>1204</v>
      </c>
      <c r="C90">
        <v>1</v>
      </c>
      <c r="D90" t="s">
        <v>48</v>
      </c>
      <c r="E90" s="2">
        <v>210</v>
      </c>
      <c r="F90">
        <v>1204</v>
      </c>
      <c r="G90">
        <v>1204</v>
      </c>
      <c r="H90" s="2" t="s">
        <v>49</v>
      </c>
      <c r="I90" s="3">
        <v>210</v>
      </c>
      <c r="J90" s="4">
        <f>210-28</f>
        <v>182</v>
      </c>
      <c r="K90" t="s">
        <v>50</v>
      </c>
      <c r="P90" t="s">
        <v>778</v>
      </c>
      <c r="Q90" s="4" t="s">
        <v>51</v>
      </c>
      <c r="W90">
        <v>8</v>
      </c>
      <c r="X90">
        <v>16</v>
      </c>
      <c r="Y90" s="4">
        <f>J90</f>
        <v>182</v>
      </c>
      <c r="Z90" s="4">
        <v>1</v>
      </c>
      <c r="AM90">
        <v>63</v>
      </c>
      <c r="AN90" t="s">
        <v>52</v>
      </c>
      <c r="AO90" t="s">
        <v>53</v>
      </c>
      <c r="AP90">
        <v>-23093</v>
      </c>
      <c r="AQ90">
        <v>0</v>
      </c>
      <c r="AR90" t="s">
        <v>54</v>
      </c>
      <c r="AS90" t="s">
        <v>55</v>
      </c>
      <c r="AT90" t="s">
        <v>55</v>
      </c>
      <c r="AU90" t="s">
        <v>56</v>
      </c>
      <c r="AV90" t="s">
        <v>49</v>
      </c>
      <c r="AW90" t="s">
        <v>57</v>
      </c>
      <c r="AX90" t="s">
        <v>55</v>
      </c>
      <c r="AY90" t="s">
        <v>81</v>
      </c>
      <c r="AZ90" t="s">
        <v>59</v>
      </c>
      <c r="BA90" t="s">
        <v>55</v>
      </c>
      <c r="BB90" t="s">
        <v>49</v>
      </c>
      <c r="BC90" t="s">
        <v>49</v>
      </c>
      <c r="BD90" t="s">
        <v>49</v>
      </c>
      <c r="BE90" t="s">
        <v>55</v>
      </c>
      <c r="BF90" t="s">
        <v>49</v>
      </c>
      <c r="BG90" t="s">
        <v>60</v>
      </c>
      <c r="BH90" t="s">
        <v>82</v>
      </c>
      <c r="BI90" t="s">
        <v>62</v>
      </c>
      <c r="BJ90" t="s">
        <v>63</v>
      </c>
      <c r="BK90">
        <v>2002</v>
      </c>
      <c r="BL90">
        <v>1</v>
      </c>
      <c r="BR90">
        <f t="shared" si="6"/>
        <v>10</v>
      </c>
      <c r="BS90">
        <v>200</v>
      </c>
      <c r="BT90">
        <f t="shared" si="5"/>
        <v>1</v>
      </c>
    </row>
    <row r="91" spans="1:72" x14ac:dyDescent="0.2">
      <c r="A91" s="19" t="s">
        <v>156</v>
      </c>
      <c r="B91" s="1">
        <v>83</v>
      </c>
      <c r="C91">
        <v>1</v>
      </c>
      <c r="D91" t="s">
        <v>48</v>
      </c>
      <c r="E91" s="2">
        <v>83</v>
      </c>
      <c r="F91">
        <v>83</v>
      </c>
      <c r="G91">
        <v>83</v>
      </c>
      <c r="H91" s="2" t="s">
        <v>49</v>
      </c>
      <c r="I91" s="3">
        <v>83</v>
      </c>
      <c r="J91" s="11">
        <v>8</v>
      </c>
      <c r="Q91" s="11" t="s">
        <v>90</v>
      </c>
      <c r="W91">
        <v>1</v>
      </c>
      <c r="X91">
        <v>1</v>
      </c>
      <c r="AA91" s="11">
        <f>J91</f>
        <v>8</v>
      </c>
      <c r="AB91" s="11">
        <v>1</v>
      </c>
      <c r="AM91">
        <v>72</v>
      </c>
      <c r="AN91" t="s">
        <v>126</v>
      </c>
      <c r="AO91" t="s">
        <v>53</v>
      </c>
      <c r="AP91">
        <v>-26341</v>
      </c>
      <c r="AQ91">
        <v>0</v>
      </c>
      <c r="AR91" t="s">
        <v>54</v>
      </c>
      <c r="AS91" t="s">
        <v>55</v>
      </c>
      <c r="AT91" t="s">
        <v>55</v>
      </c>
      <c r="AU91" t="s">
        <v>157</v>
      </c>
      <c r="AV91" t="s">
        <v>49</v>
      </c>
      <c r="AW91" t="s">
        <v>57</v>
      </c>
      <c r="AX91" t="s">
        <v>55</v>
      </c>
      <c r="AY91" t="s">
        <v>81</v>
      </c>
      <c r="AZ91" t="s">
        <v>59</v>
      </c>
      <c r="BA91" t="s">
        <v>55</v>
      </c>
      <c r="BB91" t="s">
        <v>49</v>
      </c>
      <c r="BC91" t="s">
        <v>49</v>
      </c>
      <c r="BD91" t="s">
        <v>49</v>
      </c>
      <c r="BE91" t="s">
        <v>55</v>
      </c>
      <c r="BF91" t="s">
        <v>49</v>
      </c>
      <c r="BG91" t="s">
        <v>60</v>
      </c>
      <c r="BH91" t="s">
        <v>61</v>
      </c>
      <c r="BI91" t="s">
        <v>83</v>
      </c>
      <c r="BJ91" t="s">
        <v>63</v>
      </c>
      <c r="BK91">
        <v>2002</v>
      </c>
      <c r="BL91">
        <v>1</v>
      </c>
      <c r="BR91">
        <f t="shared" si="6"/>
        <v>8</v>
      </c>
      <c r="BS91">
        <v>75</v>
      </c>
      <c r="BT91">
        <f t="shared" si="5"/>
        <v>1</v>
      </c>
    </row>
    <row r="92" spans="1:72" x14ac:dyDescent="0.2">
      <c r="A92" s="19" t="s">
        <v>158</v>
      </c>
      <c r="B92" s="1">
        <v>377</v>
      </c>
      <c r="C92">
        <v>1</v>
      </c>
      <c r="D92" t="s">
        <v>48</v>
      </c>
      <c r="E92" s="2" t="s">
        <v>49</v>
      </c>
      <c r="F92">
        <v>377</v>
      </c>
      <c r="G92">
        <v>377</v>
      </c>
      <c r="H92" s="2">
        <v>190</v>
      </c>
      <c r="I92" s="3">
        <v>190</v>
      </c>
      <c r="J92" s="4">
        <v>175</v>
      </c>
      <c r="K92" s="11">
        <v>187</v>
      </c>
      <c r="Q92" s="4" t="s">
        <v>51</v>
      </c>
      <c r="R92" s="11" t="s">
        <v>90</v>
      </c>
      <c r="W92">
        <v>8</v>
      </c>
      <c r="X92">
        <v>14</v>
      </c>
      <c r="Y92" s="4">
        <f>J92</f>
        <v>175</v>
      </c>
      <c r="Z92" s="4">
        <v>1</v>
      </c>
      <c r="AA92" s="11">
        <f>K92</f>
        <v>187</v>
      </c>
      <c r="AB92" s="11">
        <v>1</v>
      </c>
      <c r="AK92" s="8"/>
      <c r="AL92" s="8"/>
      <c r="AM92">
        <v>44</v>
      </c>
      <c r="AN92" t="s">
        <v>52</v>
      </c>
      <c r="AO92" t="s">
        <v>53</v>
      </c>
      <c r="AP92">
        <v>-16086</v>
      </c>
      <c r="AQ92">
        <v>0</v>
      </c>
      <c r="AR92" t="s">
        <v>54</v>
      </c>
      <c r="AS92" t="s">
        <v>55</v>
      </c>
      <c r="AT92" t="s">
        <v>55</v>
      </c>
      <c r="AU92" t="s">
        <v>85</v>
      </c>
      <c r="AV92" t="s">
        <v>49</v>
      </c>
      <c r="AW92" t="s">
        <v>57</v>
      </c>
      <c r="AX92" t="s">
        <v>55</v>
      </c>
      <c r="AY92" t="s">
        <v>58</v>
      </c>
      <c r="AZ92" t="s">
        <v>59</v>
      </c>
      <c r="BA92" t="s">
        <v>55</v>
      </c>
      <c r="BB92" t="s">
        <v>49</v>
      </c>
      <c r="BC92" t="s">
        <v>49</v>
      </c>
      <c r="BD92" t="s">
        <v>66</v>
      </c>
      <c r="BE92" t="s">
        <v>55</v>
      </c>
      <c r="BF92" t="s">
        <v>49</v>
      </c>
      <c r="BG92" t="s">
        <v>60</v>
      </c>
      <c r="BH92" t="s">
        <v>61</v>
      </c>
      <c r="BI92" t="s">
        <v>62</v>
      </c>
      <c r="BJ92" t="s">
        <v>63</v>
      </c>
      <c r="BK92">
        <v>2002</v>
      </c>
      <c r="BL92">
        <v>1</v>
      </c>
      <c r="BM92">
        <v>1</v>
      </c>
      <c r="BR92">
        <f t="shared" si="6"/>
        <v>59</v>
      </c>
      <c r="BS92">
        <v>131</v>
      </c>
      <c r="BT92">
        <f t="shared" si="5"/>
        <v>2</v>
      </c>
    </row>
    <row r="93" spans="1:72" x14ac:dyDescent="0.2">
      <c r="A93" s="19" t="s">
        <v>570</v>
      </c>
      <c r="B93" s="1">
        <v>948</v>
      </c>
      <c r="C93">
        <v>1</v>
      </c>
      <c r="D93" s="8" t="s">
        <v>48</v>
      </c>
      <c r="E93" s="12" t="s">
        <v>49</v>
      </c>
      <c r="F93" s="8">
        <v>948</v>
      </c>
      <c r="G93" s="8">
        <v>945</v>
      </c>
      <c r="H93" s="12">
        <v>392</v>
      </c>
      <c r="I93" s="3">
        <v>392</v>
      </c>
      <c r="J93" s="4">
        <f>392-29</f>
        <v>363</v>
      </c>
      <c r="K93" s="8" t="s">
        <v>50</v>
      </c>
      <c r="L93" s="8"/>
      <c r="M93" s="8"/>
      <c r="N93" s="8"/>
      <c r="O93" s="8"/>
      <c r="P93" s="8" t="s">
        <v>779</v>
      </c>
      <c r="Q93" s="4" t="s">
        <v>51</v>
      </c>
      <c r="R93" s="8"/>
      <c r="S93" s="8"/>
      <c r="T93" s="8"/>
      <c r="U93" s="8"/>
      <c r="V93" s="8"/>
      <c r="W93" s="8">
        <v>7</v>
      </c>
      <c r="X93" s="8">
        <v>14</v>
      </c>
      <c r="Y93" s="4">
        <f>J93</f>
        <v>363</v>
      </c>
      <c r="Z93" s="4">
        <v>1</v>
      </c>
      <c r="AA93" s="8"/>
      <c r="AB93" s="8"/>
      <c r="AC93" s="8"/>
      <c r="AD93" s="8"/>
      <c r="AE93" s="8"/>
      <c r="AF93" s="8"/>
      <c r="AG93" s="8"/>
      <c r="AH93" s="8"/>
      <c r="AI93" s="8"/>
      <c r="AJ93" s="8"/>
      <c r="AK93" s="8"/>
      <c r="AL93" s="8"/>
      <c r="AM93" s="8">
        <v>55</v>
      </c>
      <c r="AN93" s="8" t="s">
        <v>52</v>
      </c>
      <c r="AO93" s="8" t="s">
        <v>53</v>
      </c>
      <c r="AP93" s="8">
        <v>-20134</v>
      </c>
      <c r="AQ93" s="8">
        <v>0</v>
      </c>
      <c r="AR93" s="8" t="s">
        <v>54</v>
      </c>
      <c r="AS93" s="8" t="s">
        <v>55</v>
      </c>
      <c r="AT93" s="8" t="s">
        <v>55</v>
      </c>
      <c r="AU93" s="8" t="s">
        <v>56</v>
      </c>
      <c r="AV93" s="8" t="s">
        <v>49</v>
      </c>
      <c r="AW93" s="8" t="s">
        <v>57</v>
      </c>
      <c r="AX93" s="8" t="s">
        <v>55</v>
      </c>
      <c r="AY93" s="8" t="s">
        <v>58</v>
      </c>
      <c r="AZ93" s="8" t="s">
        <v>59</v>
      </c>
      <c r="BA93" s="8" t="s">
        <v>55</v>
      </c>
      <c r="BB93" s="8" t="s">
        <v>49</v>
      </c>
      <c r="BC93" s="8" t="s">
        <v>49</v>
      </c>
      <c r="BD93" s="8" t="s">
        <v>106</v>
      </c>
      <c r="BE93" s="8" t="s">
        <v>55</v>
      </c>
      <c r="BF93" s="8" t="s">
        <v>49</v>
      </c>
      <c r="BG93" s="8" t="s">
        <v>571</v>
      </c>
      <c r="BH93" s="8" t="s">
        <v>61</v>
      </c>
      <c r="BI93" s="8" t="s">
        <v>62</v>
      </c>
      <c r="BJ93" s="8" t="s">
        <v>63</v>
      </c>
      <c r="BK93" s="8">
        <v>2002</v>
      </c>
      <c r="BL93">
        <v>1</v>
      </c>
      <c r="BR93">
        <f t="shared" si="6"/>
        <v>224</v>
      </c>
      <c r="BS93">
        <v>168</v>
      </c>
      <c r="BT93">
        <f t="shared" si="5"/>
        <v>1</v>
      </c>
    </row>
    <row r="94" spans="1:72" x14ac:dyDescent="0.2">
      <c r="A94" s="19" t="s">
        <v>159</v>
      </c>
      <c r="B94" s="1">
        <v>462</v>
      </c>
      <c r="C94">
        <v>1</v>
      </c>
      <c r="D94" t="s">
        <v>48</v>
      </c>
      <c r="E94" s="2" t="s">
        <v>49</v>
      </c>
      <c r="F94">
        <v>462</v>
      </c>
      <c r="G94">
        <v>462</v>
      </c>
      <c r="H94" s="2">
        <v>253</v>
      </c>
      <c r="I94" s="3">
        <v>253</v>
      </c>
      <c r="J94" s="4">
        <f>253-9</f>
        <v>244</v>
      </c>
      <c r="Q94" s="4" t="s">
        <v>51</v>
      </c>
      <c r="W94" s="8">
        <v>6</v>
      </c>
      <c r="X94" s="8">
        <v>12</v>
      </c>
      <c r="Y94" s="4">
        <f>J94</f>
        <v>244</v>
      </c>
      <c r="Z94" s="4">
        <v>1</v>
      </c>
      <c r="AM94">
        <v>71</v>
      </c>
      <c r="AN94" t="s">
        <v>52</v>
      </c>
      <c r="AO94" t="s">
        <v>53</v>
      </c>
      <c r="AP94">
        <v>-26184</v>
      </c>
      <c r="AQ94">
        <v>0</v>
      </c>
      <c r="AR94" t="s">
        <v>54</v>
      </c>
      <c r="AS94" t="s">
        <v>55</v>
      </c>
      <c r="AT94" t="s">
        <v>55</v>
      </c>
      <c r="AU94" t="s">
        <v>56</v>
      </c>
      <c r="AV94" t="s">
        <v>49</v>
      </c>
      <c r="AW94" t="s">
        <v>57</v>
      </c>
      <c r="AX94" t="s">
        <v>55</v>
      </c>
      <c r="AY94" t="s">
        <v>58</v>
      </c>
      <c r="AZ94" t="s">
        <v>59</v>
      </c>
      <c r="BA94" t="s">
        <v>55</v>
      </c>
      <c r="BB94" t="s">
        <v>49</v>
      </c>
      <c r="BC94" t="s">
        <v>49</v>
      </c>
      <c r="BD94" t="s">
        <v>66</v>
      </c>
      <c r="BE94" t="s">
        <v>55</v>
      </c>
      <c r="BF94" t="s">
        <v>49</v>
      </c>
      <c r="BG94" t="s">
        <v>60</v>
      </c>
      <c r="BH94" t="s">
        <v>61</v>
      </c>
      <c r="BI94" t="s">
        <v>62</v>
      </c>
      <c r="BJ94" t="s">
        <v>63</v>
      </c>
      <c r="BK94">
        <v>2003</v>
      </c>
      <c r="BL94">
        <v>1</v>
      </c>
      <c r="BR94">
        <f t="shared" si="6"/>
        <v>133</v>
      </c>
      <c r="BS94">
        <v>120</v>
      </c>
      <c r="BT94">
        <f t="shared" si="5"/>
        <v>1</v>
      </c>
    </row>
    <row r="95" spans="1:72" x14ac:dyDescent="0.2">
      <c r="A95" s="19" t="s">
        <v>160</v>
      </c>
      <c r="B95" s="1">
        <v>541</v>
      </c>
      <c r="C95">
        <v>1</v>
      </c>
      <c r="D95" t="s">
        <v>48</v>
      </c>
      <c r="E95" s="2" t="s">
        <v>49</v>
      </c>
      <c r="F95">
        <v>541</v>
      </c>
      <c r="G95">
        <v>541</v>
      </c>
      <c r="H95" s="2" t="s">
        <v>49</v>
      </c>
      <c r="I95" s="3">
        <v>541</v>
      </c>
      <c r="P95" t="s">
        <v>755</v>
      </c>
      <c r="Q95" t="s">
        <v>50</v>
      </c>
      <c r="AM95">
        <v>71</v>
      </c>
      <c r="AN95" t="s">
        <v>52</v>
      </c>
      <c r="AO95" t="s">
        <v>49</v>
      </c>
      <c r="AP95">
        <v>-26086</v>
      </c>
      <c r="AQ95">
        <v>0</v>
      </c>
      <c r="AR95" t="s">
        <v>54</v>
      </c>
      <c r="AS95" t="s">
        <v>49</v>
      </c>
      <c r="AT95" t="s">
        <v>49</v>
      </c>
      <c r="AU95" t="s">
        <v>161</v>
      </c>
      <c r="AV95" t="s">
        <v>49</v>
      </c>
      <c r="AW95" t="s">
        <v>57</v>
      </c>
      <c r="AX95" t="s">
        <v>55</v>
      </c>
      <c r="AY95" t="s">
        <v>49</v>
      </c>
      <c r="AZ95" t="s">
        <v>59</v>
      </c>
      <c r="BA95" t="s">
        <v>49</v>
      </c>
      <c r="BB95" t="s">
        <v>49</v>
      </c>
      <c r="BC95" t="s">
        <v>49</v>
      </c>
      <c r="BD95" t="s">
        <v>49</v>
      </c>
      <c r="BE95" t="s">
        <v>49</v>
      </c>
      <c r="BF95" t="s">
        <v>49</v>
      </c>
      <c r="BG95" t="s">
        <v>60</v>
      </c>
      <c r="BH95" t="s">
        <v>82</v>
      </c>
      <c r="BI95" t="s">
        <v>62</v>
      </c>
      <c r="BJ95" t="s">
        <v>63</v>
      </c>
      <c r="BK95">
        <v>2003</v>
      </c>
      <c r="BT95">
        <f t="shared" si="5"/>
        <v>0</v>
      </c>
    </row>
    <row r="96" spans="1:72" x14ac:dyDescent="0.2">
      <c r="A96" s="19" t="s">
        <v>573</v>
      </c>
      <c r="B96" s="1">
        <v>1678</v>
      </c>
      <c r="C96">
        <v>1</v>
      </c>
      <c r="D96" s="8" t="s">
        <v>48</v>
      </c>
      <c r="E96" s="12" t="s">
        <v>49</v>
      </c>
      <c r="F96" s="8">
        <v>1678</v>
      </c>
      <c r="G96" s="8">
        <v>1678</v>
      </c>
      <c r="H96" s="12">
        <v>653</v>
      </c>
      <c r="I96" s="3">
        <v>653</v>
      </c>
      <c r="J96" s="8">
        <f>653-7</f>
        <v>646</v>
      </c>
      <c r="K96" s="8"/>
      <c r="L96" s="8"/>
      <c r="M96" s="8"/>
      <c r="N96" s="8"/>
      <c r="O96" s="8"/>
      <c r="P96" s="8" t="s">
        <v>779</v>
      </c>
      <c r="Q96" s="8" t="s">
        <v>78</v>
      </c>
      <c r="R96" s="8"/>
      <c r="S96" s="8"/>
      <c r="T96" s="8"/>
      <c r="U96" s="8"/>
      <c r="V96" s="8"/>
      <c r="W96" s="8">
        <v>10</v>
      </c>
      <c r="X96" s="8">
        <v>18</v>
      </c>
      <c r="Y96" s="8"/>
      <c r="Z96" s="8"/>
      <c r="AA96" s="8"/>
      <c r="AB96" s="8"/>
      <c r="AC96" s="8"/>
      <c r="AD96" s="8"/>
      <c r="AE96" s="8"/>
      <c r="AF96" s="8"/>
      <c r="AG96" s="8"/>
      <c r="AH96" s="8"/>
      <c r="AI96" s="8"/>
      <c r="AJ96" s="8"/>
      <c r="AK96" s="8"/>
      <c r="AL96" s="8"/>
      <c r="AM96" s="8">
        <v>44</v>
      </c>
      <c r="AN96" s="8" t="s">
        <v>52</v>
      </c>
      <c r="AO96" s="8" t="s">
        <v>53</v>
      </c>
      <c r="AP96" s="8">
        <v>-16303</v>
      </c>
      <c r="AQ96" s="8">
        <v>0</v>
      </c>
      <c r="AR96" s="8" t="s">
        <v>54</v>
      </c>
      <c r="AS96" s="8" t="s">
        <v>55</v>
      </c>
      <c r="AT96" s="8" t="s">
        <v>55</v>
      </c>
      <c r="AU96" s="8" t="s">
        <v>56</v>
      </c>
      <c r="AV96" s="8" t="s">
        <v>49</v>
      </c>
      <c r="AW96" s="8" t="s">
        <v>57</v>
      </c>
      <c r="AX96" s="8" t="s">
        <v>55</v>
      </c>
      <c r="AY96" s="8" t="s">
        <v>58</v>
      </c>
      <c r="AZ96" s="8" t="s">
        <v>59</v>
      </c>
      <c r="BA96" s="8" t="s">
        <v>55</v>
      </c>
      <c r="BB96" s="8" t="s">
        <v>49</v>
      </c>
      <c r="BC96" s="8" t="s">
        <v>49</v>
      </c>
      <c r="BD96" s="8" t="s">
        <v>66</v>
      </c>
      <c r="BE96" s="8" t="s">
        <v>55</v>
      </c>
      <c r="BF96" s="8" t="s">
        <v>49</v>
      </c>
      <c r="BG96" s="8" t="s">
        <v>571</v>
      </c>
      <c r="BH96" s="8" t="s">
        <v>61</v>
      </c>
      <c r="BI96" s="8" t="s">
        <v>62</v>
      </c>
      <c r="BJ96" s="8" t="s">
        <v>63</v>
      </c>
      <c r="BK96" s="8">
        <v>1999</v>
      </c>
      <c r="BL96">
        <v>1</v>
      </c>
      <c r="BR96">
        <f>I96-BS96</f>
        <v>387</v>
      </c>
      <c r="BS96">
        <v>266</v>
      </c>
      <c r="BT96">
        <f t="shared" si="5"/>
        <v>1</v>
      </c>
    </row>
    <row r="97" spans="1:72" x14ac:dyDescent="0.2">
      <c r="A97" s="19" t="s">
        <v>162</v>
      </c>
      <c r="B97" s="1">
        <v>75</v>
      </c>
      <c r="C97">
        <v>1</v>
      </c>
      <c r="D97" t="s">
        <v>48</v>
      </c>
      <c r="E97" s="2">
        <v>34</v>
      </c>
      <c r="F97">
        <v>75</v>
      </c>
      <c r="G97">
        <v>75</v>
      </c>
      <c r="H97" s="2" t="s">
        <v>49</v>
      </c>
      <c r="I97" s="3">
        <v>34</v>
      </c>
      <c r="J97" s="11">
        <f>34-19</f>
        <v>15</v>
      </c>
      <c r="Q97" s="11" t="s">
        <v>90</v>
      </c>
      <c r="W97" s="8">
        <v>2</v>
      </c>
      <c r="X97" s="8">
        <v>2</v>
      </c>
      <c r="AA97" s="11">
        <f>J97</f>
        <v>15</v>
      </c>
      <c r="AB97" s="11">
        <v>1</v>
      </c>
      <c r="AM97">
        <v>75</v>
      </c>
      <c r="AN97" t="s">
        <v>52</v>
      </c>
      <c r="AO97" t="s">
        <v>53</v>
      </c>
      <c r="AP97">
        <v>-27438</v>
      </c>
      <c r="AQ97">
        <v>0</v>
      </c>
      <c r="AR97" t="s">
        <v>54</v>
      </c>
      <c r="AS97" t="s">
        <v>55</v>
      </c>
      <c r="AT97" t="s">
        <v>55</v>
      </c>
      <c r="AU97" t="s">
        <v>56</v>
      </c>
      <c r="AV97" t="s">
        <v>49</v>
      </c>
      <c r="AW97" t="s">
        <v>57</v>
      </c>
      <c r="AX97" t="s">
        <v>55</v>
      </c>
      <c r="AY97" t="s">
        <v>81</v>
      </c>
      <c r="AZ97" t="s">
        <v>59</v>
      </c>
      <c r="BA97" t="s">
        <v>55</v>
      </c>
      <c r="BB97" t="s">
        <v>49</v>
      </c>
      <c r="BC97" t="s">
        <v>49</v>
      </c>
      <c r="BD97" t="s">
        <v>106</v>
      </c>
      <c r="BE97" t="s">
        <v>55</v>
      </c>
      <c r="BF97" t="s">
        <v>49</v>
      </c>
      <c r="BG97" t="s">
        <v>60</v>
      </c>
      <c r="BH97" t="s">
        <v>61</v>
      </c>
      <c r="BI97" t="s">
        <v>83</v>
      </c>
      <c r="BJ97" t="s">
        <v>63</v>
      </c>
      <c r="BK97">
        <v>2003</v>
      </c>
      <c r="BL97">
        <v>1</v>
      </c>
      <c r="BR97">
        <f>I97-BS97</f>
        <v>-7</v>
      </c>
      <c r="BS97">
        <v>41</v>
      </c>
      <c r="BT97">
        <f t="shared" si="5"/>
        <v>1</v>
      </c>
    </row>
    <row r="98" spans="1:72" x14ac:dyDescent="0.2">
      <c r="A98" s="19" t="s">
        <v>163</v>
      </c>
      <c r="B98" s="1">
        <v>340</v>
      </c>
      <c r="C98">
        <v>1</v>
      </c>
      <c r="D98" t="s">
        <v>48</v>
      </c>
      <c r="E98" s="2" t="s">
        <v>49</v>
      </c>
      <c r="F98">
        <v>340</v>
      </c>
      <c r="G98">
        <v>340</v>
      </c>
      <c r="H98" s="2">
        <v>293</v>
      </c>
      <c r="I98" s="3">
        <v>293</v>
      </c>
      <c r="J98" s="4">
        <f>293-36</f>
        <v>257</v>
      </c>
      <c r="Q98" s="4" t="s">
        <v>51</v>
      </c>
      <c r="W98" s="8">
        <v>9</v>
      </c>
      <c r="X98" s="8">
        <v>15</v>
      </c>
      <c r="Y98" s="4">
        <f>J98</f>
        <v>257</v>
      </c>
      <c r="Z98" s="4">
        <v>1</v>
      </c>
      <c r="AM98">
        <v>71</v>
      </c>
      <c r="AN98" t="s">
        <v>52</v>
      </c>
      <c r="AO98" t="s">
        <v>53</v>
      </c>
      <c r="AP98">
        <v>-25999</v>
      </c>
      <c r="AQ98">
        <v>0</v>
      </c>
      <c r="AR98" t="s">
        <v>54</v>
      </c>
      <c r="AS98" t="s">
        <v>55</v>
      </c>
      <c r="AT98" t="s">
        <v>55</v>
      </c>
      <c r="AU98" t="s">
        <v>56</v>
      </c>
      <c r="AV98" t="s">
        <v>49</v>
      </c>
      <c r="AW98" t="s">
        <v>57</v>
      </c>
      <c r="AX98" t="s">
        <v>55</v>
      </c>
      <c r="AY98" t="s">
        <v>58</v>
      </c>
      <c r="AZ98" t="s">
        <v>59</v>
      </c>
      <c r="BA98" t="s">
        <v>55</v>
      </c>
      <c r="BB98" t="s">
        <v>49</v>
      </c>
      <c r="BC98" t="s">
        <v>49</v>
      </c>
      <c r="BD98" t="s">
        <v>66</v>
      </c>
      <c r="BE98" t="s">
        <v>55</v>
      </c>
      <c r="BF98" t="s">
        <v>49</v>
      </c>
      <c r="BG98" t="s">
        <v>60</v>
      </c>
      <c r="BH98" t="s">
        <v>61</v>
      </c>
      <c r="BI98" t="s">
        <v>62</v>
      </c>
      <c r="BJ98" t="s">
        <v>63</v>
      </c>
      <c r="BK98">
        <v>2005</v>
      </c>
      <c r="BL98">
        <v>1</v>
      </c>
      <c r="BR98">
        <f>I98-BS98</f>
        <v>27</v>
      </c>
      <c r="BS98">
        <v>266</v>
      </c>
      <c r="BT98">
        <f t="shared" si="5"/>
        <v>1</v>
      </c>
    </row>
    <row r="99" spans="1:72" x14ac:dyDescent="0.2">
      <c r="A99" s="19" t="s">
        <v>164</v>
      </c>
      <c r="B99" s="1">
        <v>346</v>
      </c>
      <c r="C99">
        <v>1</v>
      </c>
      <c r="D99" t="s">
        <v>48</v>
      </c>
      <c r="E99" s="2">
        <v>211</v>
      </c>
      <c r="F99">
        <v>346</v>
      </c>
      <c r="G99">
        <v>346</v>
      </c>
      <c r="H99" s="2" t="s">
        <v>49</v>
      </c>
      <c r="I99" s="3">
        <v>211</v>
      </c>
      <c r="J99" s="4">
        <f>211-48</f>
        <v>163</v>
      </c>
      <c r="Q99" s="4" t="s">
        <v>51</v>
      </c>
      <c r="W99" s="8">
        <v>8</v>
      </c>
      <c r="X99" s="8">
        <v>16</v>
      </c>
      <c r="Y99" s="4">
        <f>J99</f>
        <v>163</v>
      </c>
      <c r="Z99" s="4">
        <v>1</v>
      </c>
      <c r="AM99">
        <v>60</v>
      </c>
      <c r="AN99" t="s">
        <v>52</v>
      </c>
      <c r="AO99" t="s">
        <v>53</v>
      </c>
      <c r="AP99">
        <v>-22088</v>
      </c>
      <c r="AQ99">
        <v>0</v>
      </c>
      <c r="AR99" t="s">
        <v>54</v>
      </c>
      <c r="AS99" t="s">
        <v>55</v>
      </c>
      <c r="AT99" t="s">
        <v>55</v>
      </c>
      <c r="AU99" t="s">
        <v>56</v>
      </c>
      <c r="AV99" t="s">
        <v>49</v>
      </c>
      <c r="AW99" t="s">
        <v>57</v>
      </c>
      <c r="AX99" t="s">
        <v>55</v>
      </c>
      <c r="AY99" t="s">
        <v>114</v>
      </c>
      <c r="AZ99" t="s">
        <v>59</v>
      </c>
      <c r="BA99" t="s">
        <v>55</v>
      </c>
      <c r="BB99" t="s">
        <v>49</v>
      </c>
      <c r="BC99" t="s">
        <v>49</v>
      </c>
      <c r="BD99" t="s">
        <v>106</v>
      </c>
      <c r="BE99" t="s">
        <v>55</v>
      </c>
      <c r="BF99" t="s">
        <v>49</v>
      </c>
      <c r="BG99" t="s">
        <v>60</v>
      </c>
      <c r="BH99" t="s">
        <v>61</v>
      </c>
      <c r="BI99" t="s">
        <v>83</v>
      </c>
      <c r="BJ99" t="s">
        <v>63</v>
      </c>
      <c r="BK99">
        <v>2005</v>
      </c>
      <c r="BL99">
        <v>1</v>
      </c>
      <c r="BR99">
        <f>I99-BS99</f>
        <v>51</v>
      </c>
      <c r="BS99">
        <v>160</v>
      </c>
      <c r="BT99">
        <f t="shared" si="5"/>
        <v>1</v>
      </c>
    </row>
    <row r="100" spans="1:72" x14ac:dyDescent="0.2">
      <c r="A100" s="19" t="s">
        <v>165</v>
      </c>
      <c r="B100" s="1">
        <v>351</v>
      </c>
      <c r="C100">
        <v>1</v>
      </c>
      <c r="D100" t="s">
        <v>48</v>
      </c>
      <c r="E100" s="2" t="s">
        <v>49</v>
      </c>
      <c r="F100">
        <v>351</v>
      </c>
      <c r="G100">
        <v>351</v>
      </c>
      <c r="H100" s="2" t="s">
        <v>49</v>
      </c>
      <c r="I100" s="3">
        <v>351</v>
      </c>
      <c r="J100" t="s">
        <v>50</v>
      </c>
      <c r="P100" t="s">
        <v>755</v>
      </c>
      <c r="Q100" t="s">
        <v>50</v>
      </c>
      <c r="AM100">
        <v>63</v>
      </c>
      <c r="AN100" t="s">
        <v>52</v>
      </c>
      <c r="AO100" t="s">
        <v>53</v>
      </c>
      <c r="AP100">
        <v>-23036</v>
      </c>
      <c r="AQ100">
        <v>0</v>
      </c>
      <c r="AR100" t="s">
        <v>54</v>
      </c>
      <c r="AS100" t="s">
        <v>55</v>
      </c>
      <c r="AT100" t="s">
        <v>55</v>
      </c>
      <c r="AU100" t="s">
        <v>166</v>
      </c>
      <c r="AV100" t="s">
        <v>49</v>
      </c>
      <c r="AW100" t="s">
        <v>49</v>
      </c>
      <c r="AX100" t="s">
        <v>55</v>
      </c>
      <c r="AY100" t="s">
        <v>49</v>
      </c>
      <c r="AZ100" t="s">
        <v>59</v>
      </c>
      <c r="BA100" t="s">
        <v>55</v>
      </c>
      <c r="BB100" t="s">
        <v>49</v>
      </c>
      <c r="BC100" t="s">
        <v>49</v>
      </c>
      <c r="BD100" t="s">
        <v>49</v>
      </c>
      <c r="BE100" t="s">
        <v>55</v>
      </c>
      <c r="BF100" t="s">
        <v>49</v>
      </c>
      <c r="BG100" t="s">
        <v>60</v>
      </c>
      <c r="BH100" t="s">
        <v>71</v>
      </c>
      <c r="BI100" t="s">
        <v>83</v>
      </c>
      <c r="BJ100" t="s">
        <v>63</v>
      </c>
      <c r="BK100">
        <v>2006</v>
      </c>
      <c r="BT100">
        <f t="shared" si="5"/>
        <v>0</v>
      </c>
    </row>
    <row r="101" spans="1:72" x14ac:dyDescent="0.2">
      <c r="A101" s="19" t="s">
        <v>167</v>
      </c>
      <c r="B101" s="1">
        <v>1036</v>
      </c>
      <c r="C101">
        <v>0</v>
      </c>
      <c r="D101" t="s">
        <v>68</v>
      </c>
      <c r="E101" s="2" t="s">
        <v>49</v>
      </c>
      <c r="F101" t="s">
        <v>49</v>
      </c>
      <c r="G101">
        <v>1036</v>
      </c>
      <c r="H101" s="2">
        <v>423</v>
      </c>
      <c r="I101" s="3">
        <v>423</v>
      </c>
      <c r="J101" s="4">
        <f>423-52</f>
        <v>371</v>
      </c>
      <c r="P101" t="s">
        <v>780</v>
      </c>
      <c r="Q101" s="4" t="s">
        <v>51</v>
      </c>
      <c r="W101">
        <v>8</v>
      </c>
      <c r="X101">
        <v>16</v>
      </c>
      <c r="Y101" s="4">
        <f t="shared" ref="Y101:Y121" si="8">J101</f>
        <v>371</v>
      </c>
      <c r="Z101" s="4">
        <v>1</v>
      </c>
      <c r="AM101">
        <v>51</v>
      </c>
      <c r="AN101" t="s">
        <v>52</v>
      </c>
      <c r="AO101" t="s">
        <v>53</v>
      </c>
      <c r="AP101">
        <v>-18697</v>
      </c>
      <c r="AQ101">
        <v>0</v>
      </c>
      <c r="AR101" t="s">
        <v>54</v>
      </c>
      <c r="AS101" t="s">
        <v>55</v>
      </c>
      <c r="AT101" t="s">
        <v>55</v>
      </c>
      <c r="AU101" t="s">
        <v>56</v>
      </c>
      <c r="AV101" t="s">
        <v>49</v>
      </c>
      <c r="AW101" t="s">
        <v>57</v>
      </c>
      <c r="AX101" t="s">
        <v>55</v>
      </c>
      <c r="AY101" t="s">
        <v>58</v>
      </c>
      <c r="AZ101" t="s">
        <v>59</v>
      </c>
      <c r="BA101" t="s">
        <v>55</v>
      </c>
      <c r="BB101" t="s">
        <v>49</v>
      </c>
      <c r="BC101" t="s">
        <v>49</v>
      </c>
      <c r="BD101" t="s">
        <v>66</v>
      </c>
      <c r="BE101" t="s">
        <v>55</v>
      </c>
      <c r="BF101" t="s">
        <v>49</v>
      </c>
      <c r="BG101" t="s">
        <v>60</v>
      </c>
      <c r="BH101" t="s">
        <v>71</v>
      </c>
      <c r="BI101" t="s">
        <v>83</v>
      </c>
      <c r="BJ101" t="s">
        <v>63</v>
      </c>
      <c r="BK101">
        <v>2006</v>
      </c>
      <c r="BL101">
        <v>1</v>
      </c>
      <c r="BR101">
        <f>I101-BS101</f>
        <v>203</v>
      </c>
      <c r="BS101">
        <v>220</v>
      </c>
      <c r="BT101">
        <f t="shared" si="5"/>
        <v>1</v>
      </c>
    </row>
    <row r="102" spans="1:72" x14ac:dyDescent="0.2">
      <c r="A102" s="19" t="s">
        <v>168</v>
      </c>
      <c r="B102" s="1">
        <v>981</v>
      </c>
      <c r="C102">
        <v>0</v>
      </c>
      <c r="D102" t="s">
        <v>68</v>
      </c>
      <c r="E102" s="2" t="s">
        <v>49</v>
      </c>
      <c r="F102" t="s">
        <v>49</v>
      </c>
      <c r="G102">
        <v>981</v>
      </c>
      <c r="H102" s="2" t="s">
        <v>49</v>
      </c>
      <c r="I102" s="3" t="s">
        <v>69</v>
      </c>
      <c r="J102" s="4">
        <v>953</v>
      </c>
      <c r="Q102" s="4" t="s">
        <v>51</v>
      </c>
      <c r="W102">
        <v>6</v>
      </c>
      <c r="X102">
        <v>12</v>
      </c>
      <c r="Y102" s="4">
        <f t="shared" si="8"/>
        <v>953</v>
      </c>
      <c r="Z102" s="4">
        <v>0</v>
      </c>
      <c r="AM102">
        <v>65</v>
      </c>
      <c r="AN102" t="s">
        <v>52</v>
      </c>
      <c r="AO102" t="s">
        <v>53</v>
      </c>
      <c r="AP102">
        <v>-23960</v>
      </c>
      <c r="AQ102">
        <v>0</v>
      </c>
      <c r="AR102" t="s">
        <v>54</v>
      </c>
      <c r="AS102" t="s">
        <v>55</v>
      </c>
      <c r="AT102" t="s">
        <v>55</v>
      </c>
      <c r="AU102" t="s">
        <v>56</v>
      </c>
      <c r="AV102" t="s">
        <v>49</v>
      </c>
      <c r="AW102" t="s">
        <v>70</v>
      </c>
      <c r="AX102" t="s">
        <v>55</v>
      </c>
      <c r="AY102" t="s">
        <v>58</v>
      </c>
      <c r="AZ102" t="s">
        <v>59</v>
      </c>
      <c r="BA102" t="s">
        <v>55</v>
      </c>
      <c r="BB102" t="s">
        <v>49</v>
      </c>
      <c r="BC102" t="s">
        <v>49</v>
      </c>
      <c r="BD102" t="s">
        <v>49</v>
      </c>
      <c r="BE102" t="s">
        <v>55</v>
      </c>
      <c r="BF102" t="s">
        <v>49</v>
      </c>
      <c r="BG102" t="s">
        <v>60</v>
      </c>
      <c r="BH102" t="s">
        <v>71</v>
      </c>
      <c r="BI102" t="s">
        <v>62</v>
      </c>
      <c r="BJ102" t="s">
        <v>63</v>
      </c>
      <c r="BK102">
        <v>2006</v>
      </c>
      <c r="BL102">
        <v>0</v>
      </c>
      <c r="BR102">
        <f>B102-BS102</f>
        <v>840</v>
      </c>
      <c r="BS102">
        <v>141</v>
      </c>
      <c r="BT102">
        <f t="shared" si="5"/>
        <v>1</v>
      </c>
    </row>
    <row r="103" spans="1:72" x14ac:dyDescent="0.2">
      <c r="A103" s="19" t="s">
        <v>169</v>
      </c>
      <c r="B103" s="1">
        <v>944</v>
      </c>
      <c r="C103">
        <v>0</v>
      </c>
      <c r="D103" t="s">
        <v>68</v>
      </c>
      <c r="E103" s="2" t="s">
        <v>49</v>
      </c>
      <c r="F103" t="s">
        <v>49</v>
      </c>
      <c r="G103">
        <v>944</v>
      </c>
      <c r="H103" s="2">
        <v>272</v>
      </c>
      <c r="I103" s="3">
        <v>272</v>
      </c>
      <c r="J103" s="4">
        <f>272-55</f>
        <v>217</v>
      </c>
      <c r="P103" t="s">
        <v>822</v>
      </c>
      <c r="Q103" s="4" t="s">
        <v>51</v>
      </c>
      <c r="W103">
        <v>6</v>
      </c>
      <c r="X103">
        <v>12</v>
      </c>
      <c r="Y103" s="4">
        <f t="shared" si="8"/>
        <v>217</v>
      </c>
      <c r="Z103" s="4">
        <v>1</v>
      </c>
      <c r="AM103">
        <v>62</v>
      </c>
      <c r="AN103" t="s">
        <v>52</v>
      </c>
      <c r="AO103" t="s">
        <v>53</v>
      </c>
      <c r="AP103">
        <v>-22965</v>
      </c>
      <c r="AQ103">
        <v>0</v>
      </c>
      <c r="AR103" t="s">
        <v>54</v>
      </c>
      <c r="AS103" t="s">
        <v>55</v>
      </c>
      <c r="AT103" t="s">
        <v>55</v>
      </c>
      <c r="AU103" t="s">
        <v>49</v>
      </c>
      <c r="AV103" t="s">
        <v>49</v>
      </c>
      <c r="AW103" t="s">
        <v>57</v>
      </c>
      <c r="AX103" t="s">
        <v>55</v>
      </c>
      <c r="AY103" t="s">
        <v>114</v>
      </c>
      <c r="AZ103" t="s">
        <v>59</v>
      </c>
      <c r="BA103" t="s">
        <v>55</v>
      </c>
      <c r="BB103" t="s">
        <v>49</v>
      </c>
      <c r="BC103" t="s">
        <v>49</v>
      </c>
      <c r="BD103" t="s">
        <v>66</v>
      </c>
      <c r="BE103" t="s">
        <v>53</v>
      </c>
      <c r="BF103" t="s">
        <v>49</v>
      </c>
      <c r="BG103" t="s">
        <v>60</v>
      </c>
      <c r="BH103" t="s">
        <v>61</v>
      </c>
      <c r="BI103" t="s">
        <v>83</v>
      </c>
      <c r="BJ103" t="s">
        <v>63</v>
      </c>
      <c r="BK103">
        <v>2006</v>
      </c>
      <c r="BL103">
        <v>1</v>
      </c>
      <c r="BR103">
        <f>I103-BS103</f>
        <v>112</v>
      </c>
      <c r="BS103">
        <v>160</v>
      </c>
      <c r="BT103">
        <f t="shared" si="5"/>
        <v>1</v>
      </c>
    </row>
    <row r="104" spans="1:72" x14ac:dyDescent="0.2">
      <c r="A104" s="19" t="s">
        <v>170</v>
      </c>
      <c r="B104" s="1">
        <v>869</v>
      </c>
      <c r="C104">
        <v>0</v>
      </c>
      <c r="D104" t="s">
        <v>68</v>
      </c>
      <c r="E104" s="2" t="s">
        <v>49</v>
      </c>
      <c r="F104" t="s">
        <v>49</v>
      </c>
      <c r="G104">
        <v>869</v>
      </c>
      <c r="H104" s="2">
        <v>668</v>
      </c>
      <c r="I104" s="3">
        <v>668</v>
      </c>
      <c r="J104" s="4">
        <f>668-50</f>
        <v>618</v>
      </c>
      <c r="P104" t="s">
        <v>781</v>
      </c>
      <c r="Q104" s="4" t="s">
        <v>51</v>
      </c>
      <c r="W104">
        <v>6</v>
      </c>
      <c r="X104">
        <v>12</v>
      </c>
      <c r="Y104" s="4">
        <f t="shared" si="8"/>
        <v>618</v>
      </c>
      <c r="Z104" s="4">
        <v>1</v>
      </c>
      <c r="AM104">
        <v>50</v>
      </c>
      <c r="AN104" t="s">
        <v>52</v>
      </c>
      <c r="AO104" t="s">
        <v>53</v>
      </c>
      <c r="AP104">
        <v>-18574</v>
      </c>
      <c r="AQ104">
        <v>0</v>
      </c>
      <c r="AR104" t="s">
        <v>54</v>
      </c>
      <c r="AS104" t="s">
        <v>55</v>
      </c>
      <c r="AT104" t="s">
        <v>55</v>
      </c>
      <c r="AU104" t="s">
        <v>56</v>
      </c>
      <c r="AV104" t="s">
        <v>49</v>
      </c>
      <c r="AW104" t="s">
        <v>57</v>
      </c>
      <c r="AX104" t="s">
        <v>55</v>
      </c>
      <c r="AY104" t="s">
        <v>58</v>
      </c>
      <c r="AZ104" t="s">
        <v>59</v>
      </c>
      <c r="BA104" t="s">
        <v>55</v>
      </c>
      <c r="BB104" t="s">
        <v>49</v>
      </c>
      <c r="BC104" t="s">
        <v>49</v>
      </c>
      <c r="BD104" t="s">
        <v>66</v>
      </c>
      <c r="BE104" t="s">
        <v>53</v>
      </c>
      <c r="BF104" t="s">
        <v>49</v>
      </c>
      <c r="BG104" t="s">
        <v>60</v>
      </c>
      <c r="BH104" t="s">
        <v>61</v>
      </c>
      <c r="BI104" t="s">
        <v>62</v>
      </c>
      <c r="BJ104" t="s">
        <v>63</v>
      </c>
      <c r="BK104">
        <v>2006</v>
      </c>
      <c r="BL104">
        <v>1</v>
      </c>
      <c r="BR104">
        <f>I104-BS104</f>
        <v>505</v>
      </c>
      <c r="BS104">
        <v>163</v>
      </c>
      <c r="BT104">
        <f t="shared" si="5"/>
        <v>1</v>
      </c>
    </row>
    <row r="105" spans="1:72" x14ac:dyDescent="0.2">
      <c r="A105" s="19" t="s">
        <v>171</v>
      </c>
      <c r="B105" s="1">
        <v>651</v>
      </c>
      <c r="C105">
        <v>0</v>
      </c>
      <c r="D105" t="s">
        <v>68</v>
      </c>
      <c r="E105" s="2" t="s">
        <v>49</v>
      </c>
      <c r="F105" t="s">
        <v>49</v>
      </c>
      <c r="G105">
        <v>651</v>
      </c>
      <c r="H105" s="2">
        <v>628</v>
      </c>
      <c r="I105" s="3">
        <v>628</v>
      </c>
      <c r="J105" s="4">
        <v>628</v>
      </c>
      <c r="Q105" s="4" t="s">
        <v>51</v>
      </c>
      <c r="W105">
        <v>6</v>
      </c>
      <c r="X105">
        <v>8</v>
      </c>
      <c r="Y105" s="4">
        <f t="shared" si="8"/>
        <v>628</v>
      </c>
      <c r="Z105" s="4">
        <v>1</v>
      </c>
      <c r="AM105">
        <v>42</v>
      </c>
      <c r="AN105" t="s">
        <v>52</v>
      </c>
      <c r="AO105" t="s">
        <v>53</v>
      </c>
      <c r="AP105">
        <v>-15570</v>
      </c>
      <c r="AQ105">
        <v>0</v>
      </c>
      <c r="AR105" t="s">
        <v>54</v>
      </c>
      <c r="AS105" t="s">
        <v>55</v>
      </c>
      <c r="AT105" t="s">
        <v>55</v>
      </c>
      <c r="AU105" t="s">
        <v>56</v>
      </c>
      <c r="AV105" t="s">
        <v>49</v>
      </c>
      <c r="AW105" t="s">
        <v>57</v>
      </c>
      <c r="AX105" t="s">
        <v>55</v>
      </c>
      <c r="AY105" t="s">
        <v>58</v>
      </c>
      <c r="AZ105" t="s">
        <v>59</v>
      </c>
      <c r="BA105" t="s">
        <v>55</v>
      </c>
      <c r="BB105" t="s">
        <v>49</v>
      </c>
      <c r="BC105" t="s">
        <v>49</v>
      </c>
      <c r="BD105" t="s">
        <v>66</v>
      </c>
      <c r="BE105" t="s">
        <v>55</v>
      </c>
      <c r="BF105" t="s">
        <v>49</v>
      </c>
      <c r="BG105" t="s">
        <v>60</v>
      </c>
      <c r="BH105" t="s">
        <v>61</v>
      </c>
      <c r="BI105" t="s">
        <v>62</v>
      </c>
      <c r="BJ105" t="s">
        <v>63</v>
      </c>
      <c r="BK105">
        <v>2006</v>
      </c>
      <c r="BL105">
        <v>1</v>
      </c>
      <c r="BR105">
        <f>I105-BS105</f>
        <v>446</v>
      </c>
      <c r="BS105">
        <v>182</v>
      </c>
      <c r="BT105">
        <f t="shared" si="5"/>
        <v>1</v>
      </c>
    </row>
    <row r="106" spans="1:72" x14ac:dyDescent="0.2">
      <c r="A106" s="19" t="s">
        <v>172</v>
      </c>
      <c r="B106" s="1">
        <v>256</v>
      </c>
      <c r="C106">
        <v>0</v>
      </c>
      <c r="D106" t="s">
        <v>68</v>
      </c>
      <c r="E106" s="2" t="s">
        <v>49</v>
      </c>
      <c r="F106" t="s">
        <v>49</v>
      </c>
      <c r="G106">
        <v>256</v>
      </c>
      <c r="H106" s="2" t="s">
        <v>49</v>
      </c>
      <c r="I106" s="3" t="s">
        <v>69</v>
      </c>
      <c r="J106" s="4">
        <v>220</v>
      </c>
      <c r="Q106" s="4" t="s">
        <v>51</v>
      </c>
      <c r="W106">
        <v>6</v>
      </c>
      <c r="X106">
        <v>12</v>
      </c>
      <c r="Y106" s="4">
        <f t="shared" si="8"/>
        <v>220</v>
      </c>
      <c r="Z106" s="4">
        <v>0</v>
      </c>
      <c r="AM106">
        <v>73</v>
      </c>
      <c r="AN106" t="s">
        <v>52</v>
      </c>
      <c r="AO106" t="s">
        <v>53</v>
      </c>
      <c r="AP106">
        <v>-26999</v>
      </c>
      <c r="AQ106">
        <v>0</v>
      </c>
      <c r="AR106" t="s">
        <v>54</v>
      </c>
      <c r="AS106" t="s">
        <v>55</v>
      </c>
      <c r="AT106" t="s">
        <v>55</v>
      </c>
      <c r="AU106" t="s">
        <v>56</v>
      </c>
      <c r="AV106" t="s">
        <v>49</v>
      </c>
      <c r="AW106" t="s">
        <v>70</v>
      </c>
      <c r="AX106" t="s">
        <v>55</v>
      </c>
      <c r="AY106" t="s">
        <v>58</v>
      </c>
      <c r="AZ106" t="s">
        <v>59</v>
      </c>
      <c r="BA106" t="s">
        <v>55</v>
      </c>
      <c r="BB106" t="s">
        <v>49</v>
      </c>
      <c r="BC106" t="s">
        <v>49</v>
      </c>
      <c r="BD106" t="s">
        <v>49</v>
      </c>
      <c r="BE106" t="s">
        <v>55</v>
      </c>
      <c r="BF106" t="s">
        <v>49</v>
      </c>
      <c r="BG106" t="s">
        <v>60</v>
      </c>
      <c r="BH106" t="s">
        <v>61</v>
      </c>
      <c r="BI106" t="s">
        <v>62</v>
      </c>
      <c r="BJ106" t="s">
        <v>63</v>
      </c>
      <c r="BK106">
        <v>2008</v>
      </c>
      <c r="BL106">
        <v>0</v>
      </c>
      <c r="BR106">
        <f>B106-BS106</f>
        <v>109</v>
      </c>
      <c r="BS106">
        <v>147</v>
      </c>
      <c r="BT106">
        <f t="shared" si="5"/>
        <v>1</v>
      </c>
    </row>
    <row r="107" spans="1:72" x14ac:dyDescent="0.2">
      <c r="A107" s="19" t="s">
        <v>173</v>
      </c>
      <c r="B107" s="1">
        <v>1184</v>
      </c>
      <c r="C107">
        <v>0</v>
      </c>
      <c r="D107" t="s">
        <v>68</v>
      </c>
      <c r="E107" s="2" t="s">
        <v>49</v>
      </c>
      <c r="F107" t="s">
        <v>49</v>
      </c>
      <c r="G107">
        <v>1184</v>
      </c>
      <c r="H107" s="2">
        <v>281</v>
      </c>
      <c r="I107" s="3">
        <v>281</v>
      </c>
      <c r="J107" s="4">
        <f>281-36</f>
        <v>245</v>
      </c>
      <c r="K107" s="5">
        <v>177</v>
      </c>
      <c r="L107" s="9">
        <v>175</v>
      </c>
      <c r="M107" s="7">
        <v>140</v>
      </c>
      <c r="N107" s="11">
        <f>1184-794</f>
        <v>390</v>
      </c>
      <c r="Q107" s="4" t="s">
        <v>51</v>
      </c>
      <c r="R107" s="5" t="s">
        <v>65</v>
      </c>
      <c r="S107" s="9" t="s">
        <v>80</v>
      </c>
      <c r="T107" s="7" t="s">
        <v>75</v>
      </c>
      <c r="U107" s="11" t="s">
        <v>90</v>
      </c>
      <c r="W107">
        <v>10</v>
      </c>
      <c r="X107">
        <v>16</v>
      </c>
      <c r="Y107" s="4">
        <f t="shared" si="8"/>
        <v>245</v>
      </c>
      <c r="Z107" s="4">
        <v>1</v>
      </c>
      <c r="AA107" s="11">
        <f>N107</f>
        <v>390</v>
      </c>
      <c r="AB107" s="11">
        <v>0</v>
      </c>
      <c r="AE107" s="5">
        <f>K107</f>
        <v>177</v>
      </c>
      <c r="AF107" s="5">
        <v>1</v>
      </c>
      <c r="AG107" s="9">
        <f>L107</f>
        <v>175</v>
      </c>
      <c r="AH107" s="9">
        <v>1</v>
      </c>
      <c r="AI107" s="7">
        <f>M107</f>
        <v>140</v>
      </c>
      <c r="AJ107" s="7">
        <v>1</v>
      </c>
      <c r="AK107" s="8"/>
      <c r="AL107" s="8"/>
      <c r="AM107">
        <v>58</v>
      </c>
      <c r="AN107" t="s">
        <v>52</v>
      </c>
      <c r="AO107" t="s">
        <v>53</v>
      </c>
      <c r="AP107">
        <v>-21379</v>
      </c>
      <c r="AQ107">
        <v>0</v>
      </c>
      <c r="AR107" t="s">
        <v>54</v>
      </c>
      <c r="AS107" t="s">
        <v>55</v>
      </c>
      <c r="AT107" t="s">
        <v>55</v>
      </c>
      <c r="AU107" t="s">
        <v>56</v>
      </c>
      <c r="AV107" t="s">
        <v>49</v>
      </c>
      <c r="AW107" t="s">
        <v>57</v>
      </c>
      <c r="AX107" t="s">
        <v>55</v>
      </c>
      <c r="AY107" t="s">
        <v>58</v>
      </c>
      <c r="AZ107" t="s">
        <v>59</v>
      </c>
      <c r="BA107" t="s">
        <v>55</v>
      </c>
      <c r="BB107" t="s">
        <v>49</v>
      </c>
      <c r="BC107" t="s">
        <v>49</v>
      </c>
      <c r="BD107" t="s">
        <v>106</v>
      </c>
      <c r="BE107" t="s">
        <v>55</v>
      </c>
      <c r="BF107" t="s">
        <v>49</v>
      </c>
      <c r="BG107" t="s">
        <v>60</v>
      </c>
      <c r="BH107" t="s">
        <v>71</v>
      </c>
      <c r="BI107" t="s">
        <v>62</v>
      </c>
      <c r="BJ107" t="s">
        <v>63</v>
      </c>
      <c r="BK107">
        <v>2005</v>
      </c>
      <c r="BL107">
        <v>1</v>
      </c>
      <c r="BM107">
        <v>1</v>
      </c>
      <c r="BN107">
        <v>1</v>
      </c>
      <c r="BO107">
        <v>1</v>
      </c>
      <c r="BP107">
        <v>0</v>
      </c>
      <c r="BR107">
        <f t="shared" ref="BR107:BR112" si="9">I107-BS107</f>
        <v>140</v>
      </c>
      <c r="BS107">
        <v>141</v>
      </c>
      <c r="BT107">
        <f t="shared" si="5"/>
        <v>5</v>
      </c>
    </row>
    <row r="108" spans="1:72" x14ac:dyDescent="0.2">
      <c r="A108" s="19" t="s">
        <v>174</v>
      </c>
      <c r="B108" s="1">
        <v>1117</v>
      </c>
      <c r="C108">
        <v>0</v>
      </c>
      <c r="D108" t="s">
        <v>68</v>
      </c>
      <c r="E108" s="2" t="s">
        <v>49</v>
      </c>
      <c r="F108" t="s">
        <v>49</v>
      </c>
      <c r="G108">
        <v>1117</v>
      </c>
      <c r="H108" s="2">
        <v>816</v>
      </c>
      <c r="I108" s="3">
        <v>816</v>
      </c>
      <c r="J108" s="4">
        <f>816-34</f>
        <v>782</v>
      </c>
      <c r="P108" t="s">
        <v>780</v>
      </c>
      <c r="Q108" s="4" t="s">
        <v>51</v>
      </c>
      <c r="W108">
        <v>6</v>
      </c>
      <c r="X108">
        <v>12</v>
      </c>
      <c r="Y108" s="4">
        <f t="shared" si="8"/>
        <v>782</v>
      </c>
      <c r="Z108" s="4">
        <v>1</v>
      </c>
      <c r="AM108">
        <v>40</v>
      </c>
      <c r="AN108" t="s">
        <v>52</v>
      </c>
      <c r="AO108" t="s">
        <v>53</v>
      </c>
      <c r="AP108">
        <v>-14729</v>
      </c>
      <c r="AQ108">
        <v>0</v>
      </c>
      <c r="AR108" t="s">
        <v>54</v>
      </c>
      <c r="AS108" t="s">
        <v>55</v>
      </c>
      <c r="AT108" t="s">
        <v>55</v>
      </c>
      <c r="AU108" t="s">
        <v>56</v>
      </c>
      <c r="AV108" t="s">
        <v>49</v>
      </c>
      <c r="AW108" t="s">
        <v>57</v>
      </c>
      <c r="AX108" t="s">
        <v>55</v>
      </c>
      <c r="AY108" t="s">
        <v>58</v>
      </c>
      <c r="AZ108" t="s">
        <v>59</v>
      </c>
      <c r="BA108" t="s">
        <v>55</v>
      </c>
      <c r="BB108" t="s">
        <v>49</v>
      </c>
      <c r="BC108" t="s">
        <v>49</v>
      </c>
      <c r="BD108" t="s">
        <v>66</v>
      </c>
      <c r="BE108" t="s">
        <v>55</v>
      </c>
      <c r="BF108" t="s">
        <v>49</v>
      </c>
      <c r="BG108" t="s">
        <v>60</v>
      </c>
      <c r="BH108" t="s">
        <v>71</v>
      </c>
      <c r="BI108" t="s">
        <v>62</v>
      </c>
      <c r="BJ108" t="s">
        <v>63</v>
      </c>
      <c r="BK108">
        <v>2005</v>
      </c>
      <c r="BL108">
        <v>1</v>
      </c>
      <c r="BR108">
        <f t="shared" si="9"/>
        <v>656</v>
      </c>
      <c r="BS108">
        <v>160</v>
      </c>
      <c r="BT108">
        <f t="shared" si="5"/>
        <v>1</v>
      </c>
    </row>
    <row r="109" spans="1:72" x14ac:dyDescent="0.2">
      <c r="A109" s="19" t="s">
        <v>175</v>
      </c>
      <c r="B109" s="1">
        <v>873</v>
      </c>
      <c r="C109">
        <v>0</v>
      </c>
      <c r="D109" t="s">
        <v>68</v>
      </c>
      <c r="E109" s="2" t="s">
        <v>49</v>
      </c>
      <c r="F109" t="s">
        <v>49</v>
      </c>
      <c r="G109">
        <v>873</v>
      </c>
      <c r="H109" s="2">
        <v>351</v>
      </c>
      <c r="I109" s="3">
        <v>351</v>
      </c>
      <c r="J109" s="4">
        <f>351-47</f>
        <v>304</v>
      </c>
      <c r="P109" t="s">
        <v>780</v>
      </c>
      <c r="Q109" s="4" t="s">
        <v>51</v>
      </c>
      <c r="W109">
        <v>6</v>
      </c>
      <c r="X109">
        <v>12</v>
      </c>
      <c r="Y109" s="4">
        <f t="shared" si="8"/>
        <v>304</v>
      </c>
      <c r="Z109" s="4">
        <v>1</v>
      </c>
      <c r="AM109">
        <v>40</v>
      </c>
      <c r="AN109" t="s">
        <v>101</v>
      </c>
      <c r="AO109" t="s">
        <v>53</v>
      </c>
      <c r="AP109">
        <v>-14707</v>
      </c>
      <c r="AQ109">
        <v>0</v>
      </c>
      <c r="AR109" t="s">
        <v>54</v>
      </c>
      <c r="AS109" t="s">
        <v>55</v>
      </c>
      <c r="AT109" t="s">
        <v>53</v>
      </c>
      <c r="AU109" t="s">
        <v>56</v>
      </c>
      <c r="AV109" t="s">
        <v>49</v>
      </c>
      <c r="AW109" t="s">
        <v>57</v>
      </c>
      <c r="AX109" t="s">
        <v>55</v>
      </c>
      <c r="AY109" t="s">
        <v>58</v>
      </c>
      <c r="AZ109" t="s">
        <v>59</v>
      </c>
      <c r="BA109" t="s">
        <v>55</v>
      </c>
      <c r="BB109" t="s">
        <v>49</v>
      </c>
      <c r="BC109" t="s">
        <v>49</v>
      </c>
      <c r="BD109" t="s">
        <v>66</v>
      </c>
      <c r="BE109" t="s">
        <v>55</v>
      </c>
      <c r="BF109" t="s">
        <v>49</v>
      </c>
      <c r="BG109" t="s">
        <v>60</v>
      </c>
      <c r="BH109" t="s">
        <v>61</v>
      </c>
      <c r="BI109" t="s">
        <v>83</v>
      </c>
      <c r="BJ109" t="s">
        <v>63</v>
      </c>
      <c r="BK109">
        <v>2006</v>
      </c>
      <c r="BL109">
        <v>1</v>
      </c>
      <c r="BR109">
        <f t="shared" si="9"/>
        <v>192</v>
      </c>
      <c r="BS109">
        <v>159</v>
      </c>
      <c r="BT109">
        <f t="shared" si="5"/>
        <v>1</v>
      </c>
    </row>
    <row r="110" spans="1:72" x14ac:dyDescent="0.2">
      <c r="A110" s="19" t="s">
        <v>176</v>
      </c>
      <c r="B110" s="1">
        <v>923</v>
      </c>
      <c r="C110">
        <v>0</v>
      </c>
      <c r="D110" t="s">
        <v>68</v>
      </c>
      <c r="E110" s="2" t="s">
        <v>49</v>
      </c>
      <c r="F110" t="s">
        <v>49</v>
      </c>
      <c r="G110">
        <v>923</v>
      </c>
      <c r="H110" s="2">
        <v>845</v>
      </c>
      <c r="I110" s="3">
        <v>845</v>
      </c>
      <c r="J110" s="4">
        <f>845-26</f>
        <v>819</v>
      </c>
      <c r="P110" t="s">
        <v>780</v>
      </c>
      <c r="Q110" s="4" t="s">
        <v>51</v>
      </c>
      <c r="W110">
        <v>6</v>
      </c>
      <c r="X110">
        <v>12</v>
      </c>
      <c r="Y110" s="4">
        <f t="shared" si="8"/>
        <v>819</v>
      </c>
      <c r="Z110" s="4">
        <v>1</v>
      </c>
      <c r="AM110">
        <v>60</v>
      </c>
      <c r="AN110" t="s">
        <v>52</v>
      </c>
      <c r="AO110" t="s">
        <v>53</v>
      </c>
      <c r="AP110">
        <v>-21945</v>
      </c>
      <c r="AQ110">
        <v>0</v>
      </c>
      <c r="AR110" t="s">
        <v>54</v>
      </c>
      <c r="AS110" t="s">
        <v>55</v>
      </c>
      <c r="AT110" t="s">
        <v>55</v>
      </c>
      <c r="AU110" t="s">
        <v>56</v>
      </c>
      <c r="AV110" t="s">
        <v>49</v>
      </c>
      <c r="AW110" t="s">
        <v>57</v>
      </c>
      <c r="AX110" t="s">
        <v>55</v>
      </c>
      <c r="AY110" t="s">
        <v>58</v>
      </c>
      <c r="AZ110" t="s">
        <v>59</v>
      </c>
      <c r="BA110" t="s">
        <v>55</v>
      </c>
      <c r="BB110" t="s">
        <v>49</v>
      </c>
      <c r="BC110" t="s">
        <v>49</v>
      </c>
      <c r="BD110" t="s">
        <v>106</v>
      </c>
      <c r="BE110" t="s">
        <v>55</v>
      </c>
      <c r="BF110" t="s">
        <v>49</v>
      </c>
      <c r="BG110" t="s">
        <v>60</v>
      </c>
      <c r="BH110" t="s">
        <v>61</v>
      </c>
      <c r="BI110" t="s">
        <v>62</v>
      </c>
      <c r="BJ110" t="s">
        <v>63</v>
      </c>
      <c r="BK110">
        <v>2006</v>
      </c>
      <c r="BL110">
        <v>1</v>
      </c>
      <c r="BR110">
        <f t="shared" si="9"/>
        <v>713</v>
      </c>
      <c r="BS110">
        <v>132</v>
      </c>
      <c r="BT110">
        <f t="shared" si="5"/>
        <v>1</v>
      </c>
    </row>
    <row r="111" spans="1:72" x14ac:dyDescent="0.2">
      <c r="A111" s="19" t="s">
        <v>177</v>
      </c>
      <c r="B111" s="1">
        <v>595</v>
      </c>
      <c r="C111">
        <v>0</v>
      </c>
      <c r="D111" t="s">
        <v>68</v>
      </c>
      <c r="E111" s="2" t="s">
        <v>49</v>
      </c>
      <c r="F111" t="s">
        <v>49</v>
      </c>
      <c r="G111">
        <v>595</v>
      </c>
      <c r="H111" s="2">
        <v>325</v>
      </c>
      <c r="I111" s="3">
        <v>325</v>
      </c>
      <c r="J111" s="4">
        <f>325-100</f>
        <v>225</v>
      </c>
      <c r="P111" t="s">
        <v>780</v>
      </c>
      <c r="Q111" s="4" t="s">
        <v>51</v>
      </c>
      <c r="W111">
        <v>6</v>
      </c>
      <c r="X111">
        <v>12</v>
      </c>
      <c r="Y111" s="4">
        <f t="shared" si="8"/>
        <v>225</v>
      </c>
      <c r="Z111" s="4">
        <v>1</v>
      </c>
      <c r="AM111">
        <v>66</v>
      </c>
      <c r="AN111" t="s">
        <v>52</v>
      </c>
      <c r="AO111" t="s">
        <v>53</v>
      </c>
      <c r="AP111">
        <v>-24403</v>
      </c>
      <c r="AQ111">
        <v>0</v>
      </c>
      <c r="AR111" t="s">
        <v>54</v>
      </c>
      <c r="AS111" t="s">
        <v>55</v>
      </c>
      <c r="AT111" t="s">
        <v>55</v>
      </c>
      <c r="AU111" t="s">
        <v>161</v>
      </c>
      <c r="AV111" t="s">
        <v>49</v>
      </c>
      <c r="AW111" t="s">
        <v>57</v>
      </c>
      <c r="AX111" t="s">
        <v>55</v>
      </c>
      <c r="AY111" t="s">
        <v>58</v>
      </c>
      <c r="AZ111" t="s">
        <v>59</v>
      </c>
      <c r="BA111" t="s">
        <v>55</v>
      </c>
      <c r="BB111" t="s">
        <v>49</v>
      </c>
      <c r="BC111" t="s">
        <v>49</v>
      </c>
      <c r="BD111" t="s">
        <v>66</v>
      </c>
      <c r="BE111" t="s">
        <v>55</v>
      </c>
      <c r="BF111" t="s">
        <v>49</v>
      </c>
      <c r="BG111" t="s">
        <v>60</v>
      </c>
      <c r="BH111" t="s">
        <v>82</v>
      </c>
      <c r="BI111" t="s">
        <v>62</v>
      </c>
      <c r="BJ111" t="s">
        <v>63</v>
      </c>
      <c r="BK111">
        <v>2007</v>
      </c>
      <c r="BL111">
        <v>1</v>
      </c>
      <c r="BR111">
        <f t="shared" si="9"/>
        <v>121</v>
      </c>
      <c r="BS111">
        <v>204</v>
      </c>
      <c r="BT111">
        <f t="shared" si="5"/>
        <v>1</v>
      </c>
    </row>
    <row r="112" spans="1:72" x14ac:dyDescent="0.2">
      <c r="A112" s="19" t="s">
        <v>178</v>
      </c>
      <c r="B112" s="1">
        <v>265</v>
      </c>
      <c r="C112">
        <v>0</v>
      </c>
      <c r="D112" t="s">
        <v>68</v>
      </c>
      <c r="E112" s="2" t="s">
        <v>49</v>
      </c>
      <c r="F112" t="s">
        <v>49</v>
      </c>
      <c r="G112">
        <v>265</v>
      </c>
      <c r="H112" s="2">
        <v>224</v>
      </c>
      <c r="I112" s="3">
        <v>224</v>
      </c>
      <c r="J112" s="4">
        <f>224-41</f>
        <v>183</v>
      </c>
      <c r="P112" t="s">
        <v>780</v>
      </c>
      <c r="Q112" s="4" t="s">
        <v>51</v>
      </c>
      <c r="W112">
        <v>6</v>
      </c>
      <c r="X112">
        <v>12</v>
      </c>
      <c r="Y112" s="4">
        <f t="shared" si="8"/>
        <v>183</v>
      </c>
      <c r="Z112" s="4">
        <v>1</v>
      </c>
      <c r="AM112">
        <v>49</v>
      </c>
      <c r="AN112" t="s">
        <v>52</v>
      </c>
      <c r="AO112" t="s">
        <v>53</v>
      </c>
      <c r="AP112">
        <v>-18051</v>
      </c>
      <c r="AQ112">
        <v>0</v>
      </c>
      <c r="AR112" t="s">
        <v>54</v>
      </c>
      <c r="AS112" t="s">
        <v>55</v>
      </c>
      <c r="AT112" t="s">
        <v>55</v>
      </c>
      <c r="AU112" t="s">
        <v>56</v>
      </c>
      <c r="AV112" t="s">
        <v>49</v>
      </c>
      <c r="AW112" t="s">
        <v>70</v>
      </c>
      <c r="AX112" t="s">
        <v>55</v>
      </c>
      <c r="AY112" t="s">
        <v>58</v>
      </c>
      <c r="AZ112" t="s">
        <v>59</v>
      </c>
      <c r="BA112" t="s">
        <v>55</v>
      </c>
      <c r="BB112" t="s">
        <v>49</v>
      </c>
      <c r="BC112" t="s">
        <v>49</v>
      </c>
      <c r="BD112" t="s">
        <v>49</v>
      </c>
      <c r="BE112" t="s">
        <v>55</v>
      </c>
      <c r="BF112" t="s">
        <v>49</v>
      </c>
      <c r="BG112" t="s">
        <v>60</v>
      </c>
      <c r="BH112" t="s">
        <v>61</v>
      </c>
      <c r="BI112" t="s">
        <v>62</v>
      </c>
      <c r="BJ112" t="s">
        <v>63</v>
      </c>
      <c r="BK112">
        <v>2008</v>
      </c>
      <c r="BL112">
        <v>1</v>
      </c>
      <c r="BR112">
        <f t="shared" si="9"/>
        <v>79</v>
      </c>
      <c r="BS112">
        <v>145</v>
      </c>
      <c r="BT112">
        <f t="shared" si="5"/>
        <v>1</v>
      </c>
    </row>
    <row r="113" spans="1:72" x14ac:dyDescent="0.2">
      <c r="A113" s="19" t="s">
        <v>179</v>
      </c>
      <c r="B113" s="1">
        <v>237</v>
      </c>
      <c r="C113">
        <v>0</v>
      </c>
      <c r="D113" t="s">
        <v>68</v>
      </c>
      <c r="E113" s="2" t="s">
        <v>49</v>
      </c>
      <c r="F113" t="s">
        <v>49</v>
      </c>
      <c r="G113">
        <v>237</v>
      </c>
      <c r="H113" s="2" t="s">
        <v>49</v>
      </c>
      <c r="I113" s="3" t="s">
        <v>69</v>
      </c>
      <c r="J113" s="4">
        <v>201</v>
      </c>
      <c r="Q113" s="4" t="s">
        <v>51</v>
      </c>
      <c r="W113">
        <v>6</v>
      </c>
      <c r="X113">
        <v>12</v>
      </c>
      <c r="Y113" s="4">
        <f t="shared" si="8"/>
        <v>201</v>
      </c>
      <c r="Z113" s="4">
        <v>0</v>
      </c>
      <c r="AM113">
        <v>44</v>
      </c>
      <c r="AN113" t="s">
        <v>52</v>
      </c>
      <c r="AO113" t="s">
        <v>53</v>
      </c>
      <c r="AP113">
        <v>-16170</v>
      </c>
      <c r="AQ113">
        <v>0</v>
      </c>
      <c r="AR113" t="s">
        <v>54</v>
      </c>
      <c r="AS113" t="s">
        <v>55</v>
      </c>
      <c r="AT113" t="s">
        <v>55</v>
      </c>
      <c r="AU113" t="s">
        <v>56</v>
      </c>
      <c r="AV113" t="s">
        <v>49</v>
      </c>
      <c r="AW113" t="s">
        <v>70</v>
      </c>
      <c r="AX113" t="s">
        <v>55</v>
      </c>
      <c r="AY113" t="s">
        <v>58</v>
      </c>
      <c r="AZ113" t="s">
        <v>180</v>
      </c>
      <c r="BA113" t="s">
        <v>55</v>
      </c>
      <c r="BB113" t="s">
        <v>49</v>
      </c>
      <c r="BC113" t="s">
        <v>49</v>
      </c>
      <c r="BD113" t="s">
        <v>49</v>
      </c>
      <c r="BE113" t="s">
        <v>55</v>
      </c>
      <c r="BF113" t="s">
        <v>49</v>
      </c>
      <c r="BG113" t="s">
        <v>60</v>
      </c>
      <c r="BH113" t="s">
        <v>71</v>
      </c>
      <c r="BI113" t="s">
        <v>62</v>
      </c>
      <c r="BJ113" t="s">
        <v>63</v>
      </c>
      <c r="BK113">
        <v>2008</v>
      </c>
      <c r="BL113">
        <v>0</v>
      </c>
      <c r="BR113">
        <f>B113-BS113</f>
        <v>91</v>
      </c>
      <c r="BS113">
        <v>146</v>
      </c>
      <c r="BT113">
        <f t="shared" si="5"/>
        <v>1</v>
      </c>
    </row>
    <row r="114" spans="1:72" x14ac:dyDescent="0.2">
      <c r="A114" s="19" t="s">
        <v>181</v>
      </c>
      <c r="B114" s="1">
        <v>247</v>
      </c>
      <c r="C114">
        <v>0</v>
      </c>
      <c r="D114" t="s">
        <v>68</v>
      </c>
      <c r="E114" s="2" t="s">
        <v>49</v>
      </c>
      <c r="F114" t="s">
        <v>49</v>
      </c>
      <c r="G114">
        <v>247</v>
      </c>
      <c r="H114" s="2" t="s">
        <v>49</v>
      </c>
      <c r="I114" s="3" t="s">
        <v>69</v>
      </c>
      <c r="J114" s="4">
        <v>217</v>
      </c>
      <c r="Q114" s="4" t="s">
        <v>51</v>
      </c>
      <c r="W114">
        <v>6</v>
      </c>
      <c r="X114">
        <v>12</v>
      </c>
      <c r="Y114" s="4">
        <f t="shared" si="8"/>
        <v>217</v>
      </c>
      <c r="Z114" s="4">
        <v>0</v>
      </c>
      <c r="AM114">
        <v>52</v>
      </c>
      <c r="AN114" t="s">
        <v>52</v>
      </c>
      <c r="AO114" t="s">
        <v>53</v>
      </c>
      <c r="AP114">
        <v>-19086</v>
      </c>
      <c r="AQ114">
        <v>0</v>
      </c>
      <c r="AR114" t="s">
        <v>54</v>
      </c>
      <c r="AS114" t="s">
        <v>55</v>
      </c>
      <c r="AT114" t="s">
        <v>55</v>
      </c>
      <c r="AU114" t="s">
        <v>56</v>
      </c>
      <c r="AV114" t="s">
        <v>49</v>
      </c>
      <c r="AW114" t="s">
        <v>70</v>
      </c>
      <c r="AX114" t="s">
        <v>55</v>
      </c>
      <c r="AY114" t="s">
        <v>58</v>
      </c>
      <c r="AZ114" t="s">
        <v>59</v>
      </c>
      <c r="BA114" t="s">
        <v>55</v>
      </c>
      <c r="BB114" t="s">
        <v>49</v>
      </c>
      <c r="BC114" t="s">
        <v>49</v>
      </c>
      <c r="BD114" t="s">
        <v>49</v>
      </c>
      <c r="BE114" t="s">
        <v>55</v>
      </c>
      <c r="BF114" t="s">
        <v>49</v>
      </c>
      <c r="BG114" t="s">
        <v>60</v>
      </c>
      <c r="BH114" t="s">
        <v>71</v>
      </c>
      <c r="BI114" t="s">
        <v>62</v>
      </c>
      <c r="BJ114" t="s">
        <v>63</v>
      </c>
      <c r="BK114">
        <v>2008</v>
      </c>
      <c r="BL114">
        <v>0</v>
      </c>
      <c r="BR114">
        <f>B114-BS114</f>
        <v>105</v>
      </c>
      <c r="BS114">
        <v>142</v>
      </c>
      <c r="BT114">
        <f t="shared" si="5"/>
        <v>1</v>
      </c>
    </row>
    <row r="115" spans="1:72" x14ac:dyDescent="0.2">
      <c r="A115" s="19" t="s">
        <v>182</v>
      </c>
      <c r="B115" s="1">
        <v>252</v>
      </c>
      <c r="C115">
        <v>0</v>
      </c>
      <c r="D115" t="s">
        <v>68</v>
      </c>
      <c r="E115" s="2" t="s">
        <v>49</v>
      </c>
      <c r="F115" t="s">
        <v>49</v>
      </c>
      <c r="G115">
        <v>252</v>
      </c>
      <c r="H115" s="2" t="s">
        <v>49</v>
      </c>
      <c r="I115" s="3" t="s">
        <v>69</v>
      </c>
      <c r="J115" s="4">
        <v>220</v>
      </c>
      <c r="Q115" s="4" t="s">
        <v>51</v>
      </c>
      <c r="W115">
        <v>6</v>
      </c>
      <c r="X115">
        <v>12</v>
      </c>
      <c r="Y115" s="4">
        <f t="shared" si="8"/>
        <v>220</v>
      </c>
      <c r="Z115" s="4">
        <v>0</v>
      </c>
      <c r="AM115">
        <v>46</v>
      </c>
      <c r="AN115" t="s">
        <v>52</v>
      </c>
      <c r="AO115" t="s">
        <v>53</v>
      </c>
      <c r="AP115">
        <v>-16811</v>
      </c>
      <c r="AQ115">
        <v>0</v>
      </c>
      <c r="AR115" t="s">
        <v>54</v>
      </c>
      <c r="AS115" t="s">
        <v>55</v>
      </c>
      <c r="AT115" t="s">
        <v>55</v>
      </c>
      <c r="AU115" t="s">
        <v>85</v>
      </c>
      <c r="AV115" t="s">
        <v>49</v>
      </c>
      <c r="AW115" t="s">
        <v>70</v>
      </c>
      <c r="AX115" t="s">
        <v>55</v>
      </c>
      <c r="AY115" t="s">
        <v>58</v>
      </c>
      <c r="AZ115" t="s">
        <v>111</v>
      </c>
      <c r="BA115" t="s">
        <v>55</v>
      </c>
      <c r="BB115" t="s">
        <v>49</v>
      </c>
      <c r="BC115" t="s">
        <v>49</v>
      </c>
      <c r="BD115" t="s">
        <v>49</v>
      </c>
      <c r="BE115" t="s">
        <v>55</v>
      </c>
      <c r="BF115" t="s">
        <v>49</v>
      </c>
      <c r="BG115" t="s">
        <v>60</v>
      </c>
      <c r="BH115" t="s">
        <v>71</v>
      </c>
      <c r="BI115" t="s">
        <v>62</v>
      </c>
      <c r="BJ115" t="s">
        <v>63</v>
      </c>
      <c r="BK115">
        <v>2008</v>
      </c>
      <c r="BL115">
        <v>0</v>
      </c>
      <c r="BR115">
        <f>B115-BS115</f>
        <v>108</v>
      </c>
      <c r="BS115">
        <v>144</v>
      </c>
      <c r="BT115">
        <f t="shared" si="5"/>
        <v>1</v>
      </c>
    </row>
    <row r="116" spans="1:72" x14ac:dyDescent="0.2">
      <c r="A116" s="19" t="s">
        <v>183</v>
      </c>
      <c r="B116" s="1">
        <v>249</v>
      </c>
      <c r="C116">
        <v>0</v>
      </c>
      <c r="D116" t="s">
        <v>68</v>
      </c>
      <c r="E116" s="2" t="s">
        <v>49</v>
      </c>
      <c r="F116" t="s">
        <v>49</v>
      </c>
      <c r="G116">
        <v>249</v>
      </c>
      <c r="H116" s="2" t="s">
        <v>49</v>
      </c>
      <c r="I116" s="3" t="s">
        <v>69</v>
      </c>
      <c r="J116" s="4">
        <v>187</v>
      </c>
      <c r="Q116" s="4" t="s">
        <v>51</v>
      </c>
      <c r="W116">
        <v>6</v>
      </c>
      <c r="X116">
        <v>12</v>
      </c>
      <c r="Y116" s="4">
        <f t="shared" si="8"/>
        <v>187</v>
      </c>
      <c r="Z116" s="4">
        <v>0</v>
      </c>
      <c r="AM116">
        <v>79</v>
      </c>
      <c r="AN116" t="s">
        <v>52</v>
      </c>
      <c r="AO116" t="s">
        <v>53</v>
      </c>
      <c r="AP116">
        <v>-29075</v>
      </c>
      <c r="AQ116">
        <v>0</v>
      </c>
      <c r="AR116" t="s">
        <v>54</v>
      </c>
      <c r="AS116" t="s">
        <v>55</v>
      </c>
      <c r="AT116" t="s">
        <v>55</v>
      </c>
      <c r="AU116" t="s">
        <v>56</v>
      </c>
      <c r="AV116" t="s">
        <v>49</v>
      </c>
      <c r="AW116" t="s">
        <v>70</v>
      </c>
      <c r="AX116" t="s">
        <v>55</v>
      </c>
      <c r="AY116" t="s">
        <v>58</v>
      </c>
      <c r="AZ116" t="s">
        <v>180</v>
      </c>
      <c r="BA116" t="s">
        <v>55</v>
      </c>
      <c r="BB116" t="s">
        <v>49</v>
      </c>
      <c r="BC116" t="s">
        <v>49</v>
      </c>
      <c r="BD116" t="s">
        <v>49</v>
      </c>
      <c r="BE116" t="s">
        <v>55</v>
      </c>
      <c r="BF116" t="s">
        <v>49</v>
      </c>
      <c r="BG116" t="s">
        <v>60</v>
      </c>
      <c r="BH116" t="s">
        <v>71</v>
      </c>
      <c r="BI116" t="s">
        <v>62</v>
      </c>
      <c r="BJ116" t="s">
        <v>63</v>
      </c>
      <c r="BK116">
        <v>2008</v>
      </c>
      <c r="BL116">
        <v>0</v>
      </c>
      <c r="BR116">
        <f>B116-BS116</f>
        <v>61</v>
      </c>
      <c r="BS116">
        <v>188</v>
      </c>
      <c r="BT116">
        <f t="shared" si="5"/>
        <v>1</v>
      </c>
    </row>
    <row r="117" spans="1:72" x14ac:dyDescent="0.2">
      <c r="A117" s="19" t="s">
        <v>184</v>
      </c>
      <c r="B117" s="1">
        <v>1333</v>
      </c>
      <c r="C117">
        <v>1</v>
      </c>
      <c r="D117" t="s">
        <v>48</v>
      </c>
      <c r="E117" s="2" t="s">
        <v>49</v>
      </c>
      <c r="F117">
        <v>1333</v>
      </c>
      <c r="G117">
        <v>1333</v>
      </c>
      <c r="H117" s="2">
        <v>336</v>
      </c>
      <c r="I117" s="3">
        <v>336</v>
      </c>
      <c r="J117" s="4">
        <v>336</v>
      </c>
      <c r="P117" t="s">
        <v>780</v>
      </c>
      <c r="Q117" s="4" t="s">
        <v>51</v>
      </c>
      <c r="W117">
        <v>6</v>
      </c>
      <c r="X117">
        <v>12</v>
      </c>
      <c r="Y117" s="4">
        <f t="shared" si="8"/>
        <v>336</v>
      </c>
      <c r="Z117" s="4">
        <v>1</v>
      </c>
      <c r="AM117">
        <v>81</v>
      </c>
      <c r="AN117" t="s">
        <v>52</v>
      </c>
      <c r="AO117" t="s">
        <v>53</v>
      </c>
      <c r="AP117">
        <v>-29685</v>
      </c>
      <c r="AQ117">
        <v>0</v>
      </c>
      <c r="AR117" t="s">
        <v>54</v>
      </c>
      <c r="AS117" t="s">
        <v>55</v>
      </c>
      <c r="AT117" t="s">
        <v>55</v>
      </c>
      <c r="AU117" t="s">
        <v>85</v>
      </c>
      <c r="AV117" t="s">
        <v>49</v>
      </c>
      <c r="AW117" t="s">
        <v>57</v>
      </c>
      <c r="AX117" t="s">
        <v>55</v>
      </c>
      <c r="AY117" t="s">
        <v>58</v>
      </c>
      <c r="AZ117" t="s">
        <v>59</v>
      </c>
      <c r="BA117" t="s">
        <v>55</v>
      </c>
      <c r="BB117" t="s">
        <v>49</v>
      </c>
      <c r="BC117" t="s">
        <v>49</v>
      </c>
      <c r="BD117" t="s">
        <v>49</v>
      </c>
      <c r="BE117" t="s">
        <v>55</v>
      </c>
      <c r="BF117" t="s">
        <v>49</v>
      </c>
      <c r="BG117" t="s">
        <v>60</v>
      </c>
      <c r="BH117" t="s">
        <v>71</v>
      </c>
      <c r="BI117" t="s">
        <v>62</v>
      </c>
      <c r="BJ117" t="s">
        <v>63</v>
      </c>
      <c r="BK117">
        <v>2001</v>
      </c>
      <c r="BL117">
        <v>1</v>
      </c>
      <c r="BR117">
        <f t="shared" ref="BR117:BR122" si="10">I117-BS117</f>
        <v>189</v>
      </c>
      <c r="BS117">
        <v>147</v>
      </c>
      <c r="BT117">
        <f t="shared" si="5"/>
        <v>1</v>
      </c>
    </row>
    <row r="118" spans="1:72" x14ac:dyDescent="0.2">
      <c r="A118" s="19" t="s">
        <v>185</v>
      </c>
      <c r="B118" s="1">
        <v>1073</v>
      </c>
      <c r="C118">
        <v>1</v>
      </c>
      <c r="D118" t="s">
        <v>48</v>
      </c>
      <c r="E118" s="2" t="s">
        <v>49</v>
      </c>
      <c r="F118">
        <v>1073</v>
      </c>
      <c r="G118">
        <v>1073</v>
      </c>
      <c r="H118" s="2">
        <v>329</v>
      </c>
      <c r="I118" s="3">
        <v>329</v>
      </c>
      <c r="J118" s="4">
        <f>329-26</f>
        <v>303</v>
      </c>
      <c r="P118" t="s">
        <v>780</v>
      </c>
      <c r="Q118" s="4" t="s">
        <v>51</v>
      </c>
      <c r="W118">
        <v>6</v>
      </c>
      <c r="X118">
        <v>12</v>
      </c>
      <c r="Y118" s="4">
        <f t="shared" si="8"/>
        <v>303</v>
      </c>
      <c r="Z118" s="4">
        <v>1</v>
      </c>
      <c r="AM118">
        <v>73</v>
      </c>
      <c r="AN118" t="s">
        <v>52</v>
      </c>
      <c r="AO118" t="s">
        <v>53</v>
      </c>
      <c r="AP118">
        <v>-27021</v>
      </c>
      <c r="AQ118">
        <v>0</v>
      </c>
      <c r="AR118" t="s">
        <v>54</v>
      </c>
      <c r="AS118" t="s">
        <v>55</v>
      </c>
      <c r="AT118" t="s">
        <v>55</v>
      </c>
      <c r="AU118" t="s">
        <v>85</v>
      </c>
      <c r="AV118" t="s">
        <v>49</v>
      </c>
      <c r="AW118" t="s">
        <v>57</v>
      </c>
      <c r="AX118" t="s">
        <v>55</v>
      </c>
      <c r="AY118" t="s">
        <v>58</v>
      </c>
      <c r="AZ118" t="s">
        <v>59</v>
      </c>
      <c r="BA118" t="s">
        <v>55</v>
      </c>
      <c r="BB118" t="s">
        <v>49</v>
      </c>
      <c r="BC118" t="s">
        <v>49</v>
      </c>
      <c r="BD118" t="s">
        <v>66</v>
      </c>
      <c r="BE118" t="s">
        <v>55</v>
      </c>
      <c r="BF118" t="s">
        <v>49</v>
      </c>
      <c r="BG118" t="s">
        <v>60</v>
      </c>
      <c r="BH118" t="s">
        <v>61</v>
      </c>
      <c r="BI118" t="s">
        <v>62</v>
      </c>
      <c r="BJ118" t="s">
        <v>63</v>
      </c>
      <c r="BK118">
        <v>2003</v>
      </c>
      <c r="BL118">
        <v>1</v>
      </c>
      <c r="BR118">
        <f t="shared" si="10"/>
        <v>168</v>
      </c>
      <c r="BS118">
        <v>161</v>
      </c>
      <c r="BT118">
        <f t="shared" si="5"/>
        <v>1</v>
      </c>
    </row>
    <row r="119" spans="1:72" x14ac:dyDescent="0.2">
      <c r="A119" s="19" t="s">
        <v>186</v>
      </c>
      <c r="B119" s="1">
        <v>1074</v>
      </c>
      <c r="C119">
        <v>1</v>
      </c>
      <c r="D119" t="s">
        <v>48</v>
      </c>
      <c r="E119" s="2">
        <v>176</v>
      </c>
      <c r="F119">
        <v>1074</v>
      </c>
      <c r="G119">
        <v>1073</v>
      </c>
      <c r="H119" s="2" t="s">
        <v>49</v>
      </c>
      <c r="I119" s="3">
        <v>176</v>
      </c>
      <c r="J119" s="4">
        <f>176-17</f>
        <v>159</v>
      </c>
      <c r="P119" t="s">
        <v>780</v>
      </c>
      <c r="Q119" s="4" t="s">
        <v>51</v>
      </c>
      <c r="W119">
        <v>6</v>
      </c>
      <c r="X119">
        <v>12</v>
      </c>
      <c r="Y119" s="4">
        <f t="shared" si="8"/>
        <v>159</v>
      </c>
      <c r="Z119" s="4">
        <v>1</v>
      </c>
      <c r="AM119">
        <v>57</v>
      </c>
      <c r="AN119" t="s">
        <v>52</v>
      </c>
      <c r="AO119" t="s">
        <v>53</v>
      </c>
      <c r="AP119">
        <v>-21014</v>
      </c>
      <c r="AQ119">
        <v>0</v>
      </c>
      <c r="AR119" t="s">
        <v>54</v>
      </c>
      <c r="AS119" t="s">
        <v>55</v>
      </c>
      <c r="AT119" t="s">
        <v>55</v>
      </c>
      <c r="AU119" t="s">
        <v>56</v>
      </c>
      <c r="AV119" t="s">
        <v>49</v>
      </c>
      <c r="AW119" t="s">
        <v>57</v>
      </c>
      <c r="AX119" t="s">
        <v>55</v>
      </c>
      <c r="AY119" t="s">
        <v>81</v>
      </c>
      <c r="AZ119" t="s">
        <v>59</v>
      </c>
      <c r="BA119" t="s">
        <v>55</v>
      </c>
      <c r="BB119" t="s">
        <v>49</v>
      </c>
      <c r="BC119" t="s">
        <v>49</v>
      </c>
      <c r="BD119" t="s">
        <v>66</v>
      </c>
      <c r="BE119" t="s">
        <v>55</v>
      </c>
      <c r="BF119" t="s">
        <v>49</v>
      </c>
      <c r="BG119" t="s">
        <v>60</v>
      </c>
      <c r="BH119" t="s">
        <v>61</v>
      </c>
      <c r="BI119" t="s">
        <v>62</v>
      </c>
      <c r="BJ119" t="s">
        <v>63</v>
      </c>
      <c r="BK119">
        <v>2005</v>
      </c>
      <c r="BL119">
        <v>1</v>
      </c>
      <c r="BR119">
        <f t="shared" si="10"/>
        <v>26</v>
      </c>
      <c r="BS119">
        <v>150</v>
      </c>
      <c r="BT119">
        <f t="shared" si="5"/>
        <v>1</v>
      </c>
    </row>
    <row r="120" spans="1:72" x14ac:dyDescent="0.2">
      <c r="A120" s="19" t="s">
        <v>187</v>
      </c>
      <c r="B120" s="1">
        <v>414</v>
      </c>
      <c r="C120">
        <v>1</v>
      </c>
      <c r="D120" t="s">
        <v>48</v>
      </c>
      <c r="E120" s="2" t="s">
        <v>49</v>
      </c>
      <c r="F120">
        <v>414</v>
      </c>
      <c r="G120">
        <v>414</v>
      </c>
      <c r="H120" s="2" t="s">
        <v>49</v>
      </c>
      <c r="I120" s="3">
        <v>414</v>
      </c>
      <c r="J120" s="4">
        <v>414</v>
      </c>
      <c r="P120" t="s">
        <v>782</v>
      </c>
      <c r="Q120" s="4" t="s">
        <v>51</v>
      </c>
      <c r="Y120" s="4">
        <f t="shared" si="8"/>
        <v>414</v>
      </c>
      <c r="Z120" s="4">
        <v>1</v>
      </c>
      <c r="AM120">
        <v>54</v>
      </c>
      <c r="AN120" t="s">
        <v>49</v>
      </c>
      <c r="AO120" t="s">
        <v>53</v>
      </c>
      <c r="AP120">
        <v>-19889</v>
      </c>
      <c r="AQ120">
        <v>0</v>
      </c>
      <c r="AR120" t="s">
        <v>54</v>
      </c>
      <c r="AS120" t="s">
        <v>55</v>
      </c>
      <c r="AT120" t="s">
        <v>55</v>
      </c>
      <c r="AU120" t="s">
        <v>56</v>
      </c>
      <c r="AV120">
        <v>807</v>
      </c>
      <c r="AW120" t="s">
        <v>49</v>
      </c>
      <c r="AX120" t="s">
        <v>55</v>
      </c>
      <c r="AY120" t="s">
        <v>49</v>
      </c>
      <c r="AZ120" t="s">
        <v>59</v>
      </c>
      <c r="BA120" t="s">
        <v>55</v>
      </c>
      <c r="BB120" t="s">
        <v>49</v>
      </c>
      <c r="BC120" t="s">
        <v>115</v>
      </c>
      <c r="BD120" t="s">
        <v>49</v>
      </c>
      <c r="BE120" t="s">
        <v>55</v>
      </c>
      <c r="BF120">
        <v>13</v>
      </c>
      <c r="BG120" t="s">
        <v>60</v>
      </c>
      <c r="BH120" t="s">
        <v>82</v>
      </c>
      <c r="BI120" t="s">
        <v>62</v>
      </c>
      <c r="BJ120" t="s">
        <v>63</v>
      </c>
      <c r="BK120">
        <v>2005</v>
      </c>
      <c r="BL120">
        <v>1</v>
      </c>
      <c r="BR120">
        <f t="shared" si="10"/>
        <v>284</v>
      </c>
      <c r="BS120">
        <v>130</v>
      </c>
      <c r="BT120">
        <f t="shared" si="5"/>
        <v>1</v>
      </c>
    </row>
    <row r="121" spans="1:72" x14ac:dyDescent="0.2">
      <c r="A121" s="19" t="s">
        <v>188</v>
      </c>
      <c r="B121" s="1">
        <v>2096</v>
      </c>
      <c r="C121">
        <v>1</v>
      </c>
      <c r="D121" t="s">
        <v>48</v>
      </c>
      <c r="E121" s="2" t="s">
        <v>49</v>
      </c>
      <c r="F121">
        <v>2096</v>
      </c>
      <c r="G121">
        <v>2096</v>
      </c>
      <c r="H121" s="2">
        <v>818</v>
      </c>
      <c r="I121" s="3">
        <v>818</v>
      </c>
      <c r="J121" s="4">
        <f>818-31</f>
        <v>787</v>
      </c>
      <c r="P121" t="s">
        <v>783</v>
      </c>
      <c r="Q121" s="4" t="s">
        <v>51</v>
      </c>
      <c r="W121">
        <v>12</v>
      </c>
      <c r="X121">
        <v>18</v>
      </c>
      <c r="Y121" s="4">
        <f t="shared" si="8"/>
        <v>787</v>
      </c>
      <c r="Z121" s="4">
        <v>1</v>
      </c>
      <c r="AM121">
        <v>61</v>
      </c>
      <c r="AN121" t="s">
        <v>52</v>
      </c>
      <c r="AO121" t="s">
        <v>53</v>
      </c>
      <c r="AP121">
        <v>-22395</v>
      </c>
      <c r="AQ121">
        <v>0</v>
      </c>
      <c r="AR121" t="s">
        <v>54</v>
      </c>
      <c r="AS121" t="s">
        <v>55</v>
      </c>
      <c r="AT121" t="s">
        <v>55</v>
      </c>
      <c r="AU121" t="s">
        <v>85</v>
      </c>
      <c r="AV121">
        <v>883</v>
      </c>
      <c r="AW121" t="s">
        <v>57</v>
      </c>
      <c r="AX121" t="s">
        <v>55</v>
      </c>
      <c r="AY121" t="s">
        <v>58</v>
      </c>
      <c r="AZ121" t="s">
        <v>59</v>
      </c>
      <c r="BA121" t="s">
        <v>55</v>
      </c>
      <c r="BB121" t="s">
        <v>49</v>
      </c>
      <c r="BC121" t="s">
        <v>49</v>
      </c>
      <c r="BD121" t="s">
        <v>106</v>
      </c>
      <c r="BE121" t="s">
        <v>55</v>
      </c>
      <c r="BF121">
        <v>13</v>
      </c>
      <c r="BG121" t="s">
        <v>60</v>
      </c>
      <c r="BH121" t="s">
        <v>61</v>
      </c>
      <c r="BI121" t="s">
        <v>62</v>
      </c>
      <c r="BJ121" t="s">
        <v>63</v>
      </c>
      <c r="BK121">
        <v>2002</v>
      </c>
      <c r="BL121">
        <v>1</v>
      </c>
      <c r="BR121">
        <f t="shared" si="10"/>
        <v>676</v>
      </c>
      <c r="BS121">
        <v>142</v>
      </c>
      <c r="BT121">
        <f t="shared" si="5"/>
        <v>1</v>
      </c>
    </row>
    <row r="122" spans="1:72" x14ac:dyDescent="0.2">
      <c r="A122" s="19" t="s">
        <v>189</v>
      </c>
      <c r="B122" s="1">
        <v>3260</v>
      </c>
      <c r="C122">
        <v>1</v>
      </c>
      <c r="D122" t="s">
        <v>48</v>
      </c>
      <c r="E122" s="2" t="s">
        <v>49</v>
      </c>
      <c r="F122">
        <v>3260</v>
      </c>
      <c r="G122">
        <v>3260</v>
      </c>
      <c r="H122" s="2">
        <v>1251</v>
      </c>
      <c r="I122" s="3">
        <v>1251</v>
      </c>
      <c r="J122">
        <f>1251-55</f>
        <v>1196</v>
      </c>
      <c r="P122" t="s">
        <v>780</v>
      </c>
      <c r="Q122" t="s">
        <v>78</v>
      </c>
      <c r="W122">
        <v>10</v>
      </c>
      <c r="X122">
        <v>26</v>
      </c>
      <c r="AM122">
        <v>39</v>
      </c>
      <c r="AN122" t="s">
        <v>52</v>
      </c>
      <c r="AO122" t="s">
        <v>53</v>
      </c>
      <c r="AP122">
        <v>-14538</v>
      </c>
      <c r="AQ122">
        <v>0</v>
      </c>
      <c r="AR122" t="s">
        <v>54</v>
      </c>
      <c r="AS122" t="s">
        <v>55</v>
      </c>
      <c r="AT122" t="s">
        <v>55</v>
      </c>
      <c r="AU122" t="s">
        <v>85</v>
      </c>
      <c r="AV122">
        <v>884</v>
      </c>
      <c r="AW122" t="s">
        <v>57</v>
      </c>
      <c r="AX122" t="s">
        <v>55</v>
      </c>
      <c r="AY122" t="s">
        <v>58</v>
      </c>
      <c r="AZ122" t="s">
        <v>59</v>
      </c>
      <c r="BA122" t="s">
        <v>55</v>
      </c>
      <c r="BB122" t="s">
        <v>49</v>
      </c>
      <c r="BC122" t="s">
        <v>49</v>
      </c>
      <c r="BD122" t="s">
        <v>106</v>
      </c>
      <c r="BE122" t="s">
        <v>55</v>
      </c>
      <c r="BF122">
        <v>13</v>
      </c>
      <c r="BG122" t="s">
        <v>60</v>
      </c>
      <c r="BH122" t="s">
        <v>61</v>
      </c>
      <c r="BI122" t="s">
        <v>62</v>
      </c>
      <c r="BJ122" t="s">
        <v>63</v>
      </c>
      <c r="BK122">
        <v>1999</v>
      </c>
      <c r="BL122">
        <v>1</v>
      </c>
      <c r="BR122">
        <f t="shared" si="10"/>
        <v>1060</v>
      </c>
      <c r="BS122">
        <v>191</v>
      </c>
      <c r="BT122">
        <f t="shared" si="5"/>
        <v>1</v>
      </c>
    </row>
    <row r="123" spans="1:72" x14ac:dyDescent="0.2">
      <c r="A123" s="19" t="s">
        <v>190</v>
      </c>
      <c r="B123" s="1">
        <v>2780</v>
      </c>
      <c r="C123">
        <v>0</v>
      </c>
      <c r="D123" t="s">
        <v>68</v>
      </c>
      <c r="E123" s="2" t="s">
        <v>49</v>
      </c>
      <c r="F123" t="s">
        <v>49</v>
      </c>
      <c r="G123">
        <v>2780</v>
      </c>
      <c r="H123" s="2" t="s">
        <v>49</v>
      </c>
      <c r="I123" s="3" t="s">
        <v>69</v>
      </c>
      <c r="J123" s="4">
        <v>2774</v>
      </c>
      <c r="Q123" s="4" t="s">
        <v>51</v>
      </c>
      <c r="W123">
        <v>9</v>
      </c>
      <c r="X123">
        <v>15</v>
      </c>
      <c r="Y123" s="4">
        <f t="shared" ref="Y123:Y143" si="11">J123</f>
        <v>2774</v>
      </c>
      <c r="Z123" s="4">
        <v>0</v>
      </c>
      <c r="AM123">
        <v>70</v>
      </c>
      <c r="AN123" t="s">
        <v>101</v>
      </c>
      <c r="AO123" t="s">
        <v>53</v>
      </c>
      <c r="AP123">
        <v>-25762</v>
      </c>
      <c r="AQ123">
        <v>0</v>
      </c>
      <c r="AR123" t="s">
        <v>54</v>
      </c>
      <c r="AS123" t="s">
        <v>55</v>
      </c>
      <c r="AT123" t="s">
        <v>55</v>
      </c>
      <c r="AU123" t="s">
        <v>85</v>
      </c>
      <c r="AV123">
        <v>885</v>
      </c>
      <c r="AW123" t="s">
        <v>49</v>
      </c>
      <c r="AX123" t="s">
        <v>55</v>
      </c>
      <c r="AY123" t="s">
        <v>58</v>
      </c>
      <c r="AZ123" t="s">
        <v>59</v>
      </c>
      <c r="BA123" t="s">
        <v>55</v>
      </c>
      <c r="BB123" t="s">
        <v>49</v>
      </c>
      <c r="BC123" t="s">
        <v>49</v>
      </c>
      <c r="BD123" t="s">
        <v>49</v>
      </c>
      <c r="BE123" t="s">
        <v>55</v>
      </c>
      <c r="BF123">
        <v>13</v>
      </c>
      <c r="BG123" t="s">
        <v>60</v>
      </c>
      <c r="BH123" t="s">
        <v>142</v>
      </c>
      <c r="BI123" t="s">
        <v>62</v>
      </c>
      <c r="BJ123" t="s">
        <v>63</v>
      </c>
      <c r="BK123">
        <v>2000</v>
      </c>
      <c r="BL123">
        <v>0</v>
      </c>
      <c r="BR123">
        <f>B123-BS123</f>
        <v>2572</v>
      </c>
      <c r="BS123">
        <v>208</v>
      </c>
      <c r="BT123">
        <f t="shared" si="5"/>
        <v>1</v>
      </c>
    </row>
    <row r="124" spans="1:72" x14ac:dyDescent="0.2">
      <c r="A124" s="19" t="s">
        <v>191</v>
      </c>
      <c r="B124" s="1">
        <v>2259</v>
      </c>
      <c r="C124">
        <v>0</v>
      </c>
      <c r="D124" t="s">
        <v>68</v>
      </c>
      <c r="E124" s="2" t="s">
        <v>49</v>
      </c>
      <c r="F124" t="s">
        <v>49</v>
      </c>
      <c r="G124">
        <v>2259</v>
      </c>
      <c r="H124" s="2" t="s">
        <v>49</v>
      </c>
      <c r="I124" s="3" t="s">
        <v>69</v>
      </c>
      <c r="J124" s="4">
        <v>2247</v>
      </c>
      <c r="Q124" s="4" t="s">
        <v>51</v>
      </c>
      <c r="W124">
        <v>9</v>
      </c>
      <c r="X124">
        <v>15</v>
      </c>
      <c r="Y124" s="4">
        <f t="shared" si="11"/>
        <v>2247</v>
      </c>
      <c r="Z124" s="4">
        <v>0</v>
      </c>
      <c r="AM124">
        <v>67</v>
      </c>
      <c r="AN124" t="s">
        <v>52</v>
      </c>
      <c r="AO124" t="s">
        <v>53</v>
      </c>
      <c r="AP124">
        <v>-24723</v>
      </c>
      <c r="AQ124">
        <v>0</v>
      </c>
      <c r="AR124" t="s">
        <v>54</v>
      </c>
      <c r="AS124" t="s">
        <v>55</v>
      </c>
      <c r="AT124" t="s">
        <v>55</v>
      </c>
      <c r="AU124" t="s">
        <v>56</v>
      </c>
      <c r="AV124">
        <v>886</v>
      </c>
      <c r="AW124" t="s">
        <v>70</v>
      </c>
      <c r="AX124" t="s">
        <v>55</v>
      </c>
      <c r="AY124" t="s">
        <v>58</v>
      </c>
      <c r="AZ124" t="s">
        <v>59</v>
      </c>
      <c r="BA124" t="s">
        <v>55</v>
      </c>
      <c r="BB124" t="s">
        <v>49</v>
      </c>
      <c r="BC124" t="s">
        <v>49</v>
      </c>
      <c r="BD124" t="s">
        <v>49</v>
      </c>
      <c r="BE124" t="s">
        <v>55</v>
      </c>
      <c r="BF124">
        <v>13</v>
      </c>
      <c r="BG124" t="s">
        <v>60</v>
      </c>
      <c r="BH124" t="s">
        <v>61</v>
      </c>
      <c r="BI124" t="s">
        <v>62</v>
      </c>
      <c r="BJ124" t="s">
        <v>63</v>
      </c>
      <c r="BK124">
        <v>2002</v>
      </c>
      <c r="BL124">
        <v>0</v>
      </c>
      <c r="BR124">
        <f>B124-BS124</f>
        <v>1996</v>
      </c>
      <c r="BS124">
        <v>263</v>
      </c>
      <c r="BT124">
        <f t="shared" si="5"/>
        <v>1</v>
      </c>
    </row>
    <row r="125" spans="1:72" x14ac:dyDescent="0.2">
      <c r="A125" s="19" t="s">
        <v>192</v>
      </c>
      <c r="B125" s="1">
        <v>2027</v>
      </c>
      <c r="C125">
        <v>1</v>
      </c>
      <c r="D125" t="s">
        <v>48</v>
      </c>
      <c r="E125" s="2" t="s">
        <v>49</v>
      </c>
      <c r="F125">
        <v>2027</v>
      </c>
      <c r="G125">
        <v>2027</v>
      </c>
      <c r="H125" s="2">
        <v>513</v>
      </c>
      <c r="I125" s="3">
        <v>513</v>
      </c>
      <c r="J125" s="4">
        <f>513-7</f>
        <v>506</v>
      </c>
      <c r="Q125" s="4" t="s">
        <v>51</v>
      </c>
      <c r="W125">
        <v>10</v>
      </c>
      <c r="X125">
        <v>16</v>
      </c>
      <c r="Y125" s="4">
        <f t="shared" si="11"/>
        <v>506</v>
      </c>
      <c r="Z125" s="4">
        <v>1</v>
      </c>
      <c r="AM125">
        <v>42</v>
      </c>
      <c r="AN125" t="s">
        <v>52</v>
      </c>
      <c r="AO125" t="s">
        <v>53</v>
      </c>
      <c r="AP125">
        <v>-15669</v>
      </c>
      <c r="AQ125">
        <v>0</v>
      </c>
      <c r="AR125" t="s">
        <v>54</v>
      </c>
      <c r="AS125" t="s">
        <v>55</v>
      </c>
      <c r="AT125" t="s">
        <v>55</v>
      </c>
      <c r="AU125" t="s">
        <v>56</v>
      </c>
      <c r="AV125">
        <v>887</v>
      </c>
      <c r="AW125" t="s">
        <v>57</v>
      </c>
      <c r="AX125" t="s">
        <v>55</v>
      </c>
      <c r="AY125" t="s">
        <v>58</v>
      </c>
      <c r="AZ125" t="s">
        <v>59</v>
      </c>
      <c r="BA125" t="s">
        <v>55</v>
      </c>
      <c r="BB125" t="s">
        <v>49</v>
      </c>
      <c r="BC125" t="s">
        <v>49</v>
      </c>
      <c r="BD125" t="s">
        <v>66</v>
      </c>
      <c r="BE125" t="s">
        <v>55</v>
      </c>
      <c r="BF125">
        <v>13</v>
      </c>
      <c r="BG125" t="s">
        <v>60</v>
      </c>
      <c r="BH125" t="s">
        <v>61</v>
      </c>
      <c r="BI125" t="s">
        <v>62</v>
      </c>
      <c r="BJ125" t="s">
        <v>63</v>
      </c>
      <c r="BK125">
        <v>2002</v>
      </c>
      <c r="BL125">
        <v>1</v>
      </c>
      <c r="BR125">
        <f>I125-BS125</f>
        <v>246</v>
      </c>
      <c r="BS125">
        <v>267</v>
      </c>
      <c r="BT125">
        <f t="shared" si="5"/>
        <v>1</v>
      </c>
    </row>
    <row r="126" spans="1:72" x14ac:dyDescent="0.2">
      <c r="A126" s="19" t="s">
        <v>193</v>
      </c>
      <c r="B126" s="1">
        <v>2141</v>
      </c>
      <c r="C126">
        <v>0</v>
      </c>
      <c r="D126" t="s">
        <v>68</v>
      </c>
      <c r="E126" s="2" t="s">
        <v>49</v>
      </c>
      <c r="F126" t="s">
        <v>49</v>
      </c>
      <c r="G126">
        <v>2141</v>
      </c>
      <c r="H126" s="2" t="s">
        <v>49</v>
      </c>
      <c r="I126" s="3" t="s">
        <v>69</v>
      </c>
      <c r="J126" s="4">
        <f>2141-54</f>
        <v>2087</v>
      </c>
      <c r="Q126" s="4" t="s">
        <v>51</v>
      </c>
      <c r="W126">
        <v>8</v>
      </c>
      <c r="X126">
        <v>16</v>
      </c>
      <c r="Y126" s="4">
        <f t="shared" si="11"/>
        <v>2087</v>
      </c>
      <c r="Z126" s="4">
        <v>0</v>
      </c>
      <c r="AM126">
        <v>78</v>
      </c>
      <c r="AN126" t="s">
        <v>126</v>
      </c>
      <c r="AO126" t="s">
        <v>53</v>
      </c>
      <c r="AP126">
        <v>-28498</v>
      </c>
      <c r="AQ126">
        <v>0</v>
      </c>
      <c r="AR126" t="s">
        <v>54</v>
      </c>
      <c r="AS126" t="s">
        <v>55</v>
      </c>
      <c r="AT126" t="s">
        <v>55</v>
      </c>
      <c r="AU126" t="s">
        <v>56</v>
      </c>
      <c r="AV126">
        <v>888</v>
      </c>
      <c r="AW126" t="s">
        <v>70</v>
      </c>
      <c r="AX126" t="s">
        <v>55</v>
      </c>
      <c r="AY126" t="s">
        <v>114</v>
      </c>
      <c r="AZ126" t="s">
        <v>59</v>
      </c>
      <c r="BA126" t="s">
        <v>55</v>
      </c>
      <c r="BB126" t="s">
        <v>49</v>
      </c>
      <c r="BC126" t="s">
        <v>49</v>
      </c>
      <c r="BD126" t="s">
        <v>49</v>
      </c>
      <c r="BE126" t="s">
        <v>55</v>
      </c>
      <c r="BF126">
        <v>13</v>
      </c>
      <c r="BG126" t="s">
        <v>60</v>
      </c>
      <c r="BH126" t="s">
        <v>71</v>
      </c>
      <c r="BI126" t="s">
        <v>62</v>
      </c>
      <c r="BJ126" t="s">
        <v>63</v>
      </c>
      <c r="BK126">
        <v>2003</v>
      </c>
      <c r="BL126">
        <v>0</v>
      </c>
      <c r="BR126">
        <f>B126-BS126</f>
        <v>1910</v>
      </c>
      <c r="BS126">
        <v>231</v>
      </c>
      <c r="BT126">
        <f t="shared" si="5"/>
        <v>1</v>
      </c>
    </row>
    <row r="127" spans="1:72" x14ac:dyDescent="0.2">
      <c r="A127" s="19" t="s">
        <v>577</v>
      </c>
      <c r="B127" s="1">
        <v>1880</v>
      </c>
      <c r="C127">
        <v>0</v>
      </c>
      <c r="D127" s="8" t="s">
        <v>68</v>
      </c>
      <c r="E127" s="12" t="s">
        <v>49</v>
      </c>
      <c r="F127" s="8" t="s">
        <v>49</v>
      </c>
      <c r="G127" s="8">
        <v>1880</v>
      </c>
      <c r="H127" s="12" t="s">
        <v>49</v>
      </c>
      <c r="I127" s="3" t="s">
        <v>69</v>
      </c>
      <c r="J127" s="4">
        <f>1880-53</f>
        <v>1827</v>
      </c>
      <c r="K127" s="8"/>
      <c r="L127" s="8"/>
      <c r="M127" s="8"/>
      <c r="N127" s="8"/>
      <c r="O127" s="8"/>
      <c r="P127" s="8"/>
      <c r="Q127" s="4" t="s">
        <v>51</v>
      </c>
      <c r="R127" s="8"/>
      <c r="S127" s="8"/>
      <c r="T127" s="8"/>
      <c r="U127" s="8"/>
      <c r="V127" s="8"/>
      <c r="W127" s="8">
        <v>6</v>
      </c>
      <c r="X127" s="8">
        <v>12</v>
      </c>
      <c r="Y127" s="4">
        <f t="shared" si="11"/>
        <v>1827</v>
      </c>
      <c r="Z127" s="4">
        <v>0</v>
      </c>
      <c r="AA127" s="8"/>
      <c r="AB127" s="8"/>
      <c r="AC127" s="8"/>
      <c r="AD127" s="8"/>
      <c r="AE127" s="8"/>
      <c r="AF127" s="8"/>
      <c r="AG127" s="8"/>
      <c r="AH127" s="8"/>
      <c r="AI127" s="8"/>
      <c r="AJ127" s="8"/>
      <c r="AK127" s="8"/>
      <c r="AL127" s="8"/>
      <c r="AM127" s="8">
        <v>75</v>
      </c>
      <c r="AN127" s="8" t="s">
        <v>126</v>
      </c>
      <c r="AO127" s="8" t="s">
        <v>53</v>
      </c>
      <c r="AP127" s="8">
        <v>-27674</v>
      </c>
      <c r="AQ127" s="8">
        <v>0</v>
      </c>
      <c r="AR127" s="8" t="s">
        <v>54</v>
      </c>
      <c r="AS127" s="8" t="s">
        <v>55</v>
      </c>
      <c r="AT127" s="8" t="s">
        <v>55</v>
      </c>
      <c r="AU127" s="8" t="s">
        <v>85</v>
      </c>
      <c r="AV127" s="8">
        <v>889</v>
      </c>
      <c r="AW127" s="8" t="s">
        <v>70</v>
      </c>
      <c r="AX127" s="8" t="s">
        <v>55</v>
      </c>
      <c r="AY127" s="8" t="s">
        <v>58</v>
      </c>
      <c r="AZ127" s="8" t="s">
        <v>59</v>
      </c>
      <c r="BA127" s="8" t="s">
        <v>55</v>
      </c>
      <c r="BB127" s="8" t="s">
        <v>49</v>
      </c>
      <c r="BC127" s="8" t="s">
        <v>49</v>
      </c>
      <c r="BD127" s="8" t="s">
        <v>49</v>
      </c>
      <c r="BE127" s="8" t="s">
        <v>55</v>
      </c>
      <c r="BF127" s="8">
        <v>13</v>
      </c>
      <c r="BG127" s="8" t="s">
        <v>571</v>
      </c>
      <c r="BH127" s="8" t="s">
        <v>61</v>
      </c>
      <c r="BI127" s="8" t="s">
        <v>83</v>
      </c>
      <c r="BJ127" s="8" t="s">
        <v>63</v>
      </c>
      <c r="BK127" s="8">
        <v>2003</v>
      </c>
      <c r="BL127">
        <v>0</v>
      </c>
      <c r="BR127">
        <f>B127-BS127</f>
        <v>1722</v>
      </c>
      <c r="BS127">
        <v>158</v>
      </c>
      <c r="BT127">
        <f t="shared" si="5"/>
        <v>1</v>
      </c>
    </row>
    <row r="128" spans="1:72" x14ac:dyDescent="0.2">
      <c r="A128" s="19" t="s">
        <v>194</v>
      </c>
      <c r="B128" s="1">
        <v>2068</v>
      </c>
      <c r="C128">
        <v>0</v>
      </c>
      <c r="D128" t="s">
        <v>68</v>
      </c>
      <c r="E128" s="2" t="s">
        <v>49</v>
      </c>
      <c r="F128" t="s">
        <v>49</v>
      </c>
      <c r="G128">
        <v>2068</v>
      </c>
      <c r="H128" s="2" t="s">
        <v>49</v>
      </c>
      <c r="I128" s="3" t="s">
        <v>69</v>
      </c>
      <c r="J128" s="4">
        <v>2054</v>
      </c>
      <c r="Q128" s="4" t="s">
        <v>51</v>
      </c>
      <c r="W128" s="8">
        <v>8</v>
      </c>
      <c r="X128" s="8">
        <v>16</v>
      </c>
      <c r="Y128" s="4">
        <f t="shared" si="11"/>
        <v>2054</v>
      </c>
      <c r="Z128" s="4">
        <v>0</v>
      </c>
      <c r="AM128">
        <v>56</v>
      </c>
      <c r="AN128" t="s">
        <v>52</v>
      </c>
      <c r="AO128" t="s">
        <v>53</v>
      </c>
      <c r="AP128">
        <v>-20770</v>
      </c>
      <c r="AQ128">
        <v>0</v>
      </c>
      <c r="AR128" t="s">
        <v>54</v>
      </c>
      <c r="AS128" t="s">
        <v>55</v>
      </c>
      <c r="AT128" t="s">
        <v>55</v>
      </c>
      <c r="AU128" t="s">
        <v>56</v>
      </c>
      <c r="AV128">
        <v>890</v>
      </c>
      <c r="AW128" t="s">
        <v>70</v>
      </c>
      <c r="AX128" t="s">
        <v>55</v>
      </c>
      <c r="AY128" t="s">
        <v>58</v>
      </c>
      <c r="AZ128" t="s">
        <v>59</v>
      </c>
      <c r="BA128" t="s">
        <v>55</v>
      </c>
      <c r="BB128" t="s">
        <v>49</v>
      </c>
      <c r="BC128" t="s">
        <v>49</v>
      </c>
      <c r="BD128" t="s">
        <v>49</v>
      </c>
      <c r="BE128" t="s">
        <v>55</v>
      </c>
      <c r="BF128">
        <v>13</v>
      </c>
      <c r="BG128" t="s">
        <v>60</v>
      </c>
      <c r="BH128" t="s">
        <v>61</v>
      </c>
      <c r="BI128" t="s">
        <v>62</v>
      </c>
      <c r="BJ128" t="s">
        <v>63</v>
      </c>
      <c r="BK128">
        <v>2003</v>
      </c>
      <c r="BL128">
        <v>0</v>
      </c>
      <c r="BR128">
        <f>B128-BS128</f>
        <v>1833</v>
      </c>
      <c r="BS128">
        <v>235</v>
      </c>
      <c r="BT128">
        <f t="shared" si="5"/>
        <v>1</v>
      </c>
    </row>
    <row r="129" spans="1:72" x14ac:dyDescent="0.2">
      <c r="A129" s="19" t="s">
        <v>195</v>
      </c>
      <c r="B129" s="1">
        <v>2099</v>
      </c>
      <c r="C129">
        <v>0</v>
      </c>
      <c r="D129" t="s">
        <v>68</v>
      </c>
      <c r="E129" s="2" t="s">
        <v>49</v>
      </c>
      <c r="F129" t="s">
        <v>49</v>
      </c>
      <c r="G129">
        <v>2099</v>
      </c>
      <c r="H129" s="2">
        <v>761</v>
      </c>
      <c r="I129" s="3">
        <v>761</v>
      </c>
      <c r="J129" s="4">
        <f>761-70</f>
        <v>691</v>
      </c>
      <c r="Q129" s="4" t="s">
        <v>51</v>
      </c>
      <c r="W129" s="8">
        <v>6</v>
      </c>
      <c r="X129" s="8">
        <v>12</v>
      </c>
      <c r="Y129" s="4">
        <f t="shared" si="11"/>
        <v>691</v>
      </c>
      <c r="Z129" s="4">
        <v>1</v>
      </c>
      <c r="AM129">
        <v>73</v>
      </c>
      <c r="AN129" t="s">
        <v>52</v>
      </c>
      <c r="AO129" t="s">
        <v>53</v>
      </c>
      <c r="AP129">
        <v>-26886</v>
      </c>
      <c r="AQ129">
        <v>0</v>
      </c>
      <c r="AR129" t="s">
        <v>54</v>
      </c>
      <c r="AS129" t="s">
        <v>55</v>
      </c>
      <c r="AT129" t="s">
        <v>55</v>
      </c>
      <c r="AU129" t="s">
        <v>161</v>
      </c>
      <c r="AV129">
        <v>891</v>
      </c>
      <c r="AW129" t="s">
        <v>57</v>
      </c>
      <c r="AX129" t="s">
        <v>55</v>
      </c>
      <c r="AY129" t="s">
        <v>58</v>
      </c>
      <c r="AZ129" t="s">
        <v>59</v>
      </c>
      <c r="BA129" t="s">
        <v>55</v>
      </c>
      <c r="BB129" t="s">
        <v>49</v>
      </c>
      <c r="BC129" t="s">
        <v>49</v>
      </c>
      <c r="BD129" t="s">
        <v>66</v>
      </c>
      <c r="BE129" t="s">
        <v>55</v>
      </c>
      <c r="BF129">
        <v>13</v>
      </c>
      <c r="BG129" t="s">
        <v>60</v>
      </c>
      <c r="BH129" t="s">
        <v>71</v>
      </c>
      <c r="BI129" t="s">
        <v>83</v>
      </c>
      <c r="BJ129" t="s">
        <v>63</v>
      </c>
      <c r="BK129">
        <v>2003</v>
      </c>
      <c r="BL129">
        <v>1</v>
      </c>
      <c r="BR129">
        <f>I129-BS129</f>
        <v>579</v>
      </c>
      <c r="BS129">
        <v>182</v>
      </c>
      <c r="BT129">
        <f t="shared" si="5"/>
        <v>1</v>
      </c>
    </row>
    <row r="130" spans="1:72" x14ac:dyDescent="0.2">
      <c r="A130" s="19" t="s">
        <v>196</v>
      </c>
      <c r="B130" s="1">
        <v>1319</v>
      </c>
      <c r="C130">
        <v>1</v>
      </c>
      <c r="D130" t="s">
        <v>48</v>
      </c>
      <c r="E130" s="2" t="s">
        <v>49</v>
      </c>
      <c r="F130">
        <v>1319</v>
      </c>
      <c r="G130">
        <v>1319</v>
      </c>
      <c r="H130" s="2">
        <v>461</v>
      </c>
      <c r="I130" s="3">
        <v>461</v>
      </c>
      <c r="J130" s="4">
        <f>461-80</f>
        <v>381</v>
      </c>
      <c r="Q130" s="4" t="s">
        <v>51</v>
      </c>
      <c r="W130" s="8">
        <v>8</v>
      </c>
      <c r="X130" s="8">
        <v>16</v>
      </c>
      <c r="Y130" s="4">
        <f t="shared" si="11"/>
        <v>381</v>
      </c>
      <c r="Z130" s="4">
        <v>1</v>
      </c>
      <c r="AM130">
        <v>48</v>
      </c>
      <c r="AN130" t="s">
        <v>52</v>
      </c>
      <c r="AO130" t="s">
        <v>53</v>
      </c>
      <c r="AP130">
        <v>-17573</v>
      </c>
      <c r="AQ130">
        <v>0</v>
      </c>
      <c r="AR130" t="s">
        <v>54</v>
      </c>
      <c r="AS130" t="s">
        <v>53</v>
      </c>
      <c r="AT130" t="s">
        <v>55</v>
      </c>
      <c r="AU130" t="s">
        <v>85</v>
      </c>
      <c r="AV130">
        <v>893</v>
      </c>
      <c r="AW130" t="s">
        <v>57</v>
      </c>
      <c r="AX130" t="s">
        <v>55</v>
      </c>
      <c r="AY130" t="s">
        <v>114</v>
      </c>
      <c r="AZ130" t="s">
        <v>111</v>
      </c>
      <c r="BA130" t="s">
        <v>55</v>
      </c>
      <c r="BB130" t="s">
        <v>49</v>
      </c>
      <c r="BC130" t="s">
        <v>49</v>
      </c>
      <c r="BD130" t="s">
        <v>66</v>
      </c>
      <c r="BE130" t="s">
        <v>55</v>
      </c>
      <c r="BF130">
        <v>13</v>
      </c>
      <c r="BG130" t="s">
        <v>60</v>
      </c>
      <c r="BH130" t="s">
        <v>142</v>
      </c>
      <c r="BI130" t="s">
        <v>62</v>
      </c>
      <c r="BJ130" t="s">
        <v>63</v>
      </c>
      <c r="BK130">
        <v>2003</v>
      </c>
      <c r="BL130">
        <v>1</v>
      </c>
      <c r="BR130">
        <f>I130-BS130</f>
        <v>177</v>
      </c>
      <c r="BS130">
        <v>284</v>
      </c>
      <c r="BT130">
        <f t="shared" si="5"/>
        <v>1</v>
      </c>
    </row>
    <row r="131" spans="1:72" x14ac:dyDescent="0.2">
      <c r="A131" s="19" t="s">
        <v>197</v>
      </c>
      <c r="B131" s="1">
        <v>1509</v>
      </c>
      <c r="C131">
        <v>1</v>
      </c>
      <c r="D131" t="s">
        <v>48</v>
      </c>
      <c r="E131" s="2" t="s">
        <v>49</v>
      </c>
      <c r="F131">
        <v>1509</v>
      </c>
      <c r="G131">
        <v>1509</v>
      </c>
      <c r="H131" s="2">
        <v>565</v>
      </c>
      <c r="I131" s="3">
        <v>565</v>
      </c>
      <c r="J131" s="4">
        <f>565-47</f>
        <v>518</v>
      </c>
      <c r="Q131" s="4" t="s">
        <v>51</v>
      </c>
      <c r="W131" s="8">
        <v>10</v>
      </c>
      <c r="X131" s="8">
        <v>18</v>
      </c>
      <c r="Y131" s="4">
        <f t="shared" si="11"/>
        <v>518</v>
      </c>
      <c r="Z131" s="4">
        <v>1</v>
      </c>
      <c r="AM131">
        <v>53</v>
      </c>
      <c r="AN131" t="s">
        <v>52</v>
      </c>
      <c r="AO131" t="s">
        <v>53</v>
      </c>
      <c r="AP131">
        <v>-19466</v>
      </c>
      <c r="AQ131">
        <v>0</v>
      </c>
      <c r="AR131" t="s">
        <v>54</v>
      </c>
      <c r="AS131" t="s">
        <v>55</v>
      </c>
      <c r="AT131" t="s">
        <v>55</v>
      </c>
      <c r="AU131" t="s">
        <v>85</v>
      </c>
      <c r="AV131">
        <v>894</v>
      </c>
      <c r="AW131" t="s">
        <v>57</v>
      </c>
      <c r="AX131" t="s">
        <v>55</v>
      </c>
      <c r="AY131" t="s">
        <v>58</v>
      </c>
      <c r="AZ131" t="s">
        <v>59</v>
      </c>
      <c r="BA131" t="s">
        <v>55</v>
      </c>
      <c r="BB131" t="s">
        <v>49</v>
      </c>
      <c r="BC131" t="s">
        <v>49</v>
      </c>
      <c r="BD131" t="s">
        <v>66</v>
      </c>
      <c r="BE131" t="s">
        <v>55</v>
      </c>
      <c r="BF131">
        <v>13</v>
      </c>
      <c r="BG131" t="s">
        <v>60</v>
      </c>
      <c r="BH131" t="s">
        <v>61</v>
      </c>
      <c r="BI131" t="s">
        <v>62</v>
      </c>
      <c r="BJ131" t="s">
        <v>63</v>
      </c>
      <c r="BK131">
        <v>2003</v>
      </c>
      <c r="BL131">
        <v>1</v>
      </c>
      <c r="BR131">
        <f>I131-BS131</f>
        <v>235</v>
      </c>
      <c r="BS131">
        <v>330</v>
      </c>
      <c r="BT131">
        <f t="shared" si="5"/>
        <v>1</v>
      </c>
    </row>
    <row r="132" spans="1:72" x14ac:dyDescent="0.2">
      <c r="A132" s="19" t="s">
        <v>198</v>
      </c>
      <c r="B132" s="1">
        <v>1748</v>
      </c>
      <c r="C132">
        <v>0</v>
      </c>
      <c r="D132" t="s">
        <v>68</v>
      </c>
      <c r="E132" s="2" t="s">
        <v>49</v>
      </c>
      <c r="F132" t="s">
        <v>49</v>
      </c>
      <c r="G132">
        <v>1748</v>
      </c>
      <c r="H132" s="2">
        <v>553</v>
      </c>
      <c r="I132" s="3">
        <v>553</v>
      </c>
      <c r="J132" s="4">
        <f>553-34</f>
        <v>519</v>
      </c>
      <c r="Q132" s="4" t="s">
        <v>51</v>
      </c>
      <c r="W132" s="8">
        <v>6</v>
      </c>
      <c r="X132" s="8">
        <v>12</v>
      </c>
      <c r="Y132" s="4">
        <f t="shared" si="11"/>
        <v>519</v>
      </c>
      <c r="Z132" s="4">
        <v>1</v>
      </c>
      <c r="AM132">
        <v>54</v>
      </c>
      <c r="AN132" t="s">
        <v>126</v>
      </c>
      <c r="AO132" t="s">
        <v>53</v>
      </c>
      <c r="AP132">
        <v>-19894</v>
      </c>
      <c r="AQ132">
        <v>0</v>
      </c>
      <c r="AR132" t="s">
        <v>54</v>
      </c>
      <c r="AS132" t="s">
        <v>55</v>
      </c>
      <c r="AT132" t="s">
        <v>55</v>
      </c>
      <c r="AU132" t="s">
        <v>85</v>
      </c>
      <c r="AV132">
        <v>897</v>
      </c>
      <c r="AW132" t="s">
        <v>57</v>
      </c>
      <c r="AX132" t="s">
        <v>55</v>
      </c>
      <c r="AY132" t="s">
        <v>58</v>
      </c>
      <c r="AZ132" t="s">
        <v>59</v>
      </c>
      <c r="BA132" t="s">
        <v>55</v>
      </c>
      <c r="BB132" t="s">
        <v>49</v>
      </c>
      <c r="BC132" t="s">
        <v>49</v>
      </c>
      <c r="BD132" t="s">
        <v>106</v>
      </c>
      <c r="BE132" t="s">
        <v>53</v>
      </c>
      <c r="BF132">
        <v>13</v>
      </c>
      <c r="BG132" t="s">
        <v>60</v>
      </c>
      <c r="BH132" t="s">
        <v>61</v>
      </c>
      <c r="BI132" t="s">
        <v>62</v>
      </c>
      <c r="BJ132" t="s">
        <v>63</v>
      </c>
      <c r="BK132">
        <v>2004</v>
      </c>
      <c r="BL132">
        <v>1</v>
      </c>
      <c r="BR132">
        <f>I132-BS132</f>
        <v>414</v>
      </c>
      <c r="BS132">
        <v>139</v>
      </c>
      <c r="BT132">
        <f t="shared" si="5"/>
        <v>1</v>
      </c>
    </row>
    <row r="133" spans="1:72" x14ac:dyDescent="0.2">
      <c r="A133" s="19" t="s">
        <v>199</v>
      </c>
      <c r="B133" s="1">
        <v>1708</v>
      </c>
      <c r="C133">
        <v>0</v>
      </c>
      <c r="D133" t="s">
        <v>68</v>
      </c>
      <c r="E133" s="2" t="s">
        <v>49</v>
      </c>
      <c r="F133" t="s">
        <v>49</v>
      </c>
      <c r="G133">
        <v>1708</v>
      </c>
      <c r="H133" s="2">
        <v>547</v>
      </c>
      <c r="I133" s="3">
        <v>547</v>
      </c>
      <c r="J133" s="4">
        <f>547-16</f>
        <v>531</v>
      </c>
      <c r="Q133" s="4" t="s">
        <v>51</v>
      </c>
      <c r="W133" s="8">
        <v>6</v>
      </c>
      <c r="X133" s="8">
        <v>12</v>
      </c>
      <c r="Y133" s="4">
        <f t="shared" si="11"/>
        <v>531</v>
      </c>
      <c r="Z133" s="4">
        <v>1</v>
      </c>
      <c r="AM133">
        <v>60</v>
      </c>
      <c r="AN133" t="s">
        <v>52</v>
      </c>
      <c r="AO133" t="s">
        <v>53</v>
      </c>
      <c r="AP133">
        <v>-22031</v>
      </c>
      <c r="AQ133">
        <v>0</v>
      </c>
      <c r="AR133" t="s">
        <v>54</v>
      </c>
      <c r="AS133" t="s">
        <v>55</v>
      </c>
      <c r="AT133" t="s">
        <v>55</v>
      </c>
      <c r="AU133" t="s">
        <v>56</v>
      </c>
      <c r="AV133">
        <v>899</v>
      </c>
      <c r="AW133" t="s">
        <v>57</v>
      </c>
      <c r="AX133" t="s">
        <v>55</v>
      </c>
      <c r="AY133" t="s">
        <v>58</v>
      </c>
      <c r="AZ133" t="s">
        <v>59</v>
      </c>
      <c r="BA133" t="s">
        <v>55</v>
      </c>
      <c r="BB133" t="s">
        <v>49</v>
      </c>
      <c r="BC133" t="s">
        <v>49</v>
      </c>
      <c r="BD133" t="s">
        <v>66</v>
      </c>
      <c r="BE133" t="s">
        <v>55</v>
      </c>
      <c r="BF133">
        <v>13</v>
      </c>
      <c r="BG133" t="s">
        <v>60</v>
      </c>
      <c r="BH133" t="s">
        <v>61</v>
      </c>
      <c r="BI133" t="s">
        <v>62</v>
      </c>
      <c r="BJ133" t="s">
        <v>63</v>
      </c>
      <c r="BK133">
        <v>2004</v>
      </c>
      <c r="BL133">
        <v>1</v>
      </c>
      <c r="BR133">
        <f>I133-BS133</f>
        <v>421</v>
      </c>
      <c r="BS133">
        <v>126</v>
      </c>
      <c r="BT133">
        <f t="shared" si="5"/>
        <v>1</v>
      </c>
    </row>
    <row r="134" spans="1:72" x14ac:dyDescent="0.2">
      <c r="A134" s="19" t="s">
        <v>200</v>
      </c>
      <c r="B134" s="1">
        <v>1736</v>
      </c>
      <c r="C134">
        <v>0</v>
      </c>
      <c r="D134" t="s">
        <v>68</v>
      </c>
      <c r="E134" s="2" t="s">
        <v>49</v>
      </c>
      <c r="F134" t="s">
        <v>49</v>
      </c>
      <c r="G134">
        <v>1736</v>
      </c>
      <c r="H134" s="2" t="s">
        <v>49</v>
      </c>
      <c r="I134" s="3" t="s">
        <v>69</v>
      </c>
      <c r="J134" s="4">
        <v>1698</v>
      </c>
      <c r="Q134" s="4" t="s">
        <v>51</v>
      </c>
      <c r="W134" s="8">
        <v>6</v>
      </c>
      <c r="X134" s="8">
        <v>12</v>
      </c>
      <c r="Y134" s="4">
        <f t="shared" si="11"/>
        <v>1698</v>
      </c>
      <c r="Z134" s="4">
        <v>0</v>
      </c>
      <c r="AM134">
        <v>59</v>
      </c>
      <c r="AN134" t="s">
        <v>52</v>
      </c>
      <c r="AO134" t="s">
        <v>53</v>
      </c>
      <c r="AP134">
        <v>-21698</v>
      </c>
      <c r="AQ134">
        <v>0</v>
      </c>
      <c r="AR134" t="s">
        <v>54</v>
      </c>
      <c r="AS134" t="s">
        <v>55</v>
      </c>
      <c r="AT134" t="s">
        <v>55</v>
      </c>
      <c r="AU134" t="s">
        <v>85</v>
      </c>
      <c r="AV134">
        <v>900</v>
      </c>
      <c r="AW134" t="s">
        <v>70</v>
      </c>
      <c r="AX134" t="s">
        <v>55</v>
      </c>
      <c r="AY134" t="s">
        <v>58</v>
      </c>
      <c r="AZ134" t="s">
        <v>59</v>
      </c>
      <c r="BA134" t="s">
        <v>55</v>
      </c>
      <c r="BB134" t="s">
        <v>49</v>
      </c>
      <c r="BC134" t="s">
        <v>49</v>
      </c>
      <c r="BD134" t="s">
        <v>49</v>
      </c>
      <c r="BE134" t="s">
        <v>55</v>
      </c>
      <c r="BF134">
        <v>13</v>
      </c>
      <c r="BG134" t="s">
        <v>60</v>
      </c>
      <c r="BH134" t="s">
        <v>49</v>
      </c>
      <c r="BI134" t="s">
        <v>62</v>
      </c>
      <c r="BJ134" t="s">
        <v>63</v>
      </c>
      <c r="BK134">
        <v>2004</v>
      </c>
      <c r="BL134">
        <v>0</v>
      </c>
      <c r="BR134">
        <f>B134-BS134</f>
        <v>1574</v>
      </c>
      <c r="BS134">
        <v>162</v>
      </c>
      <c r="BT134">
        <f t="shared" si="5"/>
        <v>1</v>
      </c>
    </row>
    <row r="135" spans="1:72" x14ac:dyDescent="0.2">
      <c r="A135" s="19" t="s">
        <v>201</v>
      </c>
      <c r="B135" s="1">
        <v>589</v>
      </c>
      <c r="C135">
        <v>0</v>
      </c>
      <c r="D135" t="s">
        <v>68</v>
      </c>
      <c r="E135" s="2" t="s">
        <v>49</v>
      </c>
      <c r="F135" t="s">
        <v>49</v>
      </c>
      <c r="G135">
        <v>589</v>
      </c>
      <c r="H135" s="2">
        <v>390</v>
      </c>
      <c r="I135" s="3">
        <v>390</v>
      </c>
      <c r="J135" s="4">
        <f>390-44</f>
        <v>346</v>
      </c>
      <c r="P135" t="s">
        <v>823</v>
      </c>
      <c r="Q135" s="4" t="s">
        <v>51</v>
      </c>
      <c r="W135" s="8">
        <v>6</v>
      </c>
      <c r="X135" s="8">
        <v>12</v>
      </c>
      <c r="Y135" s="4">
        <f t="shared" si="11"/>
        <v>346</v>
      </c>
      <c r="Z135" s="4">
        <v>0</v>
      </c>
      <c r="AM135">
        <v>42</v>
      </c>
      <c r="AN135" t="s">
        <v>52</v>
      </c>
      <c r="AO135" t="s">
        <v>53</v>
      </c>
      <c r="AP135">
        <v>-15333</v>
      </c>
      <c r="AQ135">
        <v>0</v>
      </c>
      <c r="AR135" t="s">
        <v>54</v>
      </c>
      <c r="AS135" t="s">
        <v>55</v>
      </c>
      <c r="AT135" t="s">
        <v>55</v>
      </c>
      <c r="AU135" t="s">
        <v>56</v>
      </c>
      <c r="AV135">
        <v>901</v>
      </c>
      <c r="AW135" t="s">
        <v>57</v>
      </c>
      <c r="AX135" t="s">
        <v>55</v>
      </c>
      <c r="AY135" t="s">
        <v>58</v>
      </c>
      <c r="AZ135" t="s">
        <v>180</v>
      </c>
      <c r="BA135" t="s">
        <v>55</v>
      </c>
      <c r="BB135" t="s">
        <v>49</v>
      </c>
      <c r="BC135" t="s">
        <v>49</v>
      </c>
      <c r="BD135" t="s">
        <v>66</v>
      </c>
      <c r="BE135" t="s">
        <v>53</v>
      </c>
      <c r="BF135">
        <v>13</v>
      </c>
      <c r="BG135" t="s">
        <v>60</v>
      </c>
      <c r="BH135" t="s">
        <v>82</v>
      </c>
      <c r="BI135" t="s">
        <v>62</v>
      </c>
      <c r="BJ135" t="s">
        <v>63</v>
      </c>
      <c r="BK135">
        <v>2004</v>
      </c>
      <c r="BL135">
        <v>1</v>
      </c>
      <c r="BR135">
        <f>I135-BS135</f>
        <v>225</v>
      </c>
      <c r="BS135">
        <v>165</v>
      </c>
      <c r="BT135">
        <f t="shared" si="5"/>
        <v>1</v>
      </c>
    </row>
    <row r="136" spans="1:72" x14ac:dyDescent="0.2">
      <c r="A136" s="19" t="s">
        <v>202</v>
      </c>
      <c r="B136" s="1">
        <v>1441</v>
      </c>
      <c r="C136">
        <v>0</v>
      </c>
      <c r="D136" t="s">
        <v>68</v>
      </c>
      <c r="E136" s="2" t="s">
        <v>49</v>
      </c>
      <c r="F136" t="s">
        <v>49</v>
      </c>
      <c r="G136">
        <v>1441</v>
      </c>
      <c r="H136" s="2" t="s">
        <v>49</v>
      </c>
      <c r="I136" s="3" t="s">
        <v>69</v>
      </c>
      <c r="J136" s="4">
        <v>1419</v>
      </c>
      <c r="P136" t="s">
        <v>823</v>
      </c>
      <c r="Q136" s="4" t="s">
        <v>51</v>
      </c>
      <c r="W136" s="8">
        <v>6</v>
      </c>
      <c r="X136" s="8">
        <v>12</v>
      </c>
      <c r="Y136" s="4">
        <f t="shared" si="11"/>
        <v>1419</v>
      </c>
      <c r="Z136" s="4">
        <v>0</v>
      </c>
      <c r="AM136">
        <v>42</v>
      </c>
      <c r="AN136" t="s">
        <v>52</v>
      </c>
      <c r="AO136" t="s">
        <v>53</v>
      </c>
      <c r="AP136">
        <v>-15705</v>
      </c>
      <c r="AQ136">
        <v>0</v>
      </c>
      <c r="AR136" t="s">
        <v>54</v>
      </c>
      <c r="AS136" t="s">
        <v>55</v>
      </c>
      <c r="AT136" t="s">
        <v>55</v>
      </c>
      <c r="AU136" t="s">
        <v>56</v>
      </c>
      <c r="AV136">
        <v>903</v>
      </c>
      <c r="AW136" t="s">
        <v>57</v>
      </c>
      <c r="AX136" t="s">
        <v>55</v>
      </c>
      <c r="AY136" t="s">
        <v>58</v>
      </c>
      <c r="AZ136" t="s">
        <v>59</v>
      </c>
      <c r="BA136" t="s">
        <v>55</v>
      </c>
      <c r="BB136" t="s">
        <v>49</v>
      </c>
      <c r="BC136" t="s">
        <v>49</v>
      </c>
      <c r="BD136" t="s">
        <v>49</v>
      </c>
      <c r="BE136" t="s">
        <v>53</v>
      </c>
      <c r="BF136">
        <v>13</v>
      </c>
      <c r="BG136" t="s">
        <v>60</v>
      </c>
      <c r="BH136" t="s">
        <v>71</v>
      </c>
      <c r="BI136" t="s">
        <v>83</v>
      </c>
      <c r="BJ136" t="s">
        <v>63</v>
      </c>
      <c r="BK136">
        <v>2004</v>
      </c>
      <c r="BL136">
        <v>0</v>
      </c>
      <c r="BR136">
        <f>B136-BS136</f>
        <v>1314</v>
      </c>
      <c r="BS136">
        <v>127</v>
      </c>
      <c r="BT136">
        <f t="shared" si="5"/>
        <v>1</v>
      </c>
    </row>
    <row r="137" spans="1:72" x14ac:dyDescent="0.2">
      <c r="A137" s="19" t="s">
        <v>203</v>
      </c>
      <c r="B137" s="1">
        <v>1470</v>
      </c>
      <c r="C137">
        <v>0</v>
      </c>
      <c r="D137" t="s">
        <v>68</v>
      </c>
      <c r="E137" s="2">
        <v>329</v>
      </c>
      <c r="F137" t="s">
        <v>49</v>
      </c>
      <c r="G137">
        <v>1470</v>
      </c>
      <c r="H137" s="2" t="s">
        <v>49</v>
      </c>
      <c r="I137" s="3">
        <v>329</v>
      </c>
      <c r="J137" s="4">
        <f>329-63</f>
        <v>266</v>
      </c>
      <c r="Q137" s="4" t="s">
        <v>51</v>
      </c>
      <c r="W137" s="8">
        <v>8</v>
      </c>
      <c r="X137" s="8">
        <v>16</v>
      </c>
      <c r="Y137" s="4">
        <f t="shared" si="11"/>
        <v>266</v>
      </c>
      <c r="Z137" s="4">
        <v>1</v>
      </c>
      <c r="AM137">
        <v>63</v>
      </c>
      <c r="AN137" t="s">
        <v>52</v>
      </c>
      <c r="AO137" t="s">
        <v>53</v>
      </c>
      <c r="AP137">
        <v>-23278</v>
      </c>
      <c r="AQ137">
        <v>0</v>
      </c>
      <c r="AR137" t="s">
        <v>54</v>
      </c>
      <c r="AS137" t="s">
        <v>55</v>
      </c>
      <c r="AT137" t="s">
        <v>55</v>
      </c>
      <c r="AU137" t="s">
        <v>166</v>
      </c>
      <c r="AV137">
        <v>904</v>
      </c>
      <c r="AW137" t="s">
        <v>57</v>
      </c>
      <c r="AX137" t="s">
        <v>55</v>
      </c>
      <c r="AY137" t="s">
        <v>114</v>
      </c>
      <c r="AZ137" t="s">
        <v>59</v>
      </c>
      <c r="BA137" t="s">
        <v>55</v>
      </c>
      <c r="BB137" t="s">
        <v>49</v>
      </c>
      <c r="BC137" t="s">
        <v>49</v>
      </c>
      <c r="BD137" t="s">
        <v>66</v>
      </c>
      <c r="BE137" t="s">
        <v>55</v>
      </c>
      <c r="BF137">
        <v>13</v>
      </c>
      <c r="BG137" t="s">
        <v>60</v>
      </c>
      <c r="BH137" t="s">
        <v>82</v>
      </c>
      <c r="BI137" t="s">
        <v>62</v>
      </c>
      <c r="BJ137" t="s">
        <v>63</v>
      </c>
      <c r="BK137">
        <v>2004</v>
      </c>
      <c r="BL137">
        <v>1</v>
      </c>
      <c r="BR137">
        <f>I137-BS137</f>
        <v>79</v>
      </c>
      <c r="BS137">
        <v>250</v>
      </c>
      <c r="BT137">
        <f t="shared" si="5"/>
        <v>1</v>
      </c>
    </row>
    <row r="138" spans="1:72" x14ac:dyDescent="0.2">
      <c r="A138" s="19" t="s">
        <v>204</v>
      </c>
      <c r="B138" s="1">
        <v>1455</v>
      </c>
      <c r="C138">
        <v>0</v>
      </c>
      <c r="D138" t="s">
        <v>68</v>
      </c>
      <c r="E138" s="2" t="s">
        <v>49</v>
      </c>
      <c r="F138" t="s">
        <v>49</v>
      </c>
      <c r="G138">
        <v>1455</v>
      </c>
      <c r="H138" s="2" t="s">
        <v>49</v>
      </c>
      <c r="I138" s="3" t="s">
        <v>69</v>
      </c>
      <c r="J138" s="4">
        <v>1435</v>
      </c>
      <c r="Q138" s="4" t="s">
        <v>51</v>
      </c>
      <c r="W138" s="8">
        <v>10</v>
      </c>
      <c r="X138" s="8">
        <v>16</v>
      </c>
      <c r="Y138" s="4">
        <f t="shared" si="11"/>
        <v>1435</v>
      </c>
      <c r="Z138" s="4">
        <v>0</v>
      </c>
      <c r="AM138">
        <v>51</v>
      </c>
      <c r="AN138" t="s">
        <v>101</v>
      </c>
      <c r="AO138" t="s">
        <v>53</v>
      </c>
      <c r="AP138">
        <v>-18757</v>
      </c>
      <c r="AQ138">
        <v>0</v>
      </c>
      <c r="AR138" t="s">
        <v>54</v>
      </c>
      <c r="AS138" t="s">
        <v>55</v>
      </c>
      <c r="AT138" t="s">
        <v>55</v>
      </c>
      <c r="AU138" t="s">
        <v>56</v>
      </c>
      <c r="AV138">
        <v>905</v>
      </c>
      <c r="AW138" t="s">
        <v>70</v>
      </c>
      <c r="AX138" t="s">
        <v>55</v>
      </c>
      <c r="AY138" t="s">
        <v>58</v>
      </c>
      <c r="AZ138" t="s">
        <v>59</v>
      </c>
      <c r="BA138" t="s">
        <v>55</v>
      </c>
      <c r="BB138" t="s">
        <v>49</v>
      </c>
      <c r="BC138" t="s">
        <v>49</v>
      </c>
      <c r="BD138" t="s">
        <v>49</v>
      </c>
      <c r="BE138" t="s">
        <v>55</v>
      </c>
      <c r="BF138">
        <v>13</v>
      </c>
      <c r="BG138" t="s">
        <v>60</v>
      </c>
      <c r="BH138" t="s">
        <v>49</v>
      </c>
      <c r="BI138" t="s">
        <v>62</v>
      </c>
      <c r="BJ138" t="s">
        <v>63</v>
      </c>
      <c r="BK138">
        <v>2005</v>
      </c>
      <c r="BL138">
        <v>0</v>
      </c>
      <c r="BR138">
        <f>B138-BS138</f>
        <v>1233</v>
      </c>
      <c r="BS138">
        <v>222</v>
      </c>
      <c r="BT138">
        <f t="shared" si="5"/>
        <v>1</v>
      </c>
    </row>
    <row r="139" spans="1:72" x14ac:dyDescent="0.2">
      <c r="A139" s="19" t="s">
        <v>205</v>
      </c>
      <c r="B139" s="1">
        <v>1367</v>
      </c>
      <c r="C139">
        <v>0</v>
      </c>
      <c r="D139" t="s">
        <v>68</v>
      </c>
      <c r="E139" s="2" t="s">
        <v>49</v>
      </c>
      <c r="F139" t="s">
        <v>49</v>
      </c>
      <c r="G139">
        <v>1367</v>
      </c>
      <c r="H139" s="2" t="s">
        <v>49</v>
      </c>
      <c r="I139" s="3" t="s">
        <v>69</v>
      </c>
      <c r="J139" s="4">
        <v>1333</v>
      </c>
      <c r="Q139" s="4" t="s">
        <v>51</v>
      </c>
      <c r="W139" s="8">
        <v>6</v>
      </c>
      <c r="X139" s="8">
        <v>12</v>
      </c>
      <c r="Y139" s="4">
        <f t="shared" si="11"/>
        <v>1333</v>
      </c>
      <c r="Z139" s="4">
        <v>0</v>
      </c>
      <c r="AM139">
        <v>50</v>
      </c>
      <c r="AN139" t="s">
        <v>52</v>
      </c>
      <c r="AO139" t="s">
        <v>53</v>
      </c>
      <c r="AP139">
        <v>-18383</v>
      </c>
      <c r="AQ139">
        <v>0</v>
      </c>
      <c r="AR139" t="s">
        <v>54</v>
      </c>
      <c r="AS139" t="s">
        <v>55</v>
      </c>
      <c r="AT139" t="s">
        <v>55</v>
      </c>
      <c r="AU139" t="s">
        <v>56</v>
      </c>
      <c r="AV139">
        <v>906</v>
      </c>
      <c r="AW139" t="s">
        <v>70</v>
      </c>
      <c r="AX139" t="s">
        <v>55</v>
      </c>
      <c r="AY139" t="s">
        <v>58</v>
      </c>
      <c r="AZ139" t="s">
        <v>59</v>
      </c>
      <c r="BA139" t="s">
        <v>55</v>
      </c>
      <c r="BB139" t="s">
        <v>49</v>
      </c>
      <c r="BC139" t="s">
        <v>49</v>
      </c>
      <c r="BD139" t="s">
        <v>49</v>
      </c>
      <c r="BE139" t="s">
        <v>55</v>
      </c>
      <c r="BF139">
        <v>13</v>
      </c>
      <c r="BG139" t="s">
        <v>60</v>
      </c>
      <c r="BH139" t="s">
        <v>61</v>
      </c>
      <c r="BI139" t="s">
        <v>62</v>
      </c>
      <c r="BJ139" t="s">
        <v>63</v>
      </c>
      <c r="BK139">
        <v>2005</v>
      </c>
      <c r="BL139">
        <v>0</v>
      </c>
      <c r="BR139">
        <f>B139-BS139</f>
        <v>1221</v>
      </c>
      <c r="BS139">
        <v>146</v>
      </c>
      <c r="BT139">
        <f t="shared" si="5"/>
        <v>1</v>
      </c>
    </row>
    <row r="140" spans="1:72" x14ac:dyDescent="0.2">
      <c r="A140" s="19" t="s">
        <v>206</v>
      </c>
      <c r="B140" s="1">
        <v>1364</v>
      </c>
      <c r="C140">
        <v>0</v>
      </c>
      <c r="D140" t="s">
        <v>68</v>
      </c>
      <c r="E140" s="2" t="s">
        <v>49</v>
      </c>
      <c r="F140" t="s">
        <v>49</v>
      </c>
      <c r="G140">
        <v>1364</v>
      </c>
      <c r="H140" s="2">
        <v>552</v>
      </c>
      <c r="I140" s="3">
        <v>552</v>
      </c>
      <c r="J140" s="4">
        <f>552-24</f>
        <v>528</v>
      </c>
      <c r="Q140" s="4" t="s">
        <v>51</v>
      </c>
      <c r="W140" s="8">
        <v>9</v>
      </c>
      <c r="X140" s="8">
        <v>15</v>
      </c>
      <c r="Y140" s="4">
        <f t="shared" si="11"/>
        <v>528</v>
      </c>
      <c r="Z140" s="4">
        <v>1</v>
      </c>
      <c r="AM140">
        <v>58</v>
      </c>
      <c r="AN140" t="s">
        <v>52</v>
      </c>
      <c r="AO140" t="s">
        <v>53</v>
      </c>
      <c r="AP140">
        <v>-21421</v>
      </c>
      <c r="AQ140">
        <v>0</v>
      </c>
      <c r="AR140" t="s">
        <v>54</v>
      </c>
      <c r="AS140" t="s">
        <v>55</v>
      </c>
      <c r="AT140" t="s">
        <v>55</v>
      </c>
      <c r="AU140" t="s">
        <v>85</v>
      </c>
      <c r="AV140">
        <v>908</v>
      </c>
      <c r="AW140" t="s">
        <v>57</v>
      </c>
      <c r="AX140" t="s">
        <v>55</v>
      </c>
      <c r="AY140" t="s">
        <v>58</v>
      </c>
      <c r="AZ140" t="s">
        <v>59</v>
      </c>
      <c r="BA140" t="s">
        <v>55</v>
      </c>
      <c r="BB140" t="s">
        <v>49</v>
      </c>
      <c r="BC140" t="s">
        <v>49</v>
      </c>
      <c r="BD140" t="s">
        <v>66</v>
      </c>
      <c r="BE140" t="s">
        <v>55</v>
      </c>
      <c r="BF140">
        <v>13</v>
      </c>
      <c r="BG140" t="s">
        <v>60</v>
      </c>
      <c r="BH140" t="s">
        <v>61</v>
      </c>
      <c r="BI140" t="s">
        <v>83</v>
      </c>
      <c r="BJ140" t="s">
        <v>63</v>
      </c>
      <c r="BK140">
        <v>2005</v>
      </c>
      <c r="BL140">
        <v>1</v>
      </c>
      <c r="BR140">
        <f>I140-BS140</f>
        <v>308</v>
      </c>
      <c r="BS140">
        <v>244</v>
      </c>
      <c r="BT140">
        <f t="shared" si="5"/>
        <v>1</v>
      </c>
    </row>
    <row r="141" spans="1:72" x14ac:dyDescent="0.2">
      <c r="A141" s="19" t="s">
        <v>207</v>
      </c>
      <c r="B141" s="1">
        <v>1128</v>
      </c>
      <c r="C141">
        <v>0</v>
      </c>
      <c r="D141" t="s">
        <v>68</v>
      </c>
      <c r="E141" s="2" t="s">
        <v>49</v>
      </c>
      <c r="F141" t="s">
        <v>49</v>
      </c>
      <c r="G141">
        <v>1128</v>
      </c>
      <c r="H141" s="2" t="s">
        <v>49</v>
      </c>
      <c r="I141" s="3" t="s">
        <v>69</v>
      </c>
      <c r="J141" s="4">
        <v>1058</v>
      </c>
      <c r="Q141" s="4" t="s">
        <v>51</v>
      </c>
      <c r="W141" s="8">
        <v>9</v>
      </c>
      <c r="X141" s="8">
        <v>15</v>
      </c>
      <c r="Y141" s="4">
        <f t="shared" si="11"/>
        <v>1058</v>
      </c>
      <c r="Z141" s="4">
        <v>0</v>
      </c>
      <c r="AM141">
        <v>58</v>
      </c>
      <c r="AN141" t="s">
        <v>52</v>
      </c>
      <c r="AO141" t="s">
        <v>53</v>
      </c>
      <c r="AP141">
        <v>-21473</v>
      </c>
      <c r="AQ141">
        <v>0</v>
      </c>
      <c r="AR141" t="s">
        <v>54</v>
      </c>
      <c r="AS141" t="s">
        <v>55</v>
      </c>
      <c r="AT141" t="s">
        <v>55</v>
      </c>
      <c r="AU141" t="s">
        <v>56</v>
      </c>
      <c r="AV141">
        <v>910</v>
      </c>
      <c r="AW141" t="s">
        <v>70</v>
      </c>
      <c r="AX141" t="s">
        <v>55</v>
      </c>
      <c r="AY141" t="s">
        <v>58</v>
      </c>
      <c r="AZ141" t="s">
        <v>59</v>
      </c>
      <c r="BA141" t="s">
        <v>55</v>
      </c>
      <c r="BB141" t="s">
        <v>49</v>
      </c>
      <c r="BC141" t="s">
        <v>49</v>
      </c>
      <c r="BD141" t="s">
        <v>49</v>
      </c>
      <c r="BE141" t="s">
        <v>55</v>
      </c>
      <c r="BF141">
        <v>13</v>
      </c>
      <c r="BG141" t="s">
        <v>60</v>
      </c>
      <c r="BH141" t="s">
        <v>61</v>
      </c>
      <c r="BI141" t="s">
        <v>62</v>
      </c>
      <c r="BJ141" t="s">
        <v>63</v>
      </c>
      <c r="BK141">
        <v>2005</v>
      </c>
      <c r="BL141">
        <v>0</v>
      </c>
      <c r="BR141">
        <f>B141-BS141</f>
        <v>840</v>
      </c>
      <c r="BS141">
        <v>288</v>
      </c>
      <c r="BT141">
        <f t="shared" si="5"/>
        <v>1</v>
      </c>
    </row>
    <row r="142" spans="1:72" x14ac:dyDescent="0.2">
      <c r="A142" s="19" t="s">
        <v>208</v>
      </c>
      <c r="B142" s="1">
        <v>842</v>
      </c>
      <c r="C142">
        <v>0</v>
      </c>
      <c r="D142" t="s">
        <v>68</v>
      </c>
      <c r="E142" s="2">
        <v>278</v>
      </c>
      <c r="F142" t="s">
        <v>49</v>
      </c>
      <c r="G142">
        <v>842</v>
      </c>
      <c r="H142" s="2" t="s">
        <v>49</v>
      </c>
      <c r="I142" s="3">
        <v>278</v>
      </c>
      <c r="J142" s="4">
        <f>278-49</f>
        <v>229</v>
      </c>
      <c r="Q142" s="4" t="s">
        <v>51</v>
      </c>
      <c r="W142" s="8">
        <v>7</v>
      </c>
      <c r="X142" s="8">
        <v>14</v>
      </c>
      <c r="Y142" s="4">
        <f t="shared" si="11"/>
        <v>229</v>
      </c>
      <c r="Z142" s="4">
        <v>1</v>
      </c>
      <c r="AM142">
        <v>55</v>
      </c>
      <c r="AN142" t="s">
        <v>52</v>
      </c>
      <c r="AO142" t="s">
        <v>53</v>
      </c>
      <c r="AP142">
        <v>-20276</v>
      </c>
      <c r="AQ142">
        <v>0</v>
      </c>
      <c r="AR142" t="s">
        <v>54</v>
      </c>
      <c r="AS142" t="s">
        <v>55</v>
      </c>
      <c r="AT142" t="s">
        <v>55</v>
      </c>
      <c r="AU142" t="s">
        <v>85</v>
      </c>
      <c r="AV142">
        <v>911</v>
      </c>
      <c r="AW142" t="s">
        <v>57</v>
      </c>
      <c r="AX142" t="s">
        <v>55</v>
      </c>
      <c r="AY142" t="s">
        <v>114</v>
      </c>
      <c r="AZ142" t="s">
        <v>59</v>
      </c>
      <c r="BA142" t="s">
        <v>55</v>
      </c>
      <c r="BB142" t="s">
        <v>49</v>
      </c>
      <c r="BC142" t="s">
        <v>115</v>
      </c>
      <c r="BD142" t="s">
        <v>49</v>
      </c>
      <c r="BE142" t="s">
        <v>55</v>
      </c>
      <c r="BF142">
        <v>13</v>
      </c>
      <c r="BG142" t="s">
        <v>60</v>
      </c>
      <c r="BH142" t="s">
        <v>61</v>
      </c>
      <c r="BI142" t="s">
        <v>83</v>
      </c>
      <c r="BJ142" t="s">
        <v>63</v>
      </c>
      <c r="BK142">
        <v>2005</v>
      </c>
      <c r="BL142">
        <v>1</v>
      </c>
      <c r="BR142">
        <f>I142-BS142</f>
        <v>90</v>
      </c>
      <c r="BS142">
        <v>188</v>
      </c>
      <c r="BT142">
        <f t="shared" ref="BT142:BT205" si="12">COUNT(BL142:BQ142)</f>
        <v>1</v>
      </c>
    </row>
    <row r="143" spans="1:72" x14ac:dyDescent="0.2">
      <c r="A143" s="19" t="s">
        <v>209</v>
      </c>
      <c r="B143" s="1">
        <v>1036</v>
      </c>
      <c r="C143">
        <v>0</v>
      </c>
      <c r="D143" t="s">
        <v>68</v>
      </c>
      <c r="E143" s="2" t="s">
        <v>49</v>
      </c>
      <c r="F143" t="s">
        <v>49</v>
      </c>
      <c r="G143">
        <v>1036</v>
      </c>
      <c r="H143" s="2">
        <v>468</v>
      </c>
      <c r="I143" s="3">
        <v>468</v>
      </c>
      <c r="J143" s="4">
        <f>468-35</f>
        <v>433</v>
      </c>
      <c r="Q143" s="4" t="s">
        <v>51</v>
      </c>
      <c r="W143" s="8">
        <v>6</v>
      </c>
      <c r="X143" s="8">
        <v>12</v>
      </c>
      <c r="Y143" s="4">
        <f t="shared" si="11"/>
        <v>433</v>
      </c>
      <c r="Z143" s="4">
        <v>1</v>
      </c>
      <c r="AM143">
        <v>58</v>
      </c>
      <c r="AN143" t="s">
        <v>52</v>
      </c>
      <c r="AO143" t="s">
        <v>53</v>
      </c>
      <c r="AP143">
        <v>-21427</v>
      </c>
      <c r="AQ143">
        <v>0</v>
      </c>
      <c r="AR143" t="s">
        <v>54</v>
      </c>
      <c r="AS143" t="s">
        <v>55</v>
      </c>
      <c r="AT143" t="s">
        <v>55</v>
      </c>
      <c r="AU143" t="s">
        <v>56</v>
      </c>
      <c r="AV143">
        <v>912</v>
      </c>
      <c r="AW143" t="s">
        <v>57</v>
      </c>
      <c r="AX143" t="s">
        <v>55</v>
      </c>
      <c r="AY143" t="s">
        <v>58</v>
      </c>
      <c r="AZ143" t="s">
        <v>59</v>
      </c>
      <c r="BA143" t="s">
        <v>55</v>
      </c>
      <c r="BB143" t="s">
        <v>49</v>
      </c>
      <c r="BC143" t="s">
        <v>49</v>
      </c>
      <c r="BD143" t="s">
        <v>106</v>
      </c>
      <c r="BE143" t="s">
        <v>55</v>
      </c>
      <c r="BF143">
        <v>13</v>
      </c>
      <c r="BG143" t="s">
        <v>60</v>
      </c>
      <c r="BH143" t="s">
        <v>71</v>
      </c>
      <c r="BI143" t="s">
        <v>62</v>
      </c>
      <c r="BJ143" t="s">
        <v>63</v>
      </c>
      <c r="BK143">
        <v>2006</v>
      </c>
      <c r="BL143">
        <v>1</v>
      </c>
      <c r="BR143">
        <f>I143-BS143</f>
        <v>322</v>
      </c>
      <c r="BS143">
        <v>146</v>
      </c>
      <c r="BT143">
        <f t="shared" si="12"/>
        <v>1</v>
      </c>
    </row>
    <row r="144" spans="1:72" x14ac:dyDescent="0.2">
      <c r="A144" s="19" t="s">
        <v>210</v>
      </c>
      <c r="B144" s="1">
        <v>1071</v>
      </c>
      <c r="C144">
        <v>0</v>
      </c>
      <c r="D144" t="s">
        <v>68</v>
      </c>
      <c r="E144" s="2" t="s">
        <v>49</v>
      </c>
      <c r="F144" t="s">
        <v>49</v>
      </c>
      <c r="G144">
        <v>912</v>
      </c>
      <c r="H144" s="2">
        <v>871</v>
      </c>
      <c r="I144" s="3">
        <v>871</v>
      </c>
      <c r="J144" s="4">
        <f>871-35</f>
        <v>836</v>
      </c>
      <c r="K144" s="4">
        <v>74</v>
      </c>
      <c r="P144" t="s">
        <v>784</v>
      </c>
      <c r="Q144" s="4" t="s">
        <v>51</v>
      </c>
      <c r="R144" s="4" t="s">
        <v>51</v>
      </c>
      <c r="W144" s="8">
        <v>6</v>
      </c>
      <c r="X144" s="8">
        <v>12</v>
      </c>
      <c r="Y144" s="4">
        <f>J144+K144</f>
        <v>910</v>
      </c>
      <c r="Z144" s="4">
        <v>1</v>
      </c>
      <c r="AM144">
        <v>53</v>
      </c>
      <c r="AN144" t="s">
        <v>52</v>
      </c>
      <c r="AO144" t="s">
        <v>53</v>
      </c>
      <c r="AP144">
        <v>-19572</v>
      </c>
      <c r="AQ144">
        <v>0</v>
      </c>
      <c r="AR144" t="s">
        <v>54</v>
      </c>
      <c r="AS144" t="s">
        <v>55</v>
      </c>
      <c r="AT144" t="s">
        <v>55</v>
      </c>
      <c r="AU144" t="s">
        <v>56</v>
      </c>
      <c r="AV144">
        <v>913</v>
      </c>
      <c r="AW144" t="s">
        <v>57</v>
      </c>
      <c r="AX144" t="s">
        <v>55</v>
      </c>
      <c r="AY144" t="s">
        <v>58</v>
      </c>
      <c r="AZ144" t="s">
        <v>59</v>
      </c>
      <c r="BA144" t="s">
        <v>55</v>
      </c>
      <c r="BB144" t="s">
        <v>49</v>
      </c>
      <c r="BC144" t="s">
        <v>49</v>
      </c>
      <c r="BD144" t="s">
        <v>66</v>
      </c>
      <c r="BE144" t="s">
        <v>55</v>
      </c>
      <c r="BF144">
        <v>13</v>
      </c>
      <c r="BG144" t="s">
        <v>60</v>
      </c>
      <c r="BH144" t="s">
        <v>71</v>
      </c>
      <c r="BI144" t="s">
        <v>62</v>
      </c>
      <c r="BJ144" t="s">
        <v>63</v>
      </c>
      <c r="BK144">
        <v>2006</v>
      </c>
      <c r="BL144">
        <v>1</v>
      </c>
      <c r="BM144">
        <v>0</v>
      </c>
      <c r="BR144">
        <f>I144-BS144</f>
        <v>710</v>
      </c>
      <c r="BS144">
        <v>161</v>
      </c>
      <c r="BT144">
        <f t="shared" si="12"/>
        <v>2</v>
      </c>
    </row>
    <row r="145" spans="1:72" x14ac:dyDescent="0.2">
      <c r="A145" s="19" t="s">
        <v>578</v>
      </c>
      <c r="B145" s="1" t="s">
        <v>50</v>
      </c>
      <c r="C145" t="s">
        <v>50</v>
      </c>
      <c r="D145" s="8" t="s">
        <v>49</v>
      </c>
      <c r="E145" s="12" t="s">
        <v>49</v>
      </c>
      <c r="F145" s="8" t="s">
        <v>49</v>
      </c>
      <c r="G145" s="8" t="s">
        <v>49</v>
      </c>
      <c r="H145" s="12" t="s">
        <v>49</v>
      </c>
      <c r="I145" s="3" t="s">
        <v>50</v>
      </c>
      <c r="J145" s="8"/>
      <c r="K145" s="8"/>
      <c r="L145" s="8"/>
      <c r="M145" s="8"/>
      <c r="N145" s="8"/>
      <c r="O145" s="8"/>
      <c r="P145" s="8"/>
      <c r="Q145" s="8" t="s">
        <v>50</v>
      </c>
      <c r="R145" s="8"/>
      <c r="S145" s="8"/>
      <c r="T145" s="8"/>
      <c r="U145" s="8"/>
      <c r="V145" s="8"/>
      <c r="W145" s="8"/>
      <c r="X145" s="8"/>
      <c r="Y145" s="8"/>
      <c r="Z145" s="8"/>
      <c r="AA145" s="8"/>
      <c r="AB145" s="8"/>
      <c r="AC145" s="8"/>
      <c r="AD145" s="8"/>
      <c r="AE145" s="8"/>
      <c r="AF145" s="8"/>
      <c r="AG145" s="8"/>
      <c r="AH145" s="8"/>
      <c r="AI145" s="8"/>
      <c r="AJ145" s="8"/>
      <c r="AK145" s="8"/>
      <c r="AL145" s="8"/>
      <c r="AM145" s="8" t="s">
        <v>49</v>
      </c>
      <c r="AN145" s="8" t="s">
        <v>49</v>
      </c>
      <c r="AO145" s="8" t="s">
        <v>49</v>
      </c>
      <c r="AP145" s="8" t="s">
        <v>49</v>
      </c>
      <c r="AQ145" s="8" t="s">
        <v>49</v>
      </c>
      <c r="AR145" s="8" t="s">
        <v>49</v>
      </c>
      <c r="AS145" s="8" t="s">
        <v>49</v>
      </c>
      <c r="AT145" s="8" t="s">
        <v>49</v>
      </c>
      <c r="AU145" s="8" t="s">
        <v>49</v>
      </c>
      <c r="AV145" s="8" t="s">
        <v>49</v>
      </c>
      <c r="AW145" s="8" t="s">
        <v>49</v>
      </c>
      <c r="AX145" s="8" t="s">
        <v>49</v>
      </c>
      <c r="AY145" s="8" t="s">
        <v>49</v>
      </c>
      <c r="AZ145" s="8" t="s">
        <v>49</v>
      </c>
      <c r="BA145" s="8" t="s">
        <v>49</v>
      </c>
      <c r="BB145" s="8" t="s">
        <v>49</v>
      </c>
      <c r="BC145" s="8" t="s">
        <v>49</v>
      </c>
      <c r="BD145" s="8" t="s">
        <v>49</v>
      </c>
      <c r="BE145" s="8" t="s">
        <v>49</v>
      </c>
      <c r="BF145" s="8" t="s">
        <v>49</v>
      </c>
      <c r="BG145" s="8" t="s">
        <v>49</v>
      </c>
      <c r="BH145" s="8" t="s">
        <v>49</v>
      </c>
      <c r="BI145" s="8" t="s">
        <v>49</v>
      </c>
      <c r="BJ145" s="8" t="s">
        <v>49</v>
      </c>
      <c r="BK145" s="8" t="s">
        <v>49</v>
      </c>
      <c r="BT145">
        <f t="shared" si="12"/>
        <v>0</v>
      </c>
    </row>
    <row r="146" spans="1:72" x14ac:dyDescent="0.2">
      <c r="A146" s="19" t="s">
        <v>211</v>
      </c>
      <c r="B146" s="1">
        <v>643</v>
      </c>
      <c r="C146">
        <v>0</v>
      </c>
      <c r="D146" t="s">
        <v>68</v>
      </c>
      <c r="E146" s="2" t="s">
        <v>49</v>
      </c>
      <c r="F146" t="s">
        <v>49</v>
      </c>
      <c r="G146">
        <v>643</v>
      </c>
      <c r="H146" s="2" t="s">
        <v>49</v>
      </c>
      <c r="I146" s="3" t="s">
        <v>69</v>
      </c>
      <c r="J146" s="4">
        <v>608</v>
      </c>
      <c r="P146" t="s">
        <v>824</v>
      </c>
      <c r="Q146" s="4" t="s">
        <v>51</v>
      </c>
      <c r="W146" s="8">
        <v>6</v>
      </c>
      <c r="X146" s="8">
        <v>12</v>
      </c>
      <c r="Y146" s="4">
        <f>J146</f>
        <v>608</v>
      </c>
      <c r="Z146" s="4">
        <v>0</v>
      </c>
      <c r="AM146">
        <v>49</v>
      </c>
      <c r="AN146" t="s">
        <v>52</v>
      </c>
      <c r="AO146" t="s">
        <v>53</v>
      </c>
      <c r="AP146">
        <v>-18189</v>
      </c>
      <c r="AQ146">
        <v>0</v>
      </c>
      <c r="AR146" t="s">
        <v>54</v>
      </c>
      <c r="AS146" t="s">
        <v>55</v>
      </c>
      <c r="AT146" t="s">
        <v>55</v>
      </c>
      <c r="AU146" t="s">
        <v>56</v>
      </c>
      <c r="AV146">
        <v>916</v>
      </c>
      <c r="AW146" t="s">
        <v>70</v>
      </c>
      <c r="AX146" t="s">
        <v>55</v>
      </c>
      <c r="AY146" t="s">
        <v>58</v>
      </c>
      <c r="AZ146" t="s">
        <v>59</v>
      </c>
      <c r="BA146" t="s">
        <v>55</v>
      </c>
      <c r="BB146" t="s">
        <v>49</v>
      </c>
      <c r="BC146" t="s">
        <v>49</v>
      </c>
      <c r="BD146" t="s">
        <v>49</v>
      </c>
      <c r="BE146" t="s">
        <v>53</v>
      </c>
      <c r="BF146">
        <v>13</v>
      </c>
      <c r="BG146" t="s">
        <v>60</v>
      </c>
      <c r="BH146" t="s">
        <v>71</v>
      </c>
      <c r="BI146" t="s">
        <v>62</v>
      </c>
      <c r="BJ146" t="s">
        <v>63</v>
      </c>
      <c r="BK146">
        <v>2006</v>
      </c>
      <c r="BL146">
        <v>0</v>
      </c>
      <c r="BR146">
        <f>B146-BS146</f>
        <v>483</v>
      </c>
      <c r="BS146">
        <v>160</v>
      </c>
      <c r="BT146">
        <f t="shared" si="12"/>
        <v>1</v>
      </c>
    </row>
    <row r="147" spans="1:72" x14ac:dyDescent="0.2">
      <c r="A147" s="19" t="s">
        <v>212</v>
      </c>
      <c r="B147" s="1">
        <v>453</v>
      </c>
      <c r="C147">
        <v>0</v>
      </c>
      <c r="D147" t="s">
        <v>68</v>
      </c>
      <c r="E147" s="2" t="s">
        <v>49</v>
      </c>
      <c r="F147" t="s">
        <v>49</v>
      </c>
      <c r="G147">
        <v>453</v>
      </c>
      <c r="H147" s="2" t="s">
        <v>49</v>
      </c>
      <c r="I147" s="3" t="s">
        <v>69</v>
      </c>
      <c r="J147" s="4">
        <v>411</v>
      </c>
      <c r="Q147" s="4" t="s">
        <v>51</v>
      </c>
      <c r="W147" s="8">
        <v>6</v>
      </c>
      <c r="X147" s="8">
        <v>12</v>
      </c>
      <c r="Y147" s="4">
        <f>J147</f>
        <v>411</v>
      </c>
      <c r="Z147" s="4">
        <v>0</v>
      </c>
      <c r="AM147">
        <v>52</v>
      </c>
      <c r="AN147" t="s">
        <v>52</v>
      </c>
      <c r="AO147" t="s">
        <v>53</v>
      </c>
      <c r="AP147">
        <v>-19337</v>
      </c>
      <c r="AQ147">
        <v>0</v>
      </c>
      <c r="AR147" t="s">
        <v>54</v>
      </c>
      <c r="AS147" t="s">
        <v>55</v>
      </c>
      <c r="AT147" t="s">
        <v>55</v>
      </c>
      <c r="AU147" t="s">
        <v>56</v>
      </c>
      <c r="AV147">
        <v>919</v>
      </c>
      <c r="AW147" t="s">
        <v>70</v>
      </c>
      <c r="AX147" t="s">
        <v>55</v>
      </c>
      <c r="AY147" t="s">
        <v>58</v>
      </c>
      <c r="AZ147" t="s">
        <v>59</v>
      </c>
      <c r="BA147" t="s">
        <v>55</v>
      </c>
      <c r="BB147" t="s">
        <v>49</v>
      </c>
      <c r="BC147" t="s">
        <v>49</v>
      </c>
      <c r="BD147" t="s">
        <v>49</v>
      </c>
      <c r="BE147" t="s">
        <v>55</v>
      </c>
      <c r="BF147">
        <v>13</v>
      </c>
      <c r="BG147" t="s">
        <v>60</v>
      </c>
      <c r="BH147" t="s">
        <v>71</v>
      </c>
      <c r="BI147" t="s">
        <v>62</v>
      </c>
      <c r="BJ147" t="s">
        <v>63</v>
      </c>
      <c r="BK147">
        <v>2007</v>
      </c>
      <c r="BL147">
        <v>0</v>
      </c>
      <c r="BR147">
        <f>B147-BS147</f>
        <v>293</v>
      </c>
      <c r="BS147">
        <v>160</v>
      </c>
      <c r="BT147">
        <f t="shared" si="12"/>
        <v>1</v>
      </c>
    </row>
    <row r="148" spans="1:72" x14ac:dyDescent="0.2">
      <c r="A148" s="19" t="s">
        <v>213</v>
      </c>
      <c r="B148" s="1">
        <v>420</v>
      </c>
      <c r="C148">
        <v>0</v>
      </c>
      <c r="D148" t="s">
        <v>68</v>
      </c>
      <c r="E148" s="2" t="s">
        <v>49</v>
      </c>
      <c r="F148" t="s">
        <v>49</v>
      </c>
      <c r="G148">
        <v>420</v>
      </c>
      <c r="H148" s="2">
        <v>297</v>
      </c>
      <c r="I148" s="3">
        <v>297</v>
      </c>
      <c r="J148" s="11">
        <v>297</v>
      </c>
      <c r="Q148" s="11" t="s">
        <v>90</v>
      </c>
      <c r="AA148" s="11">
        <f>J148</f>
        <v>297</v>
      </c>
      <c r="AB148" s="11">
        <v>1</v>
      </c>
      <c r="AM148">
        <v>65</v>
      </c>
      <c r="AN148" t="s">
        <v>52</v>
      </c>
      <c r="AO148" t="s">
        <v>53</v>
      </c>
      <c r="AP148">
        <v>-24063</v>
      </c>
      <c r="AQ148">
        <v>0</v>
      </c>
      <c r="AR148" t="s">
        <v>54</v>
      </c>
      <c r="AS148" t="s">
        <v>55</v>
      </c>
      <c r="AT148" t="s">
        <v>55</v>
      </c>
      <c r="AU148" t="s">
        <v>56</v>
      </c>
      <c r="AV148">
        <v>920</v>
      </c>
      <c r="AW148" t="s">
        <v>57</v>
      </c>
      <c r="AX148" t="s">
        <v>55</v>
      </c>
      <c r="AY148" t="s">
        <v>58</v>
      </c>
      <c r="AZ148" t="s">
        <v>59</v>
      </c>
      <c r="BA148" t="s">
        <v>55</v>
      </c>
      <c r="BB148" t="s">
        <v>49</v>
      </c>
      <c r="BC148" t="s">
        <v>49</v>
      </c>
      <c r="BD148" t="s">
        <v>66</v>
      </c>
      <c r="BE148" t="s">
        <v>55</v>
      </c>
      <c r="BF148">
        <v>13</v>
      </c>
      <c r="BG148" t="s">
        <v>60</v>
      </c>
      <c r="BH148" t="s">
        <v>61</v>
      </c>
      <c r="BI148" t="s">
        <v>62</v>
      </c>
      <c r="BJ148" t="s">
        <v>63</v>
      </c>
      <c r="BK148">
        <v>2007</v>
      </c>
      <c r="BL148">
        <v>1</v>
      </c>
      <c r="BR148">
        <f>I148-BS148</f>
        <v>157</v>
      </c>
      <c r="BS148">
        <v>140</v>
      </c>
      <c r="BT148">
        <f t="shared" si="12"/>
        <v>1</v>
      </c>
    </row>
    <row r="149" spans="1:72" x14ac:dyDescent="0.2">
      <c r="A149" s="19" t="s">
        <v>214</v>
      </c>
      <c r="B149" s="1">
        <v>141</v>
      </c>
      <c r="C149">
        <v>0</v>
      </c>
      <c r="D149" t="s">
        <v>68</v>
      </c>
      <c r="E149" s="2" t="s">
        <v>49</v>
      </c>
      <c r="F149" t="s">
        <v>49</v>
      </c>
      <c r="G149">
        <v>141</v>
      </c>
      <c r="H149" s="2" t="s">
        <v>49</v>
      </c>
      <c r="I149" s="3" t="s">
        <v>69</v>
      </c>
      <c r="J149" s="4">
        <v>106</v>
      </c>
      <c r="Q149" s="4" t="s">
        <v>51</v>
      </c>
      <c r="W149">
        <v>6</v>
      </c>
      <c r="X149">
        <v>12</v>
      </c>
      <c r="Y149" s="4">
        <f>J149</f>
        <v>106</v>
      </c>
      <c r="Z149" s="4">
        <v>0</v>
      </c>
      <c r="AM149">
        <v>72</v>
      </c>
      <c r="AN149" t="s">
        <v>52</v>
      </c>
      <c r="AO149" t="s">
        <v>53</v>
      </c>
      <c r="AP149">
        <v>-26606</v>
      </c>
      <c r="AQ149">
        <v>0</v>
      </c>
      <c r="AR149" t="s">
        <v>54</v>
      </c>
      <c r="AS149" t="s">
        <v>55</v>
      </c>
      <c r="AT149" t="s">
        <v>55</v>
      </c>
      <c r="AU149" t="s">
        <v>56</v>
      </c>
      <c r="AV149">
        <v>921</v>
      </c>
      <c r="AW149" t="s">
        <v>70</v>
      </c>
      <c r="AX149" t="s">
        <v>55</v>
      </c>
      <c r="AY149" t="s">
        <v>58</v>
      </c>
      <c r="AZ149" t="s">
        <v>59</v>
      </c>
      <c r="BA149" t="s">
        <v>55</v>
      </c>
      <c r="BB149" t="s">
        <v>49</v>
      </c>
      <c r="BC149" t="s">
        <v>49</v>
      </c>
      <c r="BD149" t="s">
        <v>49</v>
      </c>
      <c r="BE149" t="s">
        <v>55</v>
      </c>
      <c r="BF149">
        <v>13</v>
      </c>
      <c r="BG149" t="s">
        <v>60</v>
      </c>
      <c r="BH149" t="s">
        <v>71</v>
      </c>
      <c r="BI149" t="s">
        <v>62</v>
      </c>
      <c r="BJ149" t="s">
        <v>63</v>
      </c>
      <c r="BK149">
        <v>2008</v>
      </c>
      <c r="BL149">
        <v>0</v>
      </c>
      <c r="BR149">
        <f>B149-BS149</f>
        <v>1</v>
      </c>
      <c r="BS149">
        <v>140</v>
      </c>
      <c r="BT149">
        <f t="shared" si="12"/>
        <v>1</v>
      </c>
    </row>
    <row r="150" spans="1:72" x14ac:dyDescent="0.2">
      <c r="A150" s="19" t="s">
        <v>579</v>
      </c>
      <c r="B150" s="1" t="s">
        <v>50</v>
      </c>
      <c r="C150">
        <v>0</v>
      </c>
      <c r="D150" s="8" t="s">
        <v>49</v>
      </c>
      <c r="E150" s="12" t="s">
        <v>49</v>
      </c>
      <c r="F150" s="8" t="s">
        <v>49</v>
      </c>
      <c r="G150" s="8" t="s">
        <v>49</v>
      </c>
      <c r="H150" s="12" t="s">
        <v>49</v>
      </c>
      <c r="I150" s="3" t="s">
        <v>50</v>
      </c>
      <c r="J150" s="8"/>
      <c r="K150" s="8"/>
      <c r="L150" s="8"/>
      <c r="M150" s="8"/>
      <c r="N150" s="8"/>
      <c r="O150" s="8"/>
      <c r="P150" s="8"/>
      <c r="Q150" s="8" t="s">
        <v>50</v>
      </c>
      <c r="R150" s="8"/>
      <c r="S150" s="8"/>
      <c r="T150" s="8"/>
      <c r="U150" s="8"/>
      <c r="V150" s="8"/>
      <c r="W150" s="8"/>
      <c r="X150" s="8"/>
      <c r="Y150" s="8"/>
      <c r="Z150" s="8"/>
      <c r="AA150" s="8"/>
      <c r="AB150" s="8"/>
      <c r="AC150" s="8"/>
      <c r="AD150" s="8"/>
      <c r="AE150" s="8"/>
      <c r="AF150" s="8"/>
      <c r="AG150" s="8"/>
      <c r="AH150" s="8"/>
      <c r="AI150" s="8"/>
      <c r="AJ150" s="8"/>
      <c r="AK150" s="8"/>
      <c r="AL150" s="8"/>
      <c r="AM150" s="8" t="s">
        <v>49</v>
      </c>
      <c r="AN150" s="8" t="s">
        <v>49</v>
      </c>
      <c r="AO150" s="8" t="s">
        <v>49</v>
      </c>
      <c r="AP150" s="8" t="s">
        <v>49</v>
      </c>
      <c r="AQ150" s="8" t="s">
        <v>49</v>
      </c>
      <c r="AR150" s="8" t="s">
        <v>49</v>
      </c>
      <c r="AS150" s="8" t="s">
        <v>49</v>
      </c>
      <c r="AT150" s="8" t="s">
        <v>49</v>
      </c>
      <c r="AU150" s="8" t="s">
        <v>49</v>
      </c>
      <c r="AV150" s="8" t="s">
        <v>49</v>
      </c>
      <c r="AW150" s="8" t="s">
        <v>49</v>
      </c>
      <c r="AX150" s="8" t="s">
        <v>49</v>
      </c>
      <c r="AY150" s="8" t="s">
        <v>49</v>
      </c>
      <c r="AZ150" s="8" t="s">
        <v>49</v>
      </c>
      <c r="BA150" s="8" t="s">
        <v>49</v>
      </c>
      <c r="BB150" s="8" t="s">
        <v>49</v>
      </c>
      <c r="BC150" s="8" t="s">
        <v>49</v>
      </c>
      <c r="BD150" s="8" t="s">
        <v>49</v>
      </c>
      <c r="BE150" s="8" t="s">
        <v>49</v>
      </c>
      <c r="BF150" s="8" t="s">
        <v>49</v>
      </c>
      <c r="BG150" s="8" t="s">
        <v>49</v>
      </c>
      <c r="BH150" s="8" t="s">
        <v>49</v>
      </c>
      <c r="BI150" s="8" t="s">
        <v>49</v>
      </c>
      <c r="BJ150" s="8" t="s">
        <v>49</v>
      </c>
      <c r="BK150" s="8" t="s">
        <v>49</v>
      </c>
      <c r="BT150">
        <f t="shared" si="12"/>
        <v>0</v>
      </c>
    </row>
    <row r="151" spans="1:72" x14ac:dyDescent="0.2">
      <c r="A151" s="19" t="s">
        <v>215</v>
      </c>
      <c r="B151" s="1">
        <v>195</v>
      </c>
      <c r="C151">
        <v>0</v>
      </c>
      <c r="D151" t="s">
        <v>68</v>
      </c>
      <c r="E151" s="2" t="s">
        <v>49</v>
      </c>
      <c r="F151" t="s">
        <v>49</v>
      </c>
      <c r="G151">
        <v>195</v>
      </c>
      <c r="H151" s="2" t="s">
        <v>49</v>
      </c>
      <c r="I151" s="3" t="s">
        <v>69</v>
      </c>
      <c r="J151" s="4">
        <v>156</v>
      </c>
      <c r="Q151" s="4" t="s">
        <v>51</v>
      </c>
      <c r="W151" s="8">
        <v>6</v>
      </c>
      <c r="X151" s="8">
        <v>12</v>
      </c>
      <c r="Y151" s="4">
        <f t="shared" ref="Y151:Y158" si="13">J151</f>
        <v>156</v>
      </c>
      <c r="Z151" s="4">
        <v>0</v>
      </c>
      <c r="AM151">
        <v>74</v>
      </c>
      <c r="AN151" t="s">
        <v>126</v>
      </c>
      <c r="AO151" t="s">
        <v>53</v>
      </c>
      <c r="AP151">
        <v>-27080</v>
      </c>
      <c r="AQ151">
        <v>0</v>
      </c>
      <c r="AR151" t="s">
        <v>54</v>
      </c>
      <c r="AS151" t="s">
        <v>55</v>
      </c>
      <c r="AT151" t="s">
        <v>55</v>
      </c>
      <c r="AU151" t="s">
        <v>56</v>
      </c>
      <c r="AV151">
        <v>923</v>
      </c>
      <c r="AW151" t="s">
        <v>70</v>
      </c>
      <c r="AX151" t="s">
        <v>55</v>
      </c>
      <c r="AY151" t="s">
        <v>58</v>
      </c>
      <c r="AZ151" t="s">
        <v>59</v>
      </c>
      <c r="BA151" t="s">
        <v>55</v>
      </c>
      <c r="BB151" t="s">
        <v>49</v>
      </c>
      <c r="BC151" t="s">
        <v>49</v>
      </c>
      <c r="BD151" t="s">
        <v>49</v>
      </c>
      <c r="BE151" t="s">
        <v>55</v>
      </c>
      <c r="BF151">
        <v>13</v>
      </c>
      <c r="BG151" t="s">
        <v>60</v>
      </c>
      <c r="BH151" t="s">
        <v>71</v>
      </c>
      <c r="BI151" t="s">
        <v>62</v>
      </c>
      <c r="BJ151" t="s">
        <v>63</v>
      </c>
      <c r="BK151">
        <v>2008</v>
      </c>
      <c r="BL151">
        <v>0</v>
      </c>
      <c r="BR151">
        <f t="shared" ref="BR151:BR161" si="14">B151-BS151</f>
        <v>44</v>
      </c>
      <c r="BS151">
        <v>151</v>
      </c>
      <c r="BT151">
        <f t="shared" si="12"/>
        <v>1</v>
      </c>
    </row>
    <row r="152" spans="1:72" x14ac:dyDescent="0.2">
      <c r="A152" s="19" t="s">
        <v>216</v>
      </c>
      <c r="B152" s="1">
        <v>185</v>
      </c>
      <c r="C152">
        <v>0</v>
      </c>
      <c r="D152" t="s">
        <v>68</v>
      </c>
      <c r="E152" s="2" t="s">
        <v>49</v>
      </c>
      <c r="F152" t="s">
        <v>49</v>
      </c>
      <c r="G152">
        <v>185</v>
      </c>
      <c r="H152" s="2" t="s">
        <v>49</v>
      </c>
      <c r="I152" s="3" t="s">
        <v>69</v>
      </c>
      <c r="J152" s="4">
        <f>185-38</f>
        <v>147</v>
      </c>
      <c r="P152" t="s">
        <v>824</v>
      </c>
      <c r="Q152" s="4" t="s">
        <v>51</v>
      </c>
      <c r="W152" s="8">
        <v>6</v>
      </c>
      <c r="X152" s="8">
        <v>12</v>
      </c>
      <c r="Y152" s="4">
        <f t="shared" si="13"/>
        <v>147</v>
      </c>
      <c r="Z152" s="4">
        <v>0</v>
      </c>
      <c r="AM152">
        <v>45</v>
      </c>
      <c r="AN152" t="s">
        <v>52</v>
      </c>
      <c r="AO152" t="s">
        <v>53</v>
      </c>
      <c r="AP152">
        <v>-16670</v>
      </c>
      <c r="AQ152">
        <v>0</v>
      </c>
      <c r="AR152" t="s">
        <v>54</v>
      </c>
      <c r="AS152" t="s">
        <v>55</v>
      </c>
      <c r="AT152" t="s">
        <v>55</v>
      </c>
      <c r="AU152" t="s">
        <v>85</v>
      </c>
      <c r="AV152">
        <v>924</v>
      </c>
      <c r="AW152" t="s">
        <v>70</v>
      </c>
      <c r="AX152" t="s">
        <v>55</v>
      </c>
      <c r="AY152" t="s">
        <v>58</v>
      </c>
      <c r="AZ152" t="s">
        <v>59</v>
      </c>
      <c r="BA152" t="s">
        <v>55</v>
      </c>
      <c r="BB152" t="s">
        <v>49</v>
      </c>
      <c r="BC152" t="s">
        <v>49</v>
      </c>
      <c r="BD152" t="s">
        <v>49</v>
      </c>
      <c r="BE152" t="s">
        <v>53</v>
      </c>
      <c r="BF152">
        <v>13</v>
      </c>
      <c r="BG152" t="s">
        <v>60</v>
      </c>
      <c r="BH152" t="s">
        <v>61</v>
      </c>
      <c r="BI152" t="s">
        <v>83</v>
      </c>
      <c r="BJ152" t="s">
        <v>63</v>
      </c>
      <c r="BK152">
        <v>2008</v>
      </c>
      <c r="BL152">
        <v>0</v>
      </c>
      <c r="BR152">
        <f t="shared" si="14"/>
        <v>42</v>
      </c>
      <c r="BS152">
        <v>143</v>
      </c>
      <c r="BT152">
        <f t="shared" si="12"/>
        <v>1</v>
      </c>
    </row>
    <row r="153" spans="1:72" x14ac:dyDescent="0.2">
      <c r="A153" s="19" t="s">
        <v>217</v>
      </c>
      <c r="B153" s="1">
        <v>331</v>
      </c>
      <c r="C153">
        <v>0</v>
      </c>
      <c r="D153" t="s">
        <v>68</v>
      </c>
      <c r="E153" s="2" t="s">
        <v>49</v>
      </c>
      <c r="F153" t="s">
        <v>49</v>
      </c>
      <c r="G153">
        <v>331</v>
      </c>
      <c r="H153" s="2" t="s">
        <v>49</v>
      </c>
      <c r="I153" s="3" t="s">
        <v>69</v>
      </c>
      <c r="J153" s="4">
        <v>304</v>
      </c>
      <c r="Q153" s="4" t="s">
        <v>51</v>
      </c>
      <c r="W153" s="8">
        <v>6</v>
      </c>
      <c r="X153" s="8">
        <v>12</v>
      </c>
      <c r="Y153" s="4">
        <f t="shared" si="13"/>
        <v>304</v>
      </c>
      <c r="Z153" s="4">
        <v>0</v>
      </c>
      <c r="AM153">
        <v>48</v>
      </c>
      <c r="AN153" t="s">
        <v>101</v>
      </c>
      <c r="AO153" t="s">
        <v>53</v>
      </c>
      <c r="AP153">
        <v>-17697</v>
      </c>
      <c r="AQ153">
        <v>0</v>
      </c>
      <c r="AR153" t="s">
        <v>54</v>
      </c>
      <c r="AS153" t="s">
        <v>55</v>
      </c>
      <c r="AT153" t="s">
        <v>55</v>
      </c>
      <c r="AU153" t="s">
        <v>85</v>
      </c>
      <c r="AV153">
        <v>1403</v>
      </c>
      <c r="AW153" t="s">
        <v>70</v>
      </c>
      <c r="AX153" t="s">
        <v>55</v>
      </c>
      <c r="AY153" t="s">
        <v>58</v>
      </c>
      <c r="AZ153" t="s">
        <v>59</v>
      </c>
      <c r="BA153" t="s">
        <v>55</v>
      </c>
      <c r="BB153" t="s">
        <v>49</v>
      </c>
      <c r="BC153" t="s">
        <v>49</v>
      </c>
      <c r="BD153" t="s">
        <v>49</v>
      </c>
      <c r="BE153" t="s">
        <v>55</v>
      </c>
      <c r="BF153">
        <v>13</v>
      </c>
      <c r="BG153" t="s">
        <v>60</v>
      </c>
      <c r="BH153" t="s">
        <v>49</v>
      </c>
      <c r="BI153" t="s">
        <v>62</v>
      </c>
      <c r="BJ153" t="s">
        <v>63</v>
      </c>
      <c r="BK153">
        <v>2008</v>
      </c>
      <c r="BL153">
        <v>0</v>
      </c>
      <c r="BR153">
        <f t="shared" si="14"/>
        <v>190</v>
      </c>
      <c r="BS153">
        <v>141</v>
      </c>
      <c r="BT153">
        <f t="shared" si="12"/>
        <v>1</v>
      </c>
    </row>
    <row r="154" spans="1:72" x14ac:dyDescent="0.2">
      <c r="A154" s="19" t="s">
        <v>218</v>
      </c>
      <c r="B154" s="1">
        <v>274</v>
      </c>
      <c r="C154">
        <v>0</v>
      </c>
      <c r="D154" t="s">
        <v>68</v>
      </c>
      <c r="E154" s="2" t="s">
        <v>49</v>
      </c>
      <c r="F154" t="s">
        <v>49</v>
      </c>
      <c r="G154">
        <v>201</v>
      </c>
      <c r="H154" s="2" t="s">
        <v>49</v>
      </c>
      <c r="I154" s="3" t="s">
        <v>69</v>
      </c>
      <c r="J154" s="4">
        <v>224</v>
      </c>
      <c r="Q154" s="4" t="s">
        <v>51</v>
      </c>
      <c r="W154" s="8">
        <v>9</v>
      </c>
      <c r="X154" s="8">
        <v>15</v>
      </c>
      <c r="Y154" s="4">
        <f t="shared" si="13"/>
        <v>224</v>
      </c>
      <c r="Z154" s="4">
        <v>0</v>
      </c>
      <c r="AM154">
        <v>48</v>
      </c>
      <c r="AN154" t="s">
        <v>52</v>
      </c>
      <c r="AO154" t="s">
        <v>53</v>
      </c>
      <c r="AP154">
        <v>-17783</v>
      </c>
      <c r="AQ154">
        <v>0</v>
      </c>
      <c r="AR154" t="s">
        <v>54</v>
      </c>
      <c r="AS154" t="s">
        <v>55</v>
      </c>
      <c r="AT154" t="s">
        <v>55</v>
      </c>
      <c r="AU154" t="s">
        <v>85</v>
      </c>
      <c r="AV154">
        <v>1404</v>
      </c>
      <c r="AW154" t="s">
        <v>70</v>
      </c>
      <c r="AX154" t="s">
        <v>55</v>
      </c>
      <c r="AY154" t="s">
        <v>58</v>
      </c>
      <c r="AZ154" t="s">
        <v>59</v>
      </c>
      <c r="BA154" t="s">
        <v>55</v>
      </c>
      <c r="BB154" t="s">
        <v>49</v>
      </c>
      <c r="BC154" t="s">
        <v>49</v>
      </c>
      <c r="BD154" t="s">
        <v>49</v>
      </c>
      <c r="BE154" t="s">
        <v>55</v>
      </c>
      <c r="BF154">
        <v>13</v>
      </c>
      <c r="BG154" t="s">
        <v>60</v>
      </c>
      <c r="BH154" t="s">
        <v>61</v>
      </c>
      <c r="BI154" t="s">
        <v>62</v>
      </c>
      <c r="BJ154" t="s">
        <v>63</v>
      </c>
      <c r="BK154">
        <v>2008</v>
      </c>
      <c r="BL154">
        <v>0</v>
      </c>
      <c r="BR154">
        <f t="shared" si="14"/>
        <v>0</v>
      </c>
      <c r="BS154">
        <v>274</v>
      </c>
      <c r="BT154">
        <f t="shared" si="12"/>
        <v>1</v>
      </c>
    </row>
    <row r="155" spans="1:72" x14ac:dyDescent="0.2">
      <c r="A155" s="19" t="s">
        <v>219</v>
      </c>
      <c r="B155" s="1">
        <v>224</v>
      </c>
      <c r="C155">
        <v>0</v>
      </c>
      <c r="D155" t="s">
        <v>68</v>
      </c>
      <c r="E155" s="2" t="s">
        <v>49</v>
      </c>
      <c r="F155" t="s">
        <v>49</v>
      </c>
      <c r="G155">
        <v>224</v>
      </c>
      <c r="H155" s="2" t="s">
        <v>49</v>
      </c>
      <c r="I155" s="3" t="s">
        <v>69</v>
      </c>
      <c r="J155" s="4">
        <v>201</v>
      </c>
      <c r="Q155" s="4" t="s">
        <v>51</v>
      </c>
      <c r="W155" s="8">
        <v>7</v>
      </c>
      <c r="X155" s="8">
        <v>14</v>
      </c>
      <c r="Y155" s="4">
        <f t="shared" si="13"/>
        <v>201</v>
      </c>
      <c r="Z155" s="4">
        <v>0</v>
      </c>
      <c r="AM155">
        <v>49</v>
      </c>
      <c r="AN155" t="s">
        <v>52</v>
      </c>
      <c r="AO155" t="s">
        <v>53</v>
      </c>
      <c r="AP155">
        <v>-18218</v>
      </c>
      <c r="AQ155">
        <v>0</v>
      </c>
      <c r="AR155" t="s">
        <v>54</v>
      </c>
      <c r="AS155" t="s">
        <v>55</v>
      </c>
      <c r="AT155" t="s">
        <v>55</v>
      </c>
      <c r="AU155" t="s">
        <v>85</v>
      </c>
      <c r="AV155">
        <v>1405</v>
      </c>
      <c r="AW155" t="s">
        <v>70</v>
      </c>
      <c r="AX155" t="s">
        <v>55</v>
      </c>
      <c r="AY155" t="s">
        <v>58</v>
      </c>
      <c r="AZ155" t="s">
        <v>59</v>
      </c>
      <c r="BA155" t="s">
        <v>55</v>
      </c>
      <c r="BB155" t="s">
        <v>49</v>
      </c>
      <c r="BC155" t="s">
        <v>49</v>
      </c>
      <c r="BD155" t="s">
        <v>49</v>
      </c>
      <c r="BE155" t="s">
        <v>55</v>
      </c>
      <c r="BF155">
        <v>13</v>
      </c>
      <c r="BG155" t="s">
        <v>60</v>
      </c>
      <c r="BH155" t="s">
        <v>61</v>
      </c>
      <c r="BI155" t="s">
        <v>83</v>
      </c>
      <c r="BJ155" t="s">
        <v>63</v>
      </c>
      <c r="BK155">
        <v>2008</v>
      </c>
      <c r="BL155">
        <v>0</v>
      </c>
      <c r="BR155">
        <f t="shared" si="14"/>
        <v>77</v>
      </c>
      <c r="BS155">
        <v>147</v>
      </c>
      <c r="BT155">
        <f t="shared" si="12"/>
        <v>1</v>
      </c>
    </row>
    <row r="156" spans="1:72" x14ac:dyDescent="0.2">
      <c r="A156" s="19" t="s">
        <v>220</v>
      </c>
      <c r="B156" s="1">
        <v>184</v>
      </c>
      <c r="C156">
        <v>0</v>
      </c>
      <c r="D156" t="s">
        <v>68</v>
      </c>
      <c r="E156" s="2" t="s">
        <v>49</v>
      </c>
      <c r="F156" t="s">
        <v>49</v>
      </c>
      <c r="G156">
        <v>184</v>
      </c>
      <c r="H156" s="2" t="s">
        <v>49</v>
      </c>
      <c r="I156" s="3" t="s">
        <v>69</v>
      </c>
      <c r="J156" s="4">
        <v>142</v>
      </c>
      <c r="Q156" s="4" t="s">
        <v>51</v>
      </c>
      <c r="W156" s="8">
        <v>7</v>
      </c>
      <c r="X156" s="8">
        <v>14</v>
      </c>
      <c r="Y156" s="4">
        <f t="shared" si="13"/>
        <v>142</v>
      </c>
      <c r="Z156" s="4">
        <v>0</v>
      </c>
      <c r="AM156">
        <v>51</v>
      </c>
      <c r="AN156" t="s">
        <v>52</v>
      </c>
      <c r="AO156" t="s">
        <v>53</v>
      </c>
      <c r="AP156">
        <v>-18895</v>
      </c>
      <c r="AQ156">
        <v>0</v>
      </c>
      <c r="AR156" t="s">
        <v>54</v>
      </c>
      <c r="AS156" t="s">
        <v>55</v>
      </c>
      <c r="AT156" t="s">
        <v>55</v>
      </c>
      <c r="AU156" t="s">
        <v>85</v>
      </c>
      <c r="AV156">
        <v>1407</v>
      </c>
      <c r="AW156" t="s">
        <v>70</v>
      </c>
      <c r="AX156" t="s">
        <v>55</v>
      </c>
      <c r="AY156" t="s">
        <v>58</v>
      </c>
      <c r="AZ156" t="s">
        <v>59</v>
      </c>
      <c r="BA156" t="s">
        <v>55</v>
      </c>
      <c r="BB156" t="s">
        <v>49</v>
      </c>
      <c r="BC156" t="s">
        <v>49</v>
      </c>
      <c r="BD156" t="s">
        <v>49</v>
      </c>
      <c r="BE156" t="s">
        <v>55</v>
      </c>
      <c r="BF156">
        <v>13</v>
      </c>
      <c r="BG156" t="s">
        <v>60</v>
      </c>
      <c r="BH156" t="s">
        <v>49</v>
      </c>
      <c r="BI156" t="s">
        <v>62</v>
      </c>
      <c r="BJ156" t="s">
        <v>63</v>
      </c>
      <c r="BK156">
        <v>2008</v>
      </c>
      <c r="BL156">
        <v>0</v>
      </c>
      <c r="BR156">
        <f t="shared" si="14"/>
        <v>0</v>
      </c>
      <c r="BS156">
        <v>184</v>
      </c>
      <c r="BT156">
        <f t="shared" si="12"/>
        <v>1</v>
      </c>
    </row>
    <row r="157" spans="1:72" x14ac:dyDescent="0.2">
      <c r="A157" s="19" t="s">
        <v>221</v>
      </c>
      <c r="B157" s="1">
        <v>180</v>
      </c>
      <c r="C157">
        <v>0</v>
      </c>
      <c r="D157" t="s">
        <v>68</v>
      </c>
      <c r="E157" s="2" t="s">
        <v>49</v>
      </c>
      <c r="F157" t="s">
        <v>49</v>
      </c>
      <c r="G157">
        <v>180</v>
      </c>
      <c r="H157" s="2" t="s">
        <v>49</v>
      </c>
      <c r="I157" s="3" t="s">
        <v>69</v>
      </c>
      <c r="J157" s="4">
        <v>172</v>
      </c>
      <c r="Q157" s="4" t="s">
        <v>51</v>
      </c>
      <c r="W157" s="8">
        <v>8</v>
      </c>
      <c r="X157" s="8">
        <v>16</v>
      </c>
      <c r="Y157" s="4">
        <f t="shared" si="13"/>
        <v>172</v>
      </c>
      <c r="Z157" s="4">
        <v>0</v>
      </c>
      <c r="AM157">
        <v>59</v>
      </c>
      <c r="AN157" t="s">
        <v>49</v>
      </c>
      <c r="AO157" t="s">
        <v>53</v>
      </c>
      <c r="AP157">
        <v>-21635</v>
      </c>
      <c r="AQ157">
        <v>0</v>
      </c>
      <c r="AR157" t="s">
        <v>54</v>
      </c>
      <c r="AS157" t="s">
        <v>55</v>
      </c>
      <c r="AT157" t="s">
        <v>55</v>
      </c>
      <c r="AU157" t="s">
        <v>56</v>
      </c>
      <c r="AV157">
        <v>1408</v>
      </c>
      <c r="AW157" t="s">
        <v>57</v>
      </c>
      <c r="AX157" t="s">
        <v>55</v>
      </c>
      <c r="AY157" t="s">
        <v>114</v>
      </c>
      <c r="AZ157" t="s">
        <v>59</v>
      </c>
      <c r="BA157" t="s">
        <v>55</v>
      </c>
      <c r="BB157" t="s">
        <v>49</v>
      </c>
      <c r="BC157" t="s">
        <v>49</v>
      </c>
      <c r="BD157" t="s">
        <v>49</v>
      </c>
      <c r="BE157" t="s">
        <v>55</v>
      </c>
      <c r="BF157">
        <v>13</v>
      </c>
      <c r="BG157" t="s">
        <v>60</v>
      </c>
      <c r="BH157" t="s">
        <v>82</v>
      </c>
      <c r="BI157" t="s">
        <v>62</v>
      </c>
      <c r="BJ157" t="s">
        <v>63</v>
      </c>
      <c r="BK157">
        <v>2008</v>
      </c>
      <c r="BL157">
        <v>0</v>
      </c>
      <c r="BR157">
        <f t="shared" si="14"/>
        <v>-21</v>
      </c>
      <c r="BS157">
        <v>201</v>
      </c>
      <c r="BT157">
        <f t="shared" si="12"/>
        <v>1</v>
      </c>
    </row>
    <row r="158" spans="1:72" x14ac:dyDescent="0.2">
      <c r="A158" s="19" t="s">
        <v>222</v>
      </c>
      <c r="B158" s="1">
        <v>208</v>
      </c>
      <c r="C158">
        <v>0</v>
      </c>
      <c r="D158" t="s">
        <v>68</v>
      </c>
      <c r="E158" s="2" t="s">
        <v>49</v>
      </c>
      <c r="F158" t="s">
        <v>49</v>
      </c>
      <c r="G158">
        <v>208</v>
      </c>
      <c r="H158" s="2" t="s">
        <v>49</v>
      </c>
      <c r="I158" s="3" t="s">
        <v>69</v>
      </c>
      <c r="J158" s="4">
        <v>114</v>
      </c>
      <c r="Q158" s="4" t="s">
        <v>51</v>
      </c>
      <c r="W158" s="8">
        <v>6</v>
      </c>
      <c r="X158" s="8">
        <v>12</v>
      </c>
      <c r="Y158" s="4">
        <f t="shared" si="13"/>
        <v>114</v>
      </c>
      <c r="Z158" s="4">
        <v>0</v>
      </c>
      <c r="AM158">
        <v>73</v>
      </c>
      <c r="AN158" t="s">
        <v>49</v>
      </c>
      <c r="AO158" t="s">
        <v>53</v>
      </c>
      <c r="AP158">
        <v>-26835</v>
      </c>
      <c r="AQ158">
        <v>0</v>
      </c>
      <c r="AR158" t="s">
        <v>54</v>
      </c>
      <c r="AS158" t="s">
        <v>55</v>
      </c>
      <c r="AT158" t="s">
        <v>55</v>
      </c>
      <c r="AU158" t="s">
        <v>166</v>
      </c>
      <c r="AV158">
        <v>1409</v>
      </c>
      <c r="AW158" t="s">
        <v>57</v>
      </c>
      <c r="AX158" t="s">
        <v>55</v>
      </c>
      <c r="AY158" t="s">
        <v>49</v>
      </c>
      <c r="AZ158" t="s">
        <v>59</v>
      </c>
      <c r="BA158" t="s">
        <v>55</v>
      </c>
      <c r="BB158" t="s">
        <v>49</v>
      </c>
      <c r="BC158" t="s">
        <v>49</v>
      </c>
      <c r="BD158" t="s">
        <v>49</v>
      </c>
      <c r="BE158" t="s">
        <v>55</v>
      </c>
      <c r="BF158">
        <v>13</v>
      </c>
      <c r="BG158" t="s">
        <v>60</v>
      </c>
      <c r="BH158" t="s">
        <v>61</v>
      </c>
      <c r="BI158" t="s">
        <v>62</v>
      </c>
      <c r="BJ158" t="s">
        <v>63</v>
      </c>
      <c r="BK158">
        <v>2008</v>
      </c>
      <c r="BL158">
        <v>0</v>
      </c>
      <c r="BR158">
        <f t="shared" si="14"/>
        <v>114</v>
      </c>
      <c r="BS158">
        <v>94</v>
      </c>
      <c r="BT158">
        <f t="shared" si="12"/>
        <v>1</v>
      </c>
    </row>
    <row r="159" spans="1:72" x14ac:dyDescent="0.2">
      <c r="A159" s="19" t="s">
        <v>580</v>
      </c>
      <c r="B159" s="1">
        <v>143</v>
      </c>
      <c r="C159">
        <v>0</v>
      </c>
      <c r="D159" s="8" t="s">
        <v>68</v>
      </c>
      <c r="E159" s="12" t="s">
        <v>49</v>
      </c>
      <c r="F159" s="8" t="s">
        <v>49</v>
      </c>
      <c r="G159" s="8">
        <v>143</v>
      </c>
      <c r="H159" s="12" t="s">
        <v>49</v>
      </c>
      <c r="I159" s="3" t="s">
        <v>69</v>
      </c>
      <c r="J159" s="4">
        <v>104</v>
      </c>
      <c r="K159" s="8"/>
      <c r="L159" s="8"/>
      <c r="M159" s="8"/>
      <c r="N159" s="8"/>
      <c r="O159" s="8"/>
      <c r="P159" s="8"/>
      <c r="Q159" s="4" t="s">
        <v>51</v>
      </c>
      <c r="R159" s="8"/>
      <c r="S159" s="8"/>
      <c r="T159" s="8"/>
      <c r="U159" s="8"/>
      <c r="V159" s="8"/>
      <c r="W159" s="8">
        <v>5</v>
      </c>
      <c r="X159" s="8">
        <v>10</v>
      </c>
      <c r="Y159" s="4">
        <v>104</v>
      </c>
      <c r="Z159" s="4">
        <v>0</v>
      </c>
      <c r="AA159" s="8"/>
      <c r="AB159" s="8"/>
      <c r="AC159" s="8"/>
      <c r="AD159" s="8"/>
      <c r="AE159" s="8"/>
      <c r="AF159" s="8"/>
      <c r="AG159" s="8"/>
      <c r="AH159" s="8"/>
      <c r="AI159" s="8"/>
      <c r="AJ159" s="8"/>
      <c r="AK159" s="8"/>
      <c r="AL159" s="8"/>
      <c r="AM159" s="8">
        <v>57</v>
      </c>
      <c r="AN159" s="8" t="s">
        <v>52</v>
      </c>
      <c r="AO159" s="8" t="s">
        <v>53</v>
      </c>
      <c r="AP159" s="8">
        <v>-20950</v>
      </c>
      <c r="AQ159" s="8">
        <v>0</v>
      </c>
      <c r="AR159" s="8" t="s">
        <v>54</v>
      </c>
      <c r="AS159" s="8" t="s">
        <v>55</v>
      </c>
      <c r="AT159" s="8" t="s">
        <v>55</v>
      </c>
      <c r="AU159" s="8" t="s">
        <v>56</v>
      </c>
      <c r="AV159" s="8">
        <v>1410</v>
      </c>
      <c r="AW159" s="8" t="s">
        <v>70</v>
      </c>
      <c r="AX159" s="8" t="s">
        <v>55</v>
      </c>
      <c r="AY159" s="8" t="s">
        <v>58</v>
      </c>
      <c r="AZ159" s="8" t="s">
        <v>59</v>
      </c>
      <c r="BA159" s="8" t="s">
        <v>55</v>
      </c>
      <c r="BB159" s="8" t="s">
        <v>49</v>
      </c>
      <c r="BC159" s="8" t="s">
        <v>49</v>
      </c>
      <c r="BD159" s="8" t="s">
        <v>49</v>
      </c>
      <c r="BE159" s="8" t="s">
        <v>55</v>
      </c>
      <c r="BF159" s="8">
        <v>13</v>
      </c>
      <c r="BG159" s="8" t="s">
        <v>571</v>
      </c>
      <c r="BH159" s="8" t="s">
        <v>49</v>
      </c>
      <c r="BI159" s="8" t="s">
        <v>83</v>
      </c>
      <c r="BJ159" s="8" t="s">
        <v>63</v>
      </c>
      <c r="BK159" s="8">
        <v>2008</v>
      </c>
      <c r="BL159">
        <v>0</v>
      </c>
      <c r="BR159">
        <f t="shared" si="14"/>
        <v>18</v>
      </c>
      <c r="BS159">
        <v>125</v>
      </c>
      <c r="BT159">
        <f t="shared" si="12"/>
        <v>1</v>
      </c>
    </row>
    <row r="160" spans="1:72" x14ac:dyDescent="0.2">
      <c r="A160" s="19" t="s">
        <v>223</v>
      </c>
      <c r="B160" s="1">
        <v>128</v>
      </c>
      <c r="C160">
        <v>0</v>
      </c>
      <c r="D160" t="s">
        <v>68</v>
      </c>
      <c r="E160" s="2" t="s">
        <v>49</v>
      </c>
      <c r="F160" t="s">
        <v>49</v>
      </c>
      <c r="G160">
        <v>128</v>
      </c>
      <c r="H160" s="2" t="s">
        <v>49</v>
      </c>
      <c r="I160" s="3" t="s">
        <v>69</v>
      </c>
      <c r="J160" s="4">
        <v>120</v>
      </c>
      <c r="Q160" s="4" t="s">
        <v>51</v>
      </c>
      <c r="W160" s="8">
        <v>6</v>
      </c>
      <c r="X160" s="8">
        <v>12</v>
      </c>
      <c r="Y160" s="4">
        <f>J160</f>
        <v>120</v>
      </c>
      <c r="Z160" s="4">
        <v>0</v>
      </c>
      <c r="AM160">
        <v>81</v>
      </c>
      <c r="AN160" t="s">
        <v>49</v>
      </c>
      <c r="AO160" t="s">
        <v>53</v>
      </c>
      <c r="AP160">
        <v>-29873</v>
      </c>
      <c r="AQ160">
        <v>0</v>
      </c>
      <c r="AR160" t="s">
        <v>54</v>
      </c>
      <c r="AS160" t="s">
        <v>55</v>
      </c>
      <c r="AT160" t="s">
        <v>55</v>
      </c>
      <c r="AU160" t="s">
        <v>56</v>
      </c>
      <c r="AV160">
        <v>1411</v>
      </c>
      <c r="AW160" t="s">
        <v>57</v>
      </c>
      <c r="AX160" t="s">
        <v>55</v>
      </c>
      <c r="AY160" t="s">
        <v>114</v>
      </c>
      <c r="AZ160" t="s">
        <v>59</v>
      </c>
      <c r="BA160" t="s">
        <v>55</v>
      </c>
      <c r="BB160" t="s">
        <v>49</v>
      </c>
      <c r="BC160" t="s">
        <v>49</v>
      </c>
      <c r="BD160" t="s">
        <v>49</v>
      </c>
      <c r="BE160" t="s">
        <v>55</v>
      </c>
      <c r="BF160">
        <v>13</v>
      </c>
      <c r="BG160" t="s">
        <v>60</v>
      </c>
      <c r="BH160" t="s">
        <v>82</v>
      </c>
      <c r="BI160" t="s">
        <v>62</v>
      </c>
      <c r="BJ160" t="s">
        <v>63</v>
      </c>
      <c r="BK160">
        <v>2008</v>
      </c>
      <c r="BL160">
        <v>0</v>
      </c>
      <c r="BR160">
        <f t="shared" si="14"/>
        <v>0</v>
      </c>
      <c r="BS160">
        <v>128</v>
      </c>
      <c r="BT160">
        <f t="shared" si="12"/>
        <v>1</v>
      </c>
    </row>
    <row r="161" spans="1:72" x14ac:dyDescent="0.2">
      <c r="A161" s="19" t="s">
        <v>224</v>
      </c>
      <c r="B161" s="1">
        <v>168</v>
      </c>
      <c r="C161">
        <v>0</v>
      </c>
      <c r="D161" t="s">
        <v>68</v>
      </c>
      <c r="E161" s="2" t="s">
        <v>49</v>
      </c>
      <c r="F161" t="s">
        <v>49</v>
      </c>
      <c r="G161">
        <v>162</v>
      </c>
      <c r="H161" s="2" t="s">
        <v>49</v>
      </c>
      <c r="I161" s="3" t="s">
        <v>69</v>
      </c>
      <c r="J161" s="4">
        <f>168-37</f>
        <v>131</v>
      </c>
      <c r="Q161" s="4" t="s">
        <v>51</v>
      </c>
      <c r="W161" s="8">
        <v>8</v>
      </c>
      <c r="X161" s="8">
        <v>16</v>
      </c>
      <c r="Y161" s="4">
        <f>J161</f>
        <v>131</v>
      </c>
      <c r="Z161" s="4">
        <v>0</v>
      </c>
      <c r="AM161">
        <v>41</v>
      </c>
      <c r="AN161" t="s">
        <v>52</v>
      </c>
      <c r="AO161" t="s">
        <v>53</v>
      </c>
      <c r="AP161">
        <v>-15119</v>
      </c>
      <c r="AQ161">
        <v>0</v>
      </c>
      <c r="AR161" t="s">
        <v>54</v>
      </c>
      <c r="AS161" t="s">
        <v>55</v>
      </c>
      <c r="AT161" t="s">
        <v>55</v>
      </c>
      <c r="AU161" t="s">
        <v>56</v>
      </c>
      <c r="AV161">
        <v>1412</v>
      </c>
      <c r="AW161" t="s">
        <v>70</v>
      </c>
      <c r="AX161" t="s">
        <v>55</v>
      </c>
      <c r="AY161" t="s">
        <v>58</v>
      </c>
      <c r="AZ161" t="s">
        <v>59</v>
      </c>
      <c r="BA161" t="s">
        <v>55</v>
      </c>
      <c r="BB161" t="s">
        <v>49</v>
      </c>
      <c r="BC161" t="s">
        <v>49</v>
      </c>
      <c r="BD161" t="s">
        <v>49</v>
      </c>
      <c r="BE161" t="s">
        <v>55</v>
      </c>
      <c r="BF161">
        <v>13</v>
      </c>
      <c r="BG161" t="s">
        <v>60</v>
      </c>
      <c r="BH161" t="s">
        <v>61</v>
      </c>
      <c r="BI161" t="s">
        <v>83</v>
      </c>
      <c r="BJ161" t="s">
        <v>63</v>
      </c>
      <c r="BK161">
        <v>2008</v>
      </c>
      <c r="BL161">
        <v>0</v>
      </c>
      <c r="BR161">
        <f t="shared" si="14"/>
        <v>-37</v>
      </c>
      <c r="BS161">
        <v>205</v>
      </c>
      <c r="BT161">
        <f t="shared" si="12"/>
        <v>1</v>
      </c>
    </row>
    <row r="162" spans="1:72" x14ac:dyDescent="0.2">
      <c r="A162" s="19" t="s">
        <v>581</v>
      </c>
      <c r="B162" s="1">
        <v>1661</v>
      </c>
      <c r="C162">
        <v>1</v>
      </c>
      <c r="D162" s="8" t="s">
        <v>48</v>
      </c>
      <c r="E162" s="12">
        <v>234</v>
      </c>
      <c r="F162" s="8">
        <v>1661</v>
      </c>
      <c r="G162" s="8">
        <v>1661</v>
      </c>
      <c r="H162" s="12" t="s">
        <v>49</v>
      </c>
      <c r="I162" s="3">
        <v>234</v>
      </c>
      <c r="J162" s="4">
        <f>I162-56</f>
        <v>178</v>
      </c>
      <c r="K162" s="8"/>
      <c r="L162" s="8"/>
      <c r="M162" s="8"/>
      <c r="N162" s="8"/>
      <c r="O162" s="8"/>
      <c r="P162" s="8"/>
      <c r="Q162" s="4" t="s">
        <v>51</v>
      </c>
      <c r="R162" s="8"/>
      <c r="S162" s="8"/>
      <c r="T162" s="8"/>
      <c r="U162" s="8"/>
      <c r="V162" s="8"/>
      <c r="W162" s="8">
        <v>7</v>
      </c>
      <c r="X162" s="8">
        <v>14</v>
      </c>
      <c r="Y162" s="4">
        <v>178</v>
      </c>
      <c r="Z162" s="4">
        <v>1</v>
      </c>
      <c r="AA162" s="8"/>
      <c r="AB162" s="8"/>
      <c r="AC162" s="8"/>
      <c r="AD162" s="8"/>
      <c r="AE162" s="8"/>
      <c r="AF162" s="8"/>
      <c r="AG162" s="8"/>
      <c r="AH162" s="8"/>
      <c r="AI162" s="8"/>
      <c r="AJ162" s="8"/>
      <c r="AK162" s="8"/>
      <c r="AL162" s="8"/>
      <c r="AM162" s="8">
        <v>49</v>
      </c>
      <c r="AN162" s="8" t="s">
        <v>52</v>
      </c>
      <c r="AO162" s="8" t="s">
        <v>53</v>
      </c>
      <c r="AP162" s="8">
        <v>-18111</v>
      </c>
      <c r="AQ162" s="8">
        <v>0</v>
      </c>
      <c r="AR162" s="8" t="s">
        <v>54</v>
      </c>
      <c r="AS162" s="8" t="s">
        <v>55</v>
      </c>
      <c r="AT162" s="8" t="s">
        <v>55</v>
      </c>
      <c r="AU162" s="8" t="s">
        <v>166</v>
      </c>
      <c r="AV162" s="8">
        <v>1477</v>
      </c>
      <c r="AW162" s="8" t="s">
        <v>57</v>
      </c>
      <c r="AX162" s="8" t="s">
        <v>55</v>
      </c>
      <c r="AY162" s="8" t="s">
        <v>81</v>
      </c>
      <c r="AZ162" s="8" t="s">
        <v>59</v>
      </c>
      <c r="BA162" s="8" t="s">
        <v>55</v>
      </c>
      <c r="BB162" s="8" t="s">
        <v>49</v>
      </c>
      <c r="BC162" s="8" t="s">
        <v>49</v>
      </c>
      <c r="BD162" s="8" t="s">
        <v>66</v>
      </c>
      <c r="BE162" s="8" t="s">
        <v>55</v>
      </c>
      <c r="BF162" s="8">
        <v>13</v>
      </c>
      <c r="BG162" s="8" t="s">
        <v>511</v>
      </c>
      <c r="BH162" s="8" t="s">
        <v>61</v>
      </c>
      <c r="BI162" s="8" t="s">
        <v>83</v>
      </c>
      <c r="BJ162" s="8" t="s">
        <v>63</v>
      </c>
      <c r="BK162" s="8">
        <v>2000</v>
      </c>
      <c r="BL162">
        <v>1</v>
      </c>
      <c r="BR162">
        <f t="shared" ref="BR162:BR171" si="15">I162-BS162</f>
        <v>29</v>
      </c>
      <c r="BS162">
        <v>205</v>
      </c>
      <c r="BT162">
        <f t="shared" si="12"/>
        <v>1</v>
      </c>
    </row>
    <row r="163" spans="1:72" x14ac:dyDescent="0.2">
      <c r="A163" s="19" t="s">
        <v>582</v>
      </c>
      <c r="B163" s="1">
        <v>2648</v>
      </c>
      <c r="C163">
        <v>1</v>
      </c>
      <c r="D163" s="8" t="s">
        <v>48</v>
      </c>
      <c r="E163" s="12" t="s">
        <v>49</v>
      </c>
      <c r="F163" s="8">
        <v>2648</v>
      </c>
      <c r="G163" s="8">
        <v>2648</v>
      </c>
      <c r="H163" s="12" t="s">
        <v>49</v>
      </c>
      <c r="I163" s="3">
        <v>2648</v>
      </c>
      <c r="J163" s="4">
        <v>2637</v>
      </c>
      <c r="K163" s="8"/>
      <c r="L163" s="8"/>
      <c r="M163" s="8"/>
      <c r="N163" s="8"/>
      <c r="O163" s="8"/>
      <c r="P163" s="8"/>
      <c r="Q163" s="4" t="s">
        <v>51</v>
      </c>
      <c r="R163" s="8"/>
      <c r="S163" s="8"/>
      <c r="T163" s="8"/>
      <c r="U163" s="8"/>
      <c r="V163" s="8"/>
      <c r="W163" s="8">
        <v>9</v>
      </c>
      <c r="X163" s="8">
        <v>15</v>
      </c>
      <c r="Y163" s="4">
        <v>2637</v>
      </c>
      <c r="Z163" s="4">
        <v>1</v>
      </c>
      <c r="AA163" s="8"/>
      <c r="AB163" s="8"/>
      <c r="AC163" s="8"/>
      <c r="AD163" s="8"/>
      <c r="AE163" s="8"/>
      <c r="AF163" s="8"/>
      <c r="AG163" s="8"/>
      <c r="AH163" s="8"/>
      <c r="AI163" s="8"/>
      <c r="AJ163" s="8"/>
      <c r="AK163" s="8"/>
      <c r="AL163" s="8"/>
      <c r="AM163" s="8">
        <v>76</v>
      </c>
      <c r="AN163" s="8" t="s">
        <v>126</v>
      </c>
      <c r="AO163" s="8" t="s">
        <v>53</v>
      </c>
      <c r="AP163" s="8">
        <v>-27898</v>
      </c>
      <c r="AQ163" s="8">
        <v>0</v>
      </c>
      <c r="AR163" s="8" t="s">
        <v>54</v>
      </c>
      <c r="AS163" s="8" t="s">
        <v>55</v>
      </c>
      <c r="AT163" s="8" t="s">
        <v>55</v>
      </c>
      <c r="AU163" s="8" t="s">
        <v>85</v>
      </c>
      <c r="AV163" s="8">
        <v>1481</v>
      </c>
      <c r="AW163" s="8" t="s">
        <v>70</v>
      </c>
      <c r="AX163" s="8" t="s">
        <v>55</v>
      </c>
      <c r="AY163" s="8" t="s">
        <v>58</v>
      </c>
      <c r="AZ163" s="8" t="s">
        <v>59</v>
      </c>
      <c r="BA163" s="8" t="s">
        <v>55</v>
      </c>
      <c r="BB163" s="8" t="s">
        <v>49</v>
      </c>
      <c r="BC163" s="8" t="s">
        <v>49</v>
      </c>
      <c r="BD163" s="8" t="s">
        <v>49</v>
      </c>
      <c r="BE163" s="8" t="s">
        <v>55</v>
      </c>
      <c r="BF163" s="8">
        <v>13</v>
      </c>
      <c r="BG163" s="8" t="s">
        <v>511</v>
      </c>
      <c r="BH163" s="8" t="s">
        <v>61</v>
      </c>
      <c r="BI163" s="8" t="s">
        <v>62</v>
      </c>
      <c r="BJ163" s="8" t="s">
        <v>63</v>
      </c>
      <c r="BK163" s="8">
        <v>2000</v>
      </c>
      <c r="BL163">
        <v>1</v>
      </c>
      <c r="BR163">
        <f t="shared" si="15"/>
        <v>2406</v>
      </c>
      <c r="BS163">
        <v>242</v>
      </c>
      <c r="BT163">
        <f t="shared" si="12"/>
        <v>1</v>
      </c>
    </row>
    <row r="164" spans="1:72" x14ac:dyDescent="0.2">
      <c r="A164" s="19" t="s">
        <v>583</v>
      </c>
      <c r="B164" s="1">
        <v>1877</v>
      </c>
      <c r="C164">
        <v>1</v>
      </c>
      <c r="D164" s="8" t="s">
        <v>48</v>
      </c>
      <c r="E164" s="12" t="s">
        <v>49</v>
      </c>
      <c r="F164" s="8">
        <v>1877</v>
      </c>
      <c r="G164" s="8">
        <v>1877</v>
      </c>
      <c r="H164" s="12">
        <v>602</v>
      </c>
      <c r="I164" s="3">
        <v>602</v>
      </c>
      <c r="J164" s="4">
        <f>602-33</f>
        <v>569</v>
      </c>
      <c r="K164" s="8"/>
      <c r="L164" s="8"/>
      <c r="M164" s="8"/>
      <c r="N164" s="8"/>
      <c r="O164" s="8"/>
      <c r="P164" s="8"/>
      <c r="Q164" s="4" t="s">
        <v>51</v>
      </c>
      <c r="R164" s="8"/>
      <c r="S164" s="8"/>
      <c r="T164" s="8"/>
      <c r="U164" s="8"/>
      <c r="V164" s="8"/>
      <c r="W164" s="8">
        <v>6</v>
      </c>
      <c r="X164" s="8">
        <v>12</v>
      </c>
      <c r="Y164" s="4">
        <v>569</v>
      </c>
      <c r="Z164" s="4">
        <v>1</v>
      </c>
      <c r="AA164" s="8"/>
      <c r="AB164" s="8"/>
      <c r="AC164" s="8"/>
      <c r="AD164" s="8"/>
      <c r="AE164" s="8"/>
      <c r="AF164" s="8"/>
      <c r="AG164" s="8"/>
      <c r="AH164" s="8"/>
      <c r="AI164" s="8"/>
      <c r="AJ164" s="8"/>
      <c r="AK164" s="8"/>
      <c r="AL164" s="8"/>
      <c r="AM164" s="8">
        <v>52</v>
      </c>
      <c r="AN164" s="8" t="s">
        <v>49</v>
      </c>
      <c r="AO164" s="8" t="s">
        <v>53</v>
      </c>
      <c r="AP164" s="8">
        <v>-19177</v>
      </c>
      <c r="AQ164" s="8">
        <v>0</v>
      </c>
      <c r="AR164" s="8" t="s">
        <v>54</v>
      </c>
      <c r="AS164" s="8" t="s">
        <v>55</v>
      </c>
      <c r="AT164" s="8" t="s">
        <v>55</v>
      </c>
      <c r="AU164" s="8" t="s">
        <v>85</v>
      </c>
      <c r="AV164" s="8">
        <v>1482</v>
      </c>
      <c r="AW164" s="8" t="s">
        <v>57</v>
      </c>
      <c r="AX164" s="8" t="s">
        <v>55</v>
      </c>
      <c r="AY164" s="8" t="s">
        <v>114</v>
      </c>
      <c r="AZ164" s="8" t="s">
        <v>59</v>
      </c>
      <c r="BA164" s="8" t="s">
        <v>55</v>
      </c>
      <c r="BB164" s="8" t="s">
        <v>49</v>
      </c>
      <c r="BC164" s="8" t="s">
        <v>49</v>
      </c>
      <c r="BD164" s="8" t="s">
        <v>66</v>
      </c>
      <c r="BE164" s="8" t="s">
        <v>55</v>
      </c>
      <c r="BF164" s="8">
        <v>13</v>
      </c>
      <c r="BG164" s="8" t="s">
        <v>511</v>
      </c>
      <c r="BH164" s="8" t="s">
        <v>82</v>
      </c>
      <c r="BI164" s="8" t="s">
        <v>83</v>
      </c>
      <c r="BJ164" s="8" t="s">
        <v>63</v>
      </c>
      <c r="BK164" s="8">
        <v>2000</v>
      </c>
      <c r="BL164">
        <v>1</v>
      </c>
      <c r="BR164">
        <f t="shared" si="15"/>
        <v>450</v>
      </c>
      <c r="BS164">
        <v>152</v>
      </c>
      <c r="BT164">
        <f t="shared" si="12"/>
        <v>1</v>
      </c>
    </row>
    <row r="165" spans="1:72" x14ac:dyDescent="0.2">
      <c r="A165" s="19" t="s">
        <v>225</v>
      </c>
      <c r="B165" s="1">
        <v>894</v>
      </c>
      <c r="C165">
        <v>1</v>
      </c>
      <c r="D165" t="s">
        <v>48</v>
      </c>
      <c r="E165" s="2" t="s">
        <v>49</v>
      </c>
      <c r="F165">
        <v>894</v>
      </c>
      <c r="G165">
        <v>894</v>
      </c>
      <c r="H165" s="2">
        <v>296</v>
      </c>
      <c r="I165" s="3">
        <v>296</v>
      </c>
      <c r="J165" s="4">
        <f>296-35</f>
        <v>261</v>
      </c>
      <c r="Q165" s="4" t="s">
        <v>51</v>
      </c>
      <c r="W165" s="8">
        <v>8</v>
      </c>
      <c r="X165" s="8">
        <v>14</v>
      </c>
      <c r="Y165" s="4">
        <f>J165</f>
        <v>261</v>
      </c>
      <c r="Z165" s="4">
        <v>1</v>
      </c>
      <c r="AM165">
        <v>61</v>
      </c>
      <c r="AN165" t="s">
        <v>49</v>
      </c>
      <c r="AO165" t="s">
        <v>53</v>
      </c>
      <c r="AP165">
        <v>-22342</v>
      </c>
      <c r="AQ165">
        <v>0</v>
      </c>
      <c r="AR165" t="s">
        <v>54</v>
      </c>
      <c r="AS165" t="s">
        <v>55</v>
      </c>
      <c r="AT165" t="s">
        <v>55</v>
      </c>
      <c r="AU165" t="s">
        <v>161</v>
      </c>
      <c r="AV165">
        <v>1483</v>
      </c>
      <c r="AW165" t="s">
        <v>57</v>
      </c>
      <c r="AX165" t="s">
        <v>55</v>
      </c>
      <c r="AY165" t="s">
        <v>114</v>
      </c>
      <c r="AZ165" t="s">
        <v>59</v>
      </c>
      <c r="BA165" t="s">
        <v>55</v>
      </c>
      <c r="BB165" t="s">
        <v>49</v>
      </c>
      <c r="BC165" t="s">
        <v>49</v>
      </c>
      <c r="BD165" t="s">
        <v>49</v>
      </c>
      <c r="BE165" t="s">
        <v>55</v>
      </c>
      <c r="BF165">
        <v>13</v>
      </c>
      <c r="BG165" t="s">
        <v>60</v>
      </c>
      <c r="BH165" t="s">
        <v>82</v>
      </c>
      <c r="BI165" t="s">
        <v>62</v>
      </c>
      <c r="BJ165" t="s">
        <v>63</v>
      </c>
      <c r="BK165">
        <v>2000</v>
      </c>
      <c r="BL165">
        <v>1</v>
      </c>
      <c r="BR165">
        <f t="shared" si="15"/>
        <v>58</v>
      </c>
      <c r="BS165">
        <v>238</v>
      </c>
      <c r="BT165">
        <f t="shared" si="12"/>
        <v>1</v>
      </c>
    </row>
    <row r="166" spans="1:72" x14ac:dyDescent="0.2">
      <c r="A166" s="19" t="s">
        <v>226</v>
      </c>
      <c r="B166" s="1">
        <v>2982</v>
      </c>
      <c r="C166">
        <v>0</v>
      </c>
      <c r="D166" t="s">
        <v>68</v>
      </c>
      <c r="E166" s="2" t="s">
        <v>49</v>
      </c>
      <c r="F166" t="s">
        <v>49</v>
      </c>
      <c r="G166">
        <v>2982</v>
      </c>
      <c r="H166" s="2">
        <v>496</v>
      </c>
      <c r="I166" s="3">
        <v>496</v>
      </c>
      <c r="J166" s="4">
        <v>410</v>
      </c>
      <c r="P166" t="s">
        <v>785</v>
      </c>
      <c r="Q166" s="4" t="s">
        <v>51</v>
      </c>
      <c r="W166" s="8">
        <v>6</v>
      </c>
      <c r="X166" s="8">
        <v>12</v>
      </c>
      <c r="Y166" s="4">
        <f>J166</f>
        <v>410</v>
      </c>
      <c r="Z166" s="4">
        <v>1</v>
      </c>
      <c r="AM166">
        <v>62</v>
      </c>
      <c r="AN166" t="s">
        <v>49</v>
      </c>
      <c r="AO166" t="s">
        <v>53</v>
      </c>
      <c r="AP166">
        <v>-22698</v>
      </c>
      <c r="AQ166">
        <v>0</v>
      </c>
      <c r="AR166" t="s">
        <v>54</v>
      </c>
      <c r="AS166" t="s">
        <v>55</v>
      </c>
      <c r="AT166" t="s">
        <v>55</v>
      </c>
      <c r="AU166" t="s">
        <v>166</v>
      </c>
      <c r="AV166">
        <v>1484</v>
      </c>
      <c r="AW166" t="s">
        <v>57</v>
      </c>
      <c r="AX166" t="s">
        <v>55</v>
      </c>
      <c r="AY166" t="s">
        <v>58</v>
      </c>
      <c r="AZ166" t="s">
        <v>59</v>
      </c>
      <c r="BA166" t="s">
        <v>55</v>
      </c>
      <c r="BB166" t="s">
        <v>49</v>
      </c>
      <c r="BC166" t="s">
        <v>49</v>
      </c>
      <c r="BD166" t="s">
        <v>66</v>
      </c>
      <c r="BE166" t="s">
        <v>55</v>
      </c>
      <c r="BF166">
        <v>13</v>
      </c>
      <c r="BG166" t="s">
        <v>60</v>
      </c>
      <c r="BH166" t="s">
        <v>49</v>
      </c>
      <c r="BI166" t="s">
        <v>62</v>
      </c>
      <c r="BJ166" t="s">
        <v>63</v>
      </c>
      <c r="BK166">
        <v>2000</v>
      </c>
      <c r="BL166">
        <v>1</v>
      </c>
      <c r="BR166">
        <f t="shared" si="15"/>
        <v>306</v>
      </c>
      <c r="BS166">
        <v>190</v>
      </c>
      <c r="BT166">
        <f t="shared" si="12"/>
        <v>1</v>
      </c>
    </row>
    <row r="167" spans="1:72" x14ac:dyDescent="0.2">
      <c r="A167" s="19" t="s">
        <v>584</v>
      </c>
      <c r="B167" s="1">
        <v>629</v>
      </c>
      <c r="C167">
        <v>1</v>
      </c>
      <c r="D167" s="8" t="s">
        <v>48</v>
      </c>
      <c r="E167" s="12">
        <v>170</v>
      </c>
      <c r="F167" s="8">
        <v>629</v>
      </c>
      <c r="G167" s="8">
        <v>629</v>
      </c>
      <c r="H167" s="12" t="s">
        <v>49</v>
      </c>
      <c r="I167" s="3">
        <v>170</v>
      </c>
      <c r="J167" s="4">
        <f>170-45</f>
        <v>125</v>
      </c>
      <c r="K167" s="8"/>
      <c r="L167" s="8"/>
      <c r="M167" s="8"/>
      <c r="N167" s="8"/>
      <c r="O167" s="8"/>
      <c r="P167" s="8" t="s">
        <v>785</v>
      </c>
      <c r="Q167" s="4" t="s">
        <v>51</v>
      </c>
      <c r="R167" s="8"/>
      <c r="S167" s="8"/>
      <c r="T167" s="8"/>
      <c r="U167" s="8"/>
      <c r="V167" s="8"/>
      <c r="W167" s="8">
        <v>6</v>
      </c>
      <c r="X167" s="8">
        <v>12</v>
      </c>
      <c r="Y167" s="4">
        <f>J167</f>
        <v>125</v>
      </c>
      <c r="Z167" s="4">
        <v>1</v>
      </c>
      <c r="AA167" s="8"/>
      <c r="AB167" s="8"/>
      <c r="AC167" s="8"/>
      <c r="AD167" s="8"/>
      <c r="AE167" s="8"/>
      <c r="AF167" s="8"/>
      <c r="AG167" s="8"/>
      <c r="AH167" s="8"/>
      <c r="AI167" s="8"/>
      <c r="AJ167" s="8"/>
      <c r="AK167" s="8"/>
      <c r="AL167" s="8"/>
      <c r="AM167" s="8">
        <v>48</v>
      </c>
      <c r="AN167" s="8" t="s">
        <v>52</v>
      </c>
      <c r="AO167" s="8" t="s">
        <v>53</v>
      </c>
      <c r="AP167" s="8">
        <v>-17641</v>
      </c>
      <c r="AQ167" s="8">
        <v>0</v>
      </c>
      <c r="AR167" s="8" t="s">
        <v>54</v>
      </c>
      <c r="AS167" s="8" t="s">
        <v>55</v>
      </c>
      <c r="AT167" s="8" t="s">
        <v>55</v>
      </c>
      <c r="AU167" s="8" t="s">
        <v>166</v>
      </c>
      <c r="AV167" s="8">
        <v>1485</v>
      </c>
      <c r="AW167" s="8" t="s">
        <v>57</v>
      </c>
      <c r="AX167" s="8" t="s">
        <v>55</v>
      </c>
      <c r="AY167" s="8" t="s">
        <v>114</v>
      </c>
      <c r="AZ167" s="8" t="s">
        <v>59</v>
      </c>
      <c r="BA167" s="8" t="s">
        <v>55</v>
      </c>
      <c r="BB167" s="8" t="s">
        <v>49</v>
      </c>
      <c r="BC167" s="8" t="s">
        <v>49</v>
      </c>
      <c r="BD167" s="8" t="s">
        <v>66</v>
      </c>
      <c r="BE167" s="8" t="s">
        <v>55</v>
      </c>
      <c r="BF167" s="8">
        <v>13</v>
      </c>
      <c r="BG167" s="8" t="s">
        <v>511</v>
      </c>
      <c r="BH167" s="8" t="s">
        <v>61</v>
      </c>
      <c r="BI167" s="8" t="s">
        <v>83</v>
      </c>
      <c r="BJ167" s="8" t="s">
        <v>63</v>
      </c>
      <c r="BK167" s="8">
        <v>2001</v>
      </c>
      <c r="BL167">
        <v>1</v>
      </c>
      <c r="BR167">
        <f t="shared" si="15"/>
        <v>21</v>
      </c>
      <c r="BS167">
        <v>149</v>
      </c>
      <c r="BT167">
        <f t="shared" si="12"/>
        <v>1</v>
      </c>
    </row>
    <row r="168" spans="1:72" x14ac:dyDescent="0.2">
      <c r="A168" s="19" t="s">
        <v>585</v>
      </c>
      <c r="B168" s="1">
        <v>681</v>
      </c>
      <c r="C168">
        <v>1</v>
      </c>
      <c r="D168" s="8" t="s">
        <v>48</v>
      </c>
      <c r="E168" s="12" t="s">
        <v>49</v>
      </c>
      <c r="F168" s="8">
        <v>681</v>
      </c>
      <c r="G168" s="8">
        <v>681</v>
      </c>
      <c r="H168" s="12">
        <v>412</v>
      </c>
      <c r="I168" s="3">
        <v>412</v>
      </c>
      <c r="J168" s="4">
        <f>412-17</f>
        <v>395</v>
      </c>
      <c r="K168" s="8"/>
      <c r="L168" s="8"/>
      <c r="M168" s="8"/>
      <c r="N168" s="8"/>
      <c r="O168" s="8"/>
      <c r="P168" s="8"/>
      <c r="Q168" s="4" t="s">
        <v>51</v>
      </c>
      <c r="R168" s="8"/>
      <c r="S168" s="8"/>
      <c r="T168" s="8"/>
      <c r="U168" s="8"/>
      <c r="V168" s="8"/>
      <c r="W168" s="8">
        <v>13</v>
      </c>
      <c r="X168" s="8">
        <v>19</v>
      </c>
      <c r="Y168" s="4">
        <v>395</v>
      </c>
      <c r="Z168" s="4">
        <v>1</v>
      </c>
      <c r="AA168" s="8"/>
      <c r="AB168" s="8"/>
      <c r="AC168" s="8"/>
      <c r="AD168" s="8"/>
      <c r="AE168" s="8"/>
      <c r="AF168" s="8"/>
      <c r="AG168" s="8"/>
      <c r="AH168" s="8"/>
      <c r="AI168" s="8"/>
      <c r="AJ168" s="8"/>
      <c r="AK168" s="8"/>
      <c r="AL168" s="8"/>
      <c r="AM168" s="8">
        <v>74</v>
      </c>
      <c r="AN168" s="8" t="s">
        <v>49</v>
      </c>
      <c r="AO168" s="8" t="s">
        <v>53</v>
      </c>
      <c r="AP168" s="8">
        <v>-27176</v>
      </c>
      <c r="AQ168" s="8">
        <v>0</v>
      </c>
      <c r="AR168" s="8" t="s">
        <v>54</v>
      </c>
      <c r="AS168" s="8" t="s">
        <v>55</v>
      </c>
      <c r="AT168" s="8" t="s">
        <v>55</v>
      </c>
      <c r="AU168" s="8" t="s">
        <v>56</v>
      </c>
      <c r="AV168" s="8">
        <v>1487</v>
      </c>
      <c r="AW168" s="8" t="s">
        <v>57</v>
      </c>
      <c r="AX168" s="8" t="s">
        <v>55</v>
      </c>
      <c r="AY168" s="8" t="s">
        <v>58</v>
      </c>
      <c r="AZ168" s="8" t="s">
        <v>59</v>
      </c>
      <c r="BA168" s="8" t="s">
        <v>55</v>
      </c>
      <c r="BB168" s="8" t="s">
        <v>49</v>
      </c>
      <c r="BC168" s="8" t="s">
        <v>49</v>
      </c>
      <c r="BD168" s="8" t="s">
        <v>66</v>
      </c>
      <c r="BE168" s="8" t="s">
        <v>55</v>
      </c>
      <c r="BF168" s="8">
        <v>13</v>
      </c>
      <c r="BG168" s="8" t="s">
        <v>571</v>
      </c>
      <c r="BH168" s="8" t="s">
        <v>49</v>
      </c>
      <c r="BI168" s="8" t="s">
        <v>83</v>
      </c>
      <c r="BJ168" s="8" t="s">
        <v>63</v>
      </c>
      <c r="BK168" s="8">
        <v>2002</v>
      </c>
      <c r="BL168">
        <v>1</v>
      </c>
      <c r="BR168">
        <f t="shared" si="15"/>
        <v>205</v>
      </c>
      <c r="BS168">
        <v>207</v>
      </c>
      <c r="BT168">
        <f t="shared" si="12"/>
        <v>1</v>
      </c>
    </row>
    <row r="169" spans="1:72" x14ac:dyDescent="0.2">
      <c r="A169" s="19" t="s">
        <v>227</v>
      </c>
      <c r="B169" s="1">
        <v>2154</v>
      </c>
      <c r="C169">
        <v>1</v>
      </c>
      <c r="D169" t="s">
        <v>48</v>
      </c>
      <c r="E169" s="2" t="s">
        <v>49</v>
      </c>
      <c r="F169">
        <v>2154</v>
      </c>
      <c r="G169">
        <v>2154</v>
      </c>
      <c r="H169" s="2">
        <v>351</v>
      </c>
      <c r="I169" s="3">
        <v>351</v>
      </c>
      <c r="J169" s="4">
        <f>351-8</f>
        <v>343</v>
      </c>
      <c r="P169" t="s">
        <v>785</v>
      </c>
      <c r="Q169" s="4" t="s">
        <v>51</v>
      </c>
      <c r="W169" s="8">
        <v>8</v>
      </c>
      <c r="X169" s="8">
        <v>16</v>
      </c>
      <c r="Y169" s="4">
        <f>J169</f>
        <v>343</v>
      </c>
      <c r="Z169" s="4">
        <v>1</v>
      </c>
      <c r="AM169">
        <v>59</v>
      </c>
      <c r="AN169" t="s">
        <v>52</v>
      </c>
      <c r="AO169" t="s">
        <v>53</v>
      </c>
      <c r="AP169">
        <v>-21726</v>
      </c>
      <c r="AQ169">
        <v>0</v>
      </c>
      <c r="AR169" t="s">
        <v>54</v>
      </c>
      <c r="AS169" t="s">
        <v>55</v>
      </c>
      <c r="AT169" t="s">
        <v>55</v>
      </c>
      <c r="AU169" t="s">
        <v>85</v>
      </c>
      <c r="AV169">
        <v>1488</v>
      </c>
      <c r="AW169" t="s">
        <v>57</v>
      </c>
      <c r="AX169" t="s">
        <v>55</v>
      </c>
      <c r="AY169" t="s">
        <v>58</v>
      </c>
      <c r="AZ169" t="s">
        <v>59</v>
      </c>
      <c r="BA169" t="s">
        <v>55</v>
      </c>
      <c r="BB169" t="s">
        <v>49</v>
      </c>
      <c r="BC169" t="s">
        <v>49</v>
      </c>
      <c r="BD169" t="s">
        <v>66</v>
      </c>
      <c r="BE169" t="s">
        <v>55</v>
      </c>
      <c r="BF169">
        <v>13</v>
      </c>
      <c r="BG169" t="s">
        <v>60</v>
      </c>
      <c r="BH169" t="s">
        <v>142</v>
      </c>
      <c r="BI169" t="s">
        <v>83</v>
      </c>
      <c r="BJ169" t="s">
        <v>63</v>
      </c>
      <c r="BK169">
        <v>2002</v>
      </c>
      <c r="BL169">
        <v>1</v>
      </c>
      <c r="BR169">
        <f t="shared" si="15"/>
        <v>187</v>
      </c>
      <c r="BS169">
        <v>164</v>
      </c>
      <c r="BT169">
        <f t="shared" si="12"/>
        <v>1</v>
      </c>
    </row>
    <row r="170" spans="1:72" x14ac:dyDescent="0.2">
      <c r="A170" s="19" t="s">
        <v>586</v>
      </c>
      <c r="B170" s="1">
        <v>2480</v>
      </c>
      <c r="C170">
        <v>0</v>
      </c>
      <c r="D170" s="8" t="s">
        <v>68</v>
      </c>
      <c r="E170" s="12" t="s">
        <v>49</v>
      </c>
      <c r="F170" s="8" t="s">
        <v>49</v>
      </c>
      <c r="G170" s="8">
        <v>2521</v>
      </c>
      <c r="H170" s="12">
        <v>806</v>
      </c>
      <c r="I170" s="3">
        <v>806</v>
      </c>
      <c r="J170" s="4">
        <f>867-41</f>
        <v>826</v>
      </c>
      <c r="K170" s="4">
        <f>2521-867</f>
        <v>1654</v>
      </c>
      <c r="L170" s="8"/>
      <c r="M170" s="8"/>
      <c r="N170" s="8"/>
      <c r="O170" s="8"/>
      <c r="P170" s="8"/>
      <c r="Q170" s="4" t="s">
        <v>51</v>
      </c>
      <c r="R170" s="4" t="s">
        <v>51</v>
      </c>
      <c r="S170" s="8"/>
      <c r="T170" s="8"/>
      <c r="U170" s="8"/>
      <c r="V170" s="8"/>
      <c r="W170" s="8">
        <v>8</v>
      </c>
      <c r="X170" s="8">
        <v>15</v>
      </c>
      <c r="Y170" s="4">
        <f>J170+K170</f>
        <v>2480</v>
      </c>
      <c r="Z170" s="4">
        <v>0</v>
      </c>
      <c r="AA170" s="8"/>
      <c r="AB170" s="8"/>
      <c r="AC170" s="8"/>
      <c r="AD170" s="8"/>
      <c r="AE170" s="8"/>
      <c r="AF170" s="8"/>
      <c r="AG170" s="8"/>
      <c r="AH170" s="8"/>
      <c r="AI170" s="8"/>
      <c r="AJ170" s="8"/>
      <c r="AK170" s="8"/>
      <c r="AL170" s="8"/>
      <c r="AM170" s="8">
        <v>70</v>
      </c>
      <c r="AN170" s="8" t="s">
        <v>52</v>
      </c>
      <c r="AO170" s="8" t="s">
        <v>53</v>
      </c>
      <c r="AP170" s="8">
        <v>-25768</v>
      </c>
      <c r="AQ170" s="8">
        <v>0</v>
      </c>
      <c r="AR170" s="8" t="s">
        <v>54</v>
      </c>
      <c r="AS170" s="8" t="s">
        <v>55</v>
      </c>
      <c r="AT170" s="8" t="s">
        <v>55</v>
      </c>
      <c r="AU170" s="8" t="s">
        <v>56</v>
      </c>
      <c r="AV170" s="8">
        <v>1489</v>
      </c>
      <c r="AW170" s="8" t="s">
        <v>57</v>
      </c>
      <c r="AX170" s="8" t="s">
        <v>55</v>
      </c>
      <c r="AY170" s="8" t="s">
        <v>58</v>
      </c>
      <c r="AZ170" s="8" t="s">
        <v>59</v>
      </c>
      <c r="BA170" s="8" t="s">
        <v>55</v>
      </c>
      <c r="BB170" s="8" t="s">
        <v>49</v>
      </c>
      <c r="BC170" s="8" t="s">
        <v>49</v>
      </c>
      <c r="BD170" s="8" t="s">
        <v>106</v>
      </c>
      <c r="BE170" s="8" t="s">
        <v>55</v>
      </c>
      <c r="BF170" s="8">
        <v>13</v>
      </c>
      <c r="BG170" s="8" t="s">
        <v>511</v>
      </c>
      <c r="BH170" s="8" t="s">
        <v>49</v>
      </c>
      <c r="BI170" s="8" t="s">
        <v>62</v>
      </c>
      <c r="BJ170" s="8" t="s">
        <v>63</v>
      </c>
      <c r="BK170" s="8">
        <v>2002</v>
      </c>
      <c r="BL170">
        <v>1</v>
      </c>
      <c r="BM170">
        <v>0</v>
      </c>
      <c r="BR170">
        <f t="shared" si="15"/>
        <v>534</v>
      </c>
      <c r="BS170">
        <v>272</v>
      </c>
      <c r="BT170">
        <f t="shared" si="12"/>
        <v>2</v>
      </c>
    </row>
    <row r="171" spans="1:72" x14ac:dyDescent="0.2">
      <c r="A171" s="19" t="s">
        <v>228</v>
      </c>
      <c r="B171" s="1">
        <v>1595</v>
      </c>
      <c r="C171">
        <v>1</v>
      </c>
      <c r="D171" t="s">
        <v>48</v>
      </c>
      <c r="E171" s="2" t="s">
        <v>49</v>
      </c>
      <c r="F171">
        <v>1595</v>
      </c>
      <c r="G171">
        <v>1595</v>
      </c>
      <c r="H171" s="2">
        <v>508</v>
      </c>
      <c r="I171" s="3">
        <v>508</v>
      </c>
      <c r="J171" s="4">
        <f>508-42</f>
        <v>466</v>
      </c>
      <c r="P171" s="8" t="s">
        <v>785</v>
      </c>
      <c r="Q171" s="4" t="s">
        <v>51</v>
      </c>
      <c r="W171" s="8">
        <v>12</v>
      </c>
      <c r="X171" s="8">
        <v>18</v>
      </c>
      <c r="Y171" s="4">
        <f>J171</f>
        <v>466</v>
      </c>
      <c r="Z171" s="4">
        <v>1</v>
      </c>
      <c r="AM171">
        <v>55</v>
      </c>
      <c r="AN171" t="s">
        <v>52</v>
      </c>
      <c r="AO171" t="s">
        <v>53</v>
      </c>
      <c r="AP171">
        <v>-20261</v>
      </c>
      <c r="AQ171">
        <v>0</v>
      </c>
      <c r="AR171" t="s">
        <v>54</v>
      </c>
      <c r="AS171" t="s">
        <v>55</v>
      </c>
      <c r="AT171" t="s">
        <v>55</v>
      </c>
      <c r="AU171" t="s">
        <v>166</v>
      </c>
      <c r="AV171">
        <v>1491</v>
      </c>
      <c r="AW171" t="s">
        <v>57</v>
      </c>
      <c r="AX171" t="s">
        <v>55</v>
      </c>
      <c r="AY171" t="s">
        <v>114</v>
      </c>
      <c r="AZ171" t="s">
        <v>180</v>
      </c>
      <c r="BA171" t="s">
        <v>55</v>
      </c>
      <c r="BB171" t="s">
        <v>49</v>
      </c>
      <c r="BC171" t="s">
        <v>49</v>
      </c>
      <c r="BD171" t="s">
        <v>66</v>
      </c>
      <c r="BE171" t="s">
        <v>55</v>
      </c>
      <c r="BF171">
        <v>13</v>
      </c>
      <c r="BG171" t="s">
        <v>60</v>
      </c>
      <c r="BH171" t="s">
        <v>49</v>
      </c>
      <c r="BI171" t="s">
        <v>62</v>
      </c>
      <c r="BJ171" t="s">
        <v>63</v>
      </c>
      <c r="BK171">
        <v>2002</v>
      </c>
      <c r="BL171">
        <v>1</v>
      </c>
      <c r="BR171">
        <f t="shared" si="15"/>
        <v>354</v>
      </c>
      <c r="BS171">
        <v>154</v>
      </c>
      <c r="BT171">
        <f t="shared" si="12"/>
        <v>1</v>
      </c>
    </row>
    <row r="172" spans="1:72" x14ac:dyDescent="0.2">
      <c r="A172" s="19" t="s">
        <v>229</v>
      </c>
      <c r="B172" s="1">
        <v>2237</v>
      </c>
      <c r="C172">
        <v>0</v>
      </c>
      <c r="D172" t="s">
        <v>68</v>
      </c>
      <c r="E172" s="2" t="s">
        <v>49</v>
      </c>
      <c r="F172" t="s">
        <v>49</v>
      </c>
      <c r="G172">
        <v>2237</v>
      </c>
      <c r="H172" s="2" t="s">
        <v>49</v>
      </c>
      <c r="I172" s="3" t="s">
        <v>69</v>
      </c>
      <c r="J172" s="4">
        <f>G172-48</f>
        <v>2189</v>
      </c>
      <c r="Q172" s="4" t="s">
        <v>51</v>
      </c>
      <c r="W172" s="8">
        <v>7</v>
      </c>
      <c r="X172" s="8">
        <v>14</v>
      </c>
      <c r="Y172" s="4">
        <f>J172</f>
        <v>2189</v>
      </c>
      <c r="Z172" s="4">
        <v>0</v>
      </c>
      <c r="AM172">
        <v>66</v>
      </c>
      <c r="AN172" t="s">
        <v>49</v>
      </c>
      <c r="AO172" t="s">
        <v>53</v>
      </c>
      <c r="AP172">
        <v>-24331</v>
      </c>
      <c r="AQ172">
        <v>0</v>
      </c>
      <c r="AR172" t="s">
        <v>54</v>
      </c>
      <c r="AS172" t="s">
        <v>55</v>
      </c>
      <c r="AT172" t="s">
        <v>55</v>
      </c>
      <c r="AU172" t="s">
        <v>161</v>
      </c>
      <c r="AV172">
        <v>1492</v>
      </c>
      <c r="AW172" t="s">
        <v>70</v>
      </c>
      <c r="AX172" t="s">
        <v>55</v>
      </c>
      <c r="AY172" t="s">
        <v>58</v>
      </c>
      <c r="AZ172" t="s">
        <v>59</v>
      </c>
      <c r="BA172" t="s">
        <v>55</v>
      </c>
      <c r="BB172" t="s">
        <v>49</v>
      </c>
      <c r="BC172" t="s">
        <v>49</v>
      </c>
      <c r="BD172" t="s">
        <v>49</v>
      </c>
      <c r="BE172" t="s">
        <v>55</v>
      </c>
      <c r="BF172">
        <v>13</v>
      </c>
      <c r="BG172" t="s">
        <v>60</v>
      </c>
      <c r="BH172" t="s">
        <v>49</v>
      </c>
      <c r="BI172" t="s">
        <v>62</v>
      </c>
      <c r="BJ172" t="s">
        <v>63</v>
      </c>
      <c r="BK172">
        <v>2002</v>
      </c>
      <c r="BL172">
        <v>0</v>
      </c>
      <c r="BR172">
        <f>B172-BS172</f>
        <v>1990</v>
      </c>
      <c r="BS172">
        <v>247</v>
      </c>
      <c r="BT172">
        <f t="shared" si="12"/>
        <v>1</v>
      </c>
    </row>
    <row r="173" spans="1:72" x14ac:dyDescent="0.2">
      <c r="A173" s="19" t="s">
        <v>230</v>
      </c>
      <c r="B173" s="1">
        <v>1161</v>
      </c>
      <c r="C173">
        <v>0</v>
      </c>
      <c r="D173" t="s">
        <v>68</v>
      </c>
      <c r="E173" s="2" t="s">
        <v>49</v>
      </c>
      <c r="F173" t="s">
        <v>49</v>
      </c>
      <c r="G173">
        <v>1161</v>
      </c>
      <c r="H173" s="2">
        <v>693</v>
      </c>
      <c r="I173" s="3">
        <v>693</v>
      </c>
      <c r="J173" s="4">
        <v>693</v>
      </c>
      <c r="P173" t="s">
        <v>785</v>
      </c>
      <c r="Q173" s="4" t="s">
        <v>51</v>
      </c>
      <c r="W173" s="8">
        <v>6</v>
      </c>
      <c r="X173" s="8">
        <v>12</v>
      </c>
      <c r="Y173" s="4">
        <f>J173</f>
        <v>693</v>
      </c>
      <c r="Z173" s="4">
        <v>0</v>
      </c>
      <c r="AM173">
        <v>43</v>
      </c>
      <c r="AN173" t="s">
        <v>52</v>
      </c>
      <c r="AO173" t="s">
        <v>53</v>
      </c>
      <c r="AP173">
        <v>-15993</v>
      </c>
      <c r="AQ173">
        <v>0</v>
      </c>
      <c r="AR173" t="s">
        <v>54</v>
      </c>
      <c r="AS173" t="s">
        <v>55</v>
      </c>
      <c r="AT173" t="s">
        <v>55</v>
      </c>
      <c r="AU173" t="s">
        <v>166</v>
      </c>
      <c r="AV173">
        <v>1494</v>
      </c>
      <c r="AW173" t="s">
        <v>57</v>
      </c>
      <c r="AX173" t="s">
        <v>55</v>
      </c>
      <c r="AY173" t="s">
        <v>58</v>
      </c>
      <c r="AZ173" t="s">
        <v>59</v>
      </c>
      <c r="BA173" t="s">
        <v>55</v>
      </c>
      <c r="BB173" t="s">
        <v>49</v>
      </c>
      <c r="BC173" t="s">
        <v>49</v>
      </c>
      <c r="BD173" t="s">
        <v>66</v>
      </c>
      <c r="BE173" t="s">
        <v>55</v>
      </c>
      <c r="BF173">
        <v>13</v>
      </c>
      <c r="BG173" t="s">
        <v>60</v>
      </c>
      <c r="BH173" t="s">
        <v>49</v>
      </c>
      <c r="BI173" t="s">
        <v>83</v>
      </c>
      <c r="BJ173" t="s">
        <v>63</v>
      </c>
      <c r="BK173">
        <v>2004</v>
      </c>
      <c r="BL173">
        <v>1</v>
      </c>
      <c r="BR173">
        <f t="shared" ref="BR173:BR180" si="16">I173-BS173</f>
        <v>512</v>
      </c>
      <c r="BS173">
        <v>181</v>
      </c>
      <c r="BT173">
        <f t="shared" si="12"/>
        <v>1</v>
      </c>
    </row>
    <row r="174" spans="1:72" x14ac:dyDescent="0.2">
      <c r="A174" s="19" t="s">
        <v>587</v>
      </c>
      <c r="B174" s="1">
        <v>1497</v>
      </c>
      <c r="C174">
        <v>0</v>
      </c>
      <c r="D174" s="8" t="s">
        <v>68</v>
      </c>
      <c r="E174" s="12" t="s">
        <v>49</v>
      </c>
      <c r="F174" s="8" t="s">
        <v>49</v>
      </c>
      <c r="G174" s="8">
        <v>1497</v>
      </c>
      <c r="H174" s="12">
        <v>977</v>
      </c>
      <c r="I174" s="3">
        <v>977</v>
      </c>
      <c r="J174" s="4">
        <f>977-21</f>
        <v>956</v>
      </c>
      <c r="K174" s="8"/>
      <c r="L174" s="8"/>
      <c r="M174" s="8"/>
      <c r="N174" s="8"/>
      <c r="O174" s="8"/>
      <c r="P174" s="8" t="s">
        <v>825</v>
      </c>
      <c r="Q174" s="4" t="s">
        <v>51</v>
      </c>
      <c r="R174" s="8"/>
      <c r="S174" s="8"/>
      <c r="T174" s="8"/>
      <c r="U174" s="8"/>
      <c r="V174" s="8"/>
      <c r="W174" s="8">
        <v>18</v>
      </c>
      <c r="X174" s="8">
        <v>24</v>
      </c>
      <c r="Y174" s="4">
        <v>956</v>
      </c>
      <c r="Z174" s="4">
        <v>1</v>
      </c>
      <c r="AA174" s="8"/>
      <c r="AB174" s="8"/>
      <c r="AC174" s="8"/>
      <c r="AD174" s="8"/>
      <c r="AE174" s="8"/>
      <c r="AF174" s="8"/>
      <c r="AG174" s="8"/>
      <c r="AH174" s="8"/>
      <c r="AI174" s="8"/>
      <c r="AJ174" s="8"/>
      <c r="AK174" s="8"/>
      <c r="AL174" s="8"/>
      <c r="AM174" s="8">
        <v>60</v>
      </c>
      <c r="AN174" s="8" t="s">
        <v>52</v>
      </c>
      <c r="AO174" s="8" t="s">
        <v>53</v>
      </c>
      <c r="AP174" s="8">
        <v>-22046</v>
      </c>
      <c r="AQ174" s="8">
        <v>0</v>
      </c>
      <c r="AR174" s="8" t="s">
        <v>54</v>
      </c>
      <c r="AS174" s="8" t="s">
        <v>55</v>
      </c>
      <c r="AT174" s="8" t="s">
        <v>55</v>
      </c>
      <c r="AU174" s="8" t="s">
        <v>85</v>
      </c>
      <c r="AV174" s="8">
        <v>1495</v>
      </c>
      <c r="AW174" s="8" t="s">
        <v>57</v>
      </c>
      <c r="AX174" s="8" t="s">
        <v>55</v>
      </c>
      <c r="AY174" s="8" t="s">
        <v>58</v>
      </c>
      <c r="AZ174" s="8" t="s">
        <v>59</v>
      </c>
      <c r="BA174" s="8" t="s">
        <v>55</v>
      </c>
      <c r="BB174" s="8" t="s">
        <v>49</v>
      </c>
      <c r="BC174" s="8" t="s">
        <v>49</v>
      </c>
      <c r="BD174" s="8" t="s">
        <v>66</v>
      </c>
      <c r="BE174" s="8" t="s">
        <v>53</v>
      </c>
      <c r="BF174" s="8">
        <v>13</v>
      </c>
      <c r="BG174" s="8" t="s">
        <v>511</v>
      </c>
      <c r="BH174" s="8" t="s">
        <v>61</v>
      </c>
      <c r="BI174" s="8" t="s">
        <v>62</v>
      </c>
      <c r="BJ174" s="8" t="s">
        <v>63</v>
      </c>
      <c r="BK174" s="8">
        <v>2004</v>
      </c>
      <c r="BL174">
        <v>1</v>
      </c>
      <c r="BR174">
        <f t="shared" si="16"/>
        <v>838</v>
      </c>
      <c r="BS174">
        <v>139</v>
      </c>
      <c r="BT174">
        <f t="shared" si="12"/>
        <v>1</v>
      </c>
    </row>
    <row r="175" spans="1:72" x14ac:dyDescent="0.2">
      <c r="A175" s="19" t="s">
        <v>231</v>
      </c>
      <c r="B175" s="1">
        <v>129</v>
      </c>
      <c r="C175">
        <v>1</v>
      </c>
      <c r="D175" t="s">
        <v>48</v>
      </c>
      <c r="E175" s="2" t="s">
        <v>49</v>
      </c>
      <c r="F175">
        <v>129</v>
      </c>
      <c r="G175">
        <v>129</v>
      </c>
      <c r="H175" s="2" t="s">
        <v>49</v>
      </c>
      <c r="I175" s="3">
        <v>129</v>
      </c>
      <c r="J175" s="4">
        <v>96</v>
      </c>
      <c r="Q175" s="4" t="s">
        <v>51</v>
      </c>
      <c r="W175" s="8">
        <v>1</v>
      </c>
      <c r="X175" s="8">
        <v>2</v>
      </c>
      <c r="Y175" s="4">
        <f t="shared" ref="Y175:Y182" si="17">J175</f>
        <v>96</v>
      </c>
      <c r="Z175" s="4">
        <v>1</v>
      </c>
      <c r="AM175">
        <v>65</v>
      </c>
      <c r="AN175" t="s">
        <v>52</v>
      </c>
      <c r="AO175" t="s">
        <v>53</v>
      </c>
      <c r="AP175">
        <v>-23992</v>
      </c>
      <c r="AQ175">
        <v>0</v>
      </c>
      <c r="AR175" t="s">
        <v>54</v>
      </c>
      <c r="AS175" t="s">
        <v>55</v>
      </c>
      <c r="AT175" t="s">
        <v>55</v>
      </c>
      <c r="AU175" t="s">
        <v>85</v>
      </c>
      <c r="AV175">
        <v>1496</v>
      </c>
      <c r="AW175" t="s">
        <v>49</v>
      </c>
      <c r="AX175" t="s">
        <v>55</v>
      </c>
      <c r="AY175" t="s">
        <v>49</v>
      </c>
      <c r="AZ175" t="s">
        <v>59</v>
      </c>
      <c r="BA175" t="s">
        <v>55</v>
      </c>
      <c r="BB175" t="s">
        <v>49</v>
      </c>
      <c r="BC175" t="s">
        <v>49</v>
      </c>
      <c r="BD175" t="s">
        <v>49</v>
      </c>
      <c r="BE175" t="s">
        <v>55</v>
      </c>
      <c r="BF175">
        <v>13</v>
      </c>
      <c r="BG175" t="s">
        <v>60</v>
      </c>
      <c r="BH175" t="s">
        <v>82</v>
      </c>
      <c r="BI175" t="s">
        <v>62</v>
      </c>
      <c r="BJ175" t="s">
        <v>63</v>
      </c>
      <c r="BK175">
        <v>2004</v>
      </c>
      <c r="BL175">
        <v>1</v>
      </c>
      <c r="BR175">
        <f t="shared" si="16"/>
        <v>96</v>
      </c>
      <c r="BS175">
        <v>33</v>
      </c>
      <c r="BT175">
        <f t="shared" si="12"/>
        <v>1</v>
      </c>
    </row>
    <row r="176" spans="1:72" x14ac:dyDescent="0.2">
      <c r="A176" s="19" t="s">
        <v>232</v>
      </c>
      <c r="B176" s="1">
        <v>1652</v>
      </c>
      <c r="C176">
        <v>0</v>
      </c>
      <c r="D176" t="s">
        <v>68</v>
      </c>
      <c r="E176" s="2" t="s">
        <v>49</v>
      </c>
      <c r="F176" t="s">
        <v>49</v>
      </c>
      <c r="G176">
        <v>1652</v>
      </c>
      <c r="H176" s="2">
        <v>813</v>
      </c>
      <c r="I176" s="3">
        <v>813</v>
      </c>
      <c r="J176" s="4">
        <f>813-22</f>
        <v>791</v>
      </c>
      <c r="P176" t="s">
        <v>823</v>
      </c>
      <c r="Q176" s="4" t="s">
        <v>51</v>
      </c>
      <c r="W176" s="8">
        <v>7</v>
      </c>
      <c r="X176" s="8">
        <v>13</v>
      </c>
      <c r="Y176" s="4">
        <f t="shared" si="17"/>
        <v>791</v>
      </c>
      <c r="Z176" s="4">
        <v>1</v>
      </c>
      <c r="AM176">
        <v>48</v>
      </c>
      <c r="AN176" t="s">
        <v>49</v>
      </c>
      <c r="AO176" t="s">
        <v>53</v>
      </c>
      <c r="AP176">
        <v>-17528</v>
      </c>
      <c r="AQ176">
        <v>0</v>
      </c>
      <c r="AR176" t="s">
        <v>54</v>
      </c>
      <c r="AS176" t="s">
        <v>55</v>
      </c>
      <c r="AT176" t="s">
        <v>55</v>
      </c>
      <c r="AU176" t="s">
        <v>85</v>
      </c>
      <c r="AV176">
        <v>1497</v>
      </c>
      <c r="AW176" t="s">
        <v>57</v>
      </c>
      <c r="AX176" t="s">
        <v>55</v>
      </c>
      <c r="AY176" t="s">
        <v>58</v>
      </c>
      <c r="AZ176" t="s">
        <v>59</v>
      </c>
      <c r="BA176" t="s">
        <v>55</v>
      </c>
      <c r="BB176" t="s">
        <v>49</v>
      </c>
      <c r="BC176" t="s">
        <v>49</v>
      </c>
      <c r="BD176" t="s">
        <v>66</v>
      </c>
      <c r="BE176" t="s">
        <v>53</v>
      </c>
      <c r="BF176">
        <v>13</v>
      </c>
      <c r="BG176" t="s">
        <v>60</v>
      </c>
      <c r="BH176" t="s">
        <v>49</v>
      </c>
      <c r="BI176" t="s">
        <v>62</v>
      </c>
      <c r="BJ176" t="s">
        <v>63</v>
      </c>
      <c r="BK176">
        <v>2004</v>
      </c>
      <c r="BL176">
        <v>1</v>
      </c>
      <c r="BR176">
        <f t="shared" si="16"/>
        <v>628</v>
      </c>
      <c r="BS176">
        <v>185</v>
      </c>
      <c r="BT176">
        <f t="shared" si="12"/>
        <v>1</v>
      </c>
    </row>
    <row r="177" spans="1:72" x14ac:dyDescent="0.2">
      <c r="A177" s="19" t="s">
        <v>233</v>
      </c>
      <c r="B177" s="1">
        <v>1144</v>
      </c>
      <c r="C177">
        <v>0</v>
      </c>
      <c r="D177" t="s">
        <v>68</v>
      </c>
      <c r="E177" s="2">
        <v>533</v>
      </c>
      <c r="F177" t="s">
        <v>49</v>
      </c>
      <c r="G177">
        <v>1144</v>
      </c>
      <c r="H177" s="2" t="s">
        <v>49</v>
      </c>
      <c r="I177" s="3">
        <v>533</v>
      </c>
      <c r="J177" s="4">
        <f>533-7</f>
        <v>526</v>
      </c>
      <c r="Q177" s="4" t="s">
        <v>51</v>
      </c>
      <c r="W177" s="8">
        <v>10</v>
      </c>
      <c r="X177" s="8">
        <v>20</v>
      </c>
      <c r="Y177" s="4">
        <f t="shared" si="17"/>
        <v>526</v>
      </c>
      <c r="Z177" s="4">
        <v>1</v>
      </c>
      <c r="AM177">
        <v>73</v>
      </c>
      <c r="AN177" t="s">
        <v>49</v>
      </c>
      <c r="AO177" t="s">
        <v>53</v>
      </c>
      <c r="AP177">
        <v>-26820</v>
      </c>
      <c r="AQ177">
        <v>0</v>
      </c>
      <c r="AR177" t="s">
        <v>54</v>
      </c>
      <c r="AS177" t="s">
        <v>53</v>
      </c>
      <c r="AT177" t="s">
        <v>55</v>
      </c>
      <c r="AU177" t="s">
        <v>56</v>
      </c>
      <c r="AV177">
        <v>1498</v>
      </c>
      <c r="AW177" t="s">
        <v>57</v>
      </c>
      <c r="AX177" t="s">
        <v>55</v>
      </c>
      <c r="AY177" t="s">
        <v>114</v>
      </c>
      <c r="AZ177" t="s">
        <v>59</v>
      </c>
      <c r="BA177" t="s">
        <v>55</v>
      </c>
      <c r="BB177" t="s">
        <v>49</v>
      </c>
      <c r="BC177" t="s">
        <v>49</v>
      </c>
      <c r="BD177" t="s">
        <v>66</v>
      </c>
      <c r="BE177" t="s">
        <v>55</v>
      </c>
      <c r="BF177">
        <v>13</v>
      </c>
      <c r="BG177" t="s">
        <v>60</v>
      </c>
      <c r="BH177" t="s">
        <v>82</v>
      </c>
      <c r="BI177" t="s">
        <v>62</v>
      </c>
      <c r="BJ177" t="s">
        <v>63</v>
      </c>
      <c r="BK177">
        <v>2006</v>
      </c>
      <c r="BL177">
        <v>1</v>
      </c>
      <c r="BR177">
        <f t="shared" si="16"/>
        <v>318</v>
      </c>
      <c r="BS177">
        <v>215</v>
      </c>
      <c r="BT177">
        <f t="shared" si="12"/>
        <v>1</v>
      </c>
    </row>
    <row r="178" spans="1:72" x14ac:dyDescent="0.2">
      <c r="A178" s="19" t="s">
        <v>234</v>
      </c>
      <c r="B178" s="1">
        <v>1167</v>
      </c>
      <c r="C178">
        <v>0</v>
      </c>
      <c r="D178" t="s">
        <v>68</v>
      </c>
      <c r="E178" s="2" t="s">
        <v>49</v>
      </c>
      <c r="F178" t="s">
        <v>49</v>
      </c>
      <c r="G178">
        <v>1167</v>
      </c>
      <c r="H178" s="2">
        <v>582</v>
      </c>
      <c r="I178" s="3">
        <v>582</v>
      </c>
      <c r="J178" s="4">
        <f>582-76</f>
        <v>506</v>
      </c>
      <c r="Q178" s="4" t="s">
        <v>51</v>
      </c>
      <c r="W178" s="8">
        <v>6</v>
      </c>
      <c r="X178" s="8">
        <v>12</v>
      </c>
      <c r="Y178" s="4">
        <f t="shared" si="17"/>
        <v>506</v>
      </c>
      <c r="Z178" s="4">
        <v>1</v>
      </c>
      <c r="AM178">
        <v>56</v>
      </c>
      <c r="AN178" t="s">
        <v>49</v>
      </c>
      <c r="AO178" t="s">
        <v>53</v>
      </c>
      <c r="AP178">
        <v>-20668</v>
      </c>
      <c r="AQ178">
        <v>0</v>
      </c>
      <c r="AR178" t="s">
        <v>54</v>
      </c>
      <c r="AS178" t="s">
        <v>55</v>
      </c>
      <c r="AT178" t="s">
        <v>55</v>
      </c>
      <c r="AU178" t="s">
        <v>166</v>
      </c>
      <c r="AV178">
        <v>1499</v>
      </c>
      <c r="AW178" t="s">
        <v>57</v>
      </c>
      <c r="AX178" t="s">
        <v>55</v>
      </c>
      <c r="AY178" t="s">
        <v>58</v>
      </c>
      <c r="AZ178" t="s">
        <v>59</v>
      </c>
      <c r="BA178" t="s">
        <v>55</v>
      </c>
      <c r="BB178" t="s">
        <v>49</v>
      </c>
      <c r="BC178" t="s">
        <v>49</v>
      </c>
      <c r="BD178" t="s">
        <v>66</v>
      </c>
      <c r="BE178" t="s">
        <v>55</v>
      </c>
      <c r="BF178">
        <v>13</v>
      </c>
      <c r="BG178" t="s">
        <v>60</v>
      </c>
      <c r="BH178" t="s">
        <v>49</v>
      </c>
      <c r="BI178" t="s">
        <v>62</v>
      </c>
      <c r="BJ178" t="s">
        <v>63</v>
      </c>
      <c r="BK178">
        <v>2005</v>
      </c>
      <c r="BL178">
        <v>1</v>
      </c>
      <c r="BR178">
        <f t="shared" si="16"/>
        <v>396</v>
      </c>
      <c r="BS178">
        <v>186</v>
      </c>
      <c r="BT178">
        <f t="shared" si="12"/>
        <v>1</v>
      </c>
    </row>
    <row r="179" spans="1:72" x14ac:dyDescent="0.2">
      <c r="A179" s="19" t="s">
        <v>235</v>
      </c>
      <c r="B179" s="1">
        <v>425</v>
      </c>
      <c r="C179">
        <v>1</v>
      </c>
      <c r="D179" t="s">
        <v>48</v>
      </c>
      <c r="E179" s="2" t="s">
        <v>49</v>
      </c>
      <c r="F179">
        <v>425</v>
      </c>
      <c r="G179">
        <v>425</v>
      </c>
      <c r="H179" s="2">
        <v>253</v>
      </c>
      <c r="I179" s="3">
        <v>253</v>
      </c>
      <c r="J179" s="4">
        <v>253</v>
      </c>
      <c r="Q179" s="4" t="s">
        <v>51</v>
      </c>
      <c r="W179" s="8">
        <v>8</v>
      </c>
      <c r="X179" s="8">
        <v>14</v>
      </c>
      <c r="Y179" s="4">
        <f t="shared" si="17"/>
        <v>253</v>
      </c>
      <c r="Z179" s="4">
        <v>1</v>
      </c>
      <c r="AM179">
        <v>71</v>
      </c>
      <c r="AN179" t="s">
        <v>52</v>
      </c>
      <c r="AO179" t="s">
        <v>53</v>
      </c>
      <c r="AP179">
        <v>-26172</v>
      </c>
      <c r="AQ179">
        <v>0</v>
      </c>
      <c r="AR179" t="s">
        <v>54</v>
      </c>
      <c r="AS179" t="s">
        <v>55</v>
      </c>
      <c r="AT179" t="s">
        <v>55</v>
      </c>
      <c r="AU179" t="s">
        <v>85</v>
      </c>
      <c r="AV179">
        <v>1500</v>
      </c>
      <c r="AW179" t="s">
        <v>57</v>
      </c>
      <c r="AX179" t="s">
        <v>55</v>
      </c>
      <c r="AY179" t="s">
        <v>114</v>
      </c>
      <c r="AZ179" t="s">
        <v>59</v>
      </c>
      <c r="BA179" t="s">
        <v>55</v>
      </c>
      <c r="BB179" t="s">
        <v>49</v>
      </c>
      <c r="BC179" t="s">
        <v>49</v>
      </c>
      <c r="BD179" t="s">
        <v>49</v>
      </c>
      <c r="BE179" t="s">
        <v>55</v>
      </c>
      <c r="BF179">
        <v>13</v>
      </c>
      <c r="BG179" t="s">
        <v>60</v>
      </c>
      <c r="BH179" t="s">
        <v>142</v>
      </c>
      <c r="BI179" t="s">
        <v>62</v>
      </c>
      <c r="BJ179" t="s">
        <v>63</v>
      </c>
      <c r="BK179">
        <v>2006</v>
      </c>
      <c r="BL179">
        <v>1</v>
      </c>
      <c r="BR179">
        <f t="shared" si="16"/>
        <v>28</v>
      </c>
      <c r="BS179">
        <v>225</v>
      </c>
      <c r="BT179">
        <f t="shared" si="12"/>
        <v>1</v>
      </c>
    </row>
    <row r="180" spans="1:72" x14ac:dyDescent="0.2">
      <c r="A180" s="19" t="s">
        <v>236</v>
      </c>
      <c r="B180" s="1">
        <v>999</v>
      </c>
      <c r="C180">
        <v>0</v>
      </c>
      <c r="D180" t="s">
        <v>68</v>
      </c>
      <c r="E180" s="2">
        <v>392</v>
      </c>
      <c r="F180" t="s">
        <v>49</v>
      </c>
      <c r="G180">
        <v>999</v>
      </c>
      <c r="H180" s="2" t="s">
        <v>49</v>
      </c>
      <c r="I180" s="3">
        <v>392</v>
      </c>
      <c r="J180" s="4">
        <f>392-78</f>
        <v>314</v>
      </c>
      <c r="Q180" s="4" t="s">
        <v>51</v>
      </c>
      <c r="W180" s="8">
        <v>6</v>
      </c>
      <c r="X180" s="8">
        <v>12</v>
      </c>
      <c r="Y180" s="4">
        <f t="shared" si="17"/>
        <v>314</v>
      </c>
      <c r="Z180" s="4">
        <v>1</v>
      </c>
      <c r="AM180">
        <v>50</v>
      </c>
      <c r="AN180" t="s">
        <v>52</v>
      </c>
      <c r="AO180" t="s">
        <v>53</v>
      </c>
      <c r="AP180">
        <v>-18392</v>
      </c>
      <c r="AQ180">
        <v>0</v>
      </c>
      <c r="AR180" t="s">
        <v>54</v>
      </c>
      <c r="AS180" t="s">
        <v>55</v>
      </c>
      <c r="AT180" t="s">
        <v>55</v>
      </c>
      <c r="AU180" t="s">
        <v>85</v>
      </c>
      <c r="AV180">
        <v>1501</v>
      </c>
      <c r="AW180" t="s">
        <v>57</v>
      </c>
      <c r="AX180" t="s">
        <v>55</v>
      </c>
      <c r="AY180" t="s">
        <v>114</v>
      </c>
      <c r="AZ180" t="s">
        <v>59</v>
      </c>
      <c r="BA180" t="s">
        <v>55</v>
      </c>
      <c r="BB180" t="s">
        <v>49</v>
      </c>
      <c r="BC180" t="s">
        <v>49</v>
      </c>
      <c r="BD180" t="s">
        <v>66</v>
      </c>
      <c r="BE180" t="s">
        <v>55</v>
      </c>
      <c r="BF180">
        <v>13</v>
      </c>
      <c r="BG180" t="s">
        <v>60</v>
      </c>
      <c r="BH180" t="s">
        <v>82</v>
      </c>
      <c r="BI180" t="s">
        <v>83</v>
      </c>
      <c r="BJ180" t="s">
        <v>63</v>
      </c>
      <c r="BK180">
        <v>2006</v>
      </c>
      <c r="BL180">
        <v>1</v>
      </c>
      <c r="BR180">
        <f t="shared" si="16"/>
        <v>209</v>
      </c>
      <c r="BS180">
        <v>183</v>
      </c>
      <c r="BT180">
        <f t="shared" si="12"/>
        <v>1</v>
      </c>
    </row>
    <row r="181" spans="1:72" x14ac:dyDescent="0.2">
      <c r="A181" s="19" t="s">
        <v>237</v>
      </c>
      <c r="B181" s="1">
        <v>504</v>
      </c>
      <c r="C181">
        <v>0</v>
      </c>
      <c r="D181" t="s">
        <v>68</v>
      </c>
      <c r="E181" s="2" t="s">
        <v>49</v>
      </c>
      <c r="F181" t="s">
        <v>49</v>
      </c>
      <c r="G181">
        <v>504</v>
      </c>
      <c r="H181" s="2" t="s">
        <v>49</v>
      </c>
      <c r="I181" s="3" t="s">
        <v>69</v>
      </c>
      <c r="J181" s="4">
        <v>504</v>
      </c>
      <c r="Q181" s="4" t="s">
        <v>51</v>
      </c>
      <c r="Y181" s="4">
        <f t="shared" si="17"/>
        <v>504</v>
      </c>
      <c r="Z181" s="4">
        <v>0</v>
      </c>
      <c r="AM181">
        <v>68</v>
      </c>
      <c r="AN181" t="s">
        <v>52</v>
      </c>
      <c r="AO181" t="s">
        <v>53</v>
      </c>
      <c r="AP181">
        <v>-25008</v>
      </c>
      <c r="AQ181">
        <v>0</v>
      </c>
      <c r="AR181" t="s">
        <v>54</v>
      </c>
      <c r="AS181" t="s">
        <v>55</v>
      </c>
      <c r="AT181" t="s">
        <v>55</v>
      </c>
      <c r="AU181" t="s">
        <v>56</v>
      </c>
      <c r="AV181">
        <v>1504</v>
      </c>
      <c r="AW181" t="s">
        <v>70</v>
      </c>
      <c r="AX181" t="s">
        <v>55</v>
      </c>
      <c r="AY181" t="s">
        <v>58</v>
      </c>
      <c r="AZ181" t="s">
        <v>59</v>
      </c>
      <c r="BA181" t="s">
        <v>55</v>
      </c>
      <c r="BB181" t="s">
        <v>49</v>
      </c>
      <c r="BC181" t="s">
        <v>49</v>
      </c>
      <c r="BD181" t="s">
        <v>49</v>
      </c>
      <c r="BE181" t="s">
        <v>55</v>
      </c>
      <c r="BF181">
        <v>13</v>
      </c>
      <c r="BG181" t="s">
        <v>60</v>
      </c>
      <c r="BH181" t="s">
        <v>49</v>
      </c>
      <c r="BI181" t="s">
        <v>62</v>
      </c>
      <c r="BJ181" t="s">
        <v>63</v>
      </c>
      <c r="BK181">
        <v>2007</v>
      </c>
      <c r="BL181">
        <v>0</v>
      </c>
      <c r="BR181">
        <f t="shared" ref="BR181:BR188" si="18">B181-BS181</f>
        <v>221</v>
      </c>
      <c r="BS181">
        <v>283</v>
      </c>
      <c r="BT181">
        <f t="shared" si="12"/>
        <v>1</v>
      </c>
    </row>
    <row r="182" spans="1:72" x14ac:dyDescent="0.2">
      <c r="A182" s="19" t="s">
        <v>238</v>
      </c>
      <c r="B182" s="1">
        <v>128</v>
      </c>
      <c r="C182">
        <v>0</v>
      </c>
      <c r="D182" t="s">
        <v>68</v>
      </c>
      <c r="E182" s="2" t="s">
        <v>49</v>
      </c>
      <c r="F182" t="s">
        <v>49</v>
      </c>
      <c r="G182">
        <v>128</v>
      </c>
      <c r="H182" s="2" t="s">
        <v>49</v>
      </c>
      <c r="I182" s="3" t="s">
        <v>69</v>
      </c>
      <c r="J182" s="4">
        <v>101</v>
      </c>
      <c r="Q182" s="4" t="s">
        <v>51</v>
      </c>
      <c r="W182">
        <v>6</v>
      </c>
      <c r="X182">
        <v>12</v>
      </c>
      <c r="Y182" s="4">
        <f t="shared" si="17"/>
        <v>101</v>
      </c>
      <c r="Z182" s="4">
        <v>0</v>
      </c>
      <c r="AM182">
        <v>63</v>
      </c>
      <c r="AN182" t="s">
        <v>52</v>
      </c>
      <c r="AO182" t="s">
        <v>53</v>
      </c>
      <c r="AP182">
        <v>-23238</v>
      </c>
      <c r="AQ182">
        <v>0</v>
      </c>
      <c r="AR182" t="s">
        <v>54</v>
      </c>
      <c r="AS182" t="s">
        <v>55</v>
      </c>
      <c r="AT182" t="s">
        <v>55</v>
      </c>
      <c r="AU182" t="s">
        <v>85</v>
      </c>
      <c r="AV182">
        <v>1505</v>
      </c>
      <c r="AW182" t="s">
        <v>70</v>
      </c>
      <c r="AX182" t="s">
        <v>55</v>
      </c>
      <c r="AY182" t="s">
        <v>58</v>
      </c>
      <c r="AZ182" t="s">
        <v>59</v>
      </c>
      <c r="BA182" t="s">
        <v>55</v>
      </c>
      <c r="BB182" t="s">
        <v>49</v>
      </c>
      <c r="BC182" t="s">
        <v>49</v>
      </c>
      <c r="BD182" t="s">
        <v>49</v>
      </c>
      <c r="BE182" t="s">
        <v>55</v>
      </c>
      <c r="BF182">
        <v>13</v>
      </c>
      <c r="BG182" t="s">
        <v>60</v>
      </c>
      <c r="BH182" t="s">
        <v>61</v>
      </c>
      <c r="BI182" t="s">
        <v>62</v>
      </c>
      <c r="BJ182" t="s">
        <v>63</v>
      </c>
      <c r="BK182">
        <v>2008</v>
      </c>
      <c r="BL182">
        <v>0</v>
      </c>
      <c r="BR182">
        <f t="shared" si="18"/>
        <v>-39</v>
      </c>
      <c r="BS182">
        <v>167</v>
      </c>
      <c r="BT182">
        <f t="shared" si="12"/>
        <v>1</v>
      </c>
    </row>
    <row r="183" spans="1:72" x14ac:dyDescent="0.2">
      <c r="A183" s="19" t="s">
        <v>239</v>
      </c>
      <c r="B183" s="1">
        <v>197</v>
      </c>
      <c r="C183">
        <v>0</v>
      </c>
      <c r="D183" t="s">
        <v>68</v>
      </c>
      <c r="E183" s="2" t="s">
        <v>49</v>
      </c>
      <c r="F183" t="s">
        <v>49</v>
      </c>
      <c r="G183">
        <v>134</v>
      </c>
      <c r="H183" s="2" t="s">
        <v>49</v>
      </c>
      <c r="I183" s="3" t="s">
        <v>69</v>
      </c>
      <c r="J183" s="22">
        <f>197-50</f>
        <v>147</v>
      </c>
      <c r="P183" t="s">
        <v>787</v>
      </c>
      <c r="Q183" t="s">
        <v>78</v>
      </c>
      <c r="W183">
        <v>7</v>
      </c>
      <c r="X183">
        <v>14</v>
      </c>
      <c r="AM183">
        <v>45</v>
      </c>
      <c r="AN183" t="s">
        <v>52</v>
      </c>
      <c r="AO183" t="s">
        <v>53</v>
      </c>
      <c r="AP183">
        <v>-16733</v>
      </c>
      <c r="AQ183">
        <v>0</v>
      </c>
      <c r="AR183" t="s">
        <v>54</v>
      </c>
      <c r="AS183" t="s">
        <v>55</v>
      </c>
      <c r="AT183" t="s">
        <v>55</v>
      </c>
      <c r="AU183" t="s">
        <v>56</v>
      </c>
      <c r="AV183">
        <v>1506</v>
      </c>
      <c r="AW183" t="s">
        <v>70</v>
      </c>
      <c r="AX183" t="s">
        <v>55</v>
      </c>
      <c r="AY183" t="s">
        <v>58</v>
      </c>
      <c r="AZ183" t="s">
        <v>59</v>
      </c>
      <c r="BA183" t="s">
        <v>55</v>
      </c>
      <c r="BB183" t="s">
        <v>49</v>
      </c>
      <c r="BC183" t="s">
        <v>49</v>
      </c>
      <c r="BD183" t="s">
        <v>49</v>
      </c>
      <c r="BE183" t="s">
        <v>55</v>
      </c>
      <c r="BF183">
        <v>13</v>
      </c>
      <c r="BG183" t="s">
        <v>60</v>
      </c>
      <c r="BH183" t="s">
        <v>49</v>
      </c>
      <c r="BI183" t="s">
        <v>62</v>
      </c>
      <c r="BJ183" t="s">
        <v>63</v>
      </c>
      <c r="BK183">
        <v>2008</v>
      </c>
      <c r="BL183">
        <v>0</v>
      </c>
      <c r="BR183">
        <f t="shared" si="18"/>
        <v>0</v>
      </c>
      <c r="BS183">
        <v>197</v>
      </c>
      <c r="BT183">
        <f t="shared" si="12"/>
        <v>1</v>
      </c>
    </row>
    <row r="184" spans="1:72" x14ac:dyDescent="0.2">
      <c r="A184" s="19" t="s">
        <v>240</v>
      </c>
      <c r="B184" s="1">
        <v>166</v>
      </c>
      <c r="C184">
        <v>0</v>
      </c>
      <c r="D184" t="s">
        <v>68</v>
      </c>
      <c r="E184" s="2" t="s">
        <v>49</v>
      </c>
      <c r="F184" t="s">
        <v>49</v>
      </c>
      <c r="G184">
        <v>145</v>
      </c>
      <c r="H184" s="2" t="s">
        <v>49</v>
      </c>
      <c r="I184" s="3" t="s">
        <v>69</v>
      </c>
      <c r="J184" s="4">
        <v>112</v>
      </c>
      <c r="P184" t="s">
        <v>787</v>
      </c>
      <c r="Q184" s="4" t="s">
        <v>51</v>
      </c>
      <c r="W184">
        <v>6</v>
      </c>
      <c r="X184">
        <v>12</v>
      </c>
      <c r="Y184" s="4">
        <f>J184</f>
        <v>112</v>
      </c>
      <c r="Z184" s="4">
        <v>0</v>
      </c>
      <c r="AM184">
        <v>77</v>
      </c>
      <c r="AN184" t="s">
        <v>52</v>
      </c>
      <c r="AO184" t="s">
        <v>53</v>
      </c>
      <c r="AP184">
        <v>-28444</v>
      </c>
      <c r="AQ184">
        <v>0</v>
      </c>
      <c r="AR184" t="s">
        <v>54</v>
      </c>
      <c r="AS184" t="s">
        <v>55</v>
      </c>
      <c r="AT184" t="s">
        <v>55</v>
      </c>
      <c r="AU184" t="s">
        <v>85</v>
      </c>
      <c r="AV184">
        <v>1507</v>
      </c>
      <c r="AW184" t="s">
        <v>70</v>
      </c>
      <c r="AX184" t="s">
        <v>55</v>
      </c>
      <c r="AY184" t="s">
        <v>58</v>
      </c>
      <c r="AZ184" t="s">
        <v>59</v>
      </c>
      <c r="BA184" t="s">
        <v>55</v>
      </c>
      <c r="BB184" t="s">
        <v>49</v>
      </c>
      <c r="BC184" t="s">
        <v>49</v>
      </c>
      <c r="BD184" t="s">
        <v>49</v>
      </c>
      <c r="BE184" t="s">
        <v>55</v>
      </c>
      <c r="BF184">
        <v>13</v>
      </c>
      <c r="BG184" t="s">
        <v>60</v>
      </c>
      <c r="BH184" t="s">
        <v>61</v>
      </c>
      <c r="BI184" t="s">
        <v>62</v>
      </c>
      <c r="BJ184" t="s">
        <v>63</v>
      </c>
      <c r="BK184">
        <v>2008</v>
      </c>
      <c r="BL184">
        <v>0</v>
      </c>
      <c r="BR184">
        <f t="shared" si="18"/>
        <v>0</v>
      </c>
      <c r="BS184">
        <v>166</v>
      </c>
      <c r="BT184">
        <f t="shared" si="12"/>
        <v>1</v>
      </c>
    </row>
    <row r="185" spans="1:72" x14ac:dyDescent="0.2">
      <c r="A185" s="19" t="s">
        <v>241</v>
      </c>
      <c r="B185" s="1">
        <v>126</v>
      </c>
      <c r="C185">
        <v>0</v>
      </c>
      <c r="D185" t="s">
        <v>68</v>
      </c>
      <c r="E185" s="2" t="s">
        <v>49</v>
      </c>
      <c r="F185" t="s">
        <v>49</v>
      </c>
      <c r="G185">
        <v>126</v>
      </c>
      <c r="H185" s="2" t="s">
        <v>49</v>
      </c>
      <c r="I185" s="3" t="s">
        <v>69</v>
      </c>
      <c r="J185" s="4">
        <v>105</v>
      </c>
      <c r="Q185" s="4" t="s">
        <v>51</v>
      </c>
      <c r="W185">
        <v>6</v>
      </c>
      <c r="X185">
        <v>12</v>
      </c>
      <c r="Y185" s="4">
        <f>J185</f>
        <v>105</v>
      </c>
      <c r="Z185" s="4">
        <v>0</v>
      </c>
      <c r="AM185">
        <v>64</v>
      </c>
      <c r="AN185" t="s">
        <v>52</v>
      </c>
      <c r="AO185" t="s">
        <v>53</v>
      </c>
      <c r="AP185">
        <v>-23481</v>
      </c>
      <c r="AQ185">
        <v>0</v>
      </c>
      <c r="AR185" t="s">
        <v>54</v>
      </c>
      <c r="AS185" t="s">
        <v>55</v>
      </c>
      <c r="AT185" t="s">
        <v>55</v>
      </c>
      <c r="AU185" t="s">
        <v>85</v>
      </c>
      <c r="AV185">
        <v>1509</v>
      </c>
      <c r="AW185" t="s">
        <v>70</v>
      </c>
      <c r="AX185" t="s">
        <v>55</v>
      </c>
      <c r="AY185" t="s">
        <v>58</v>
      </c>
      <c r="AZ185" t="s">
        <v>59</v>
      </c>
      <c r="BA185" t="s">
        <v>55</v>
      </c>
      <c r="BB185" t="s">
        <v>49</v>
      </c>
      <c r="BC185" t="s">
        <v>49</v>
      </c>
      <c r="BD185" t="s">
        <v>49</v>
      </c>
      <c r="BE185" t="s">
        <v>55</v>
      </c>
      <c r="BF185">
        <v>13</v>
      </c>
      <c r="BG185" t="s">
        <v>60</v>
      </c>
      <c r="BH185" t="s">
        <v>61</v>
      </c>
      <c r="BI185" t="s">
        <v>83</v>
      </c>
      <c r="BJ185" t="s">
        <v>63</v>
      </c>
      <c r="BK185">
        <v>2008</v>
      </c>
      <c r="BL185">
        <v>0</v>
      </c>
      <c r="BR185">
        <f t="shared" si="18"/>
        <v>0</v>
      </c>
      <c r="BS185">
        <v>126</v>
      </c>
      <c r="BT185">
        <f t="shared" si="12"/>
        <v>1</v>
      </c>
    </row>
    <row r="186" spans="1:72" x14ac:dyDescent="0.2">
      <c r="A186" s="19" t="s">
        <v>242</v>
      </c>
      <c r="B186" s="1">
        <v>178</v>
      </c>
      <c r="C186">
        <v>0</v>
      </c>
      <c r="D186" t="s">
        <v>68</v>
      </c>
      <c r="E186" s="2" t="s">
        <v>49</v>
      </c>
      <c r="F186" t="s">
        <v>49</v>
      </c>
      <c r="G186">
        <v>178</v>
      </c>
      <c r="H186" s="2" t="s">
        <v>49</v>
      </c>
      <c r="I186" s="3" t="s">
        <v>69</v>
      </c>
      <c r="J186" s="4">
        <f>178-62</f>
        <v>116</v>
      </c>
      <c r="Q186" s="4" t="s">
        <v>51</v>
      </c>
      <c r="W186">
        <v>6</v>
      </c>
      <c r="X186">
        <v>12</v>
      </c>
      <c r="Y186" s="4">
        <f>J186</f>
        <v>116</v>
      </c>
      <c r="Z186" s="4">
        <v>0</v>
      </c>
      <c r="AM186">
        <v>62</v>
      </c>
      <c r="AN186" t="s">
        <v>101</v>
      </c>
      <c r="AO186" t="s">
        <v>49</v>
      </c>
      <c r="AP186">
        <v>-22708</v>
      </c>
      <c r="AQ186">
        <v>0</v>
      </c>
      <c r="AR186" t="s">
        <v>54</v>
      </c>
      <c r="AS186" t="s">
        <v>55</v>
      </c>
      <c r="AT186" t="s">
        <v>55</v>
      </c>
      <c r="AU186" t="s">
        <v>56</v>
      </c>
      <c r="AV186">
        <v>1510</v>
      </c>
      <c r="AW186" t="s">
        <v>70</v>
      </c>
      <c r="AX186" t="s">
        <v>55</v>
      </c>
      <c r="AY186" t="s">
        <v>49</v>
      </c>
      <c r="AZ186" t="s">
        <v>59</v>
      </c>
      <c r="BA186" t="s">
        <v>55</v>
      </c>
      <c r="BB186" t="s">
        <v>49</v>
      </c>
      <c r="BC186" t="s">
        <v>49</v>
      </c>
      <c r="BD186" t="s">
        <v>49</v>
      </c>
      <c r="BE186" t="s">
        <v>55</v>
      </c>
      <c r="BF186">
        <v>13</v>
      </c>
      <c r="BG186" t="s">
        <v>60</v>
      </c>
      <c r="BH186" t="s">
        <v>71</v>
      </c>
      <c r="BI186" t="s">
        <v>62</v>
      </c>
      <c r="BJ186" t="s">
        <v>63</v>
      </c>
      <c r="BK186">
        <v>2008</v>
      </c>
      <c r="BL186">
        <v>0</v>
      </c>
      <c r="BR186">
        <f t="shared" si="18"/>
        <v>5</v>
      </c>
      <c r="BS186">
        <v>173</v>
      </c>
      <c r="BT186">
        <f t="shared" si="12"/>
        <v>1</v>
      </c>
    </row>
    <row r="187" spans="1:72" x14ac:dyDescent="0.2">
      <c r="A187" s="19" t="s">
        <v>243</v>
      </c>
      <c r="B187" s="1">
        <v>185</v>
      </c>
      <c r="C187">
        <v>0</v>
      </c>
      <c r="D187" t="s">
        <v>68</v>
      </c>
      <c r="E187" s="2" t="s">
        <v>49</v>
      </c>
      <c r="F187" t="s">
        <v>49</v>
      </c>
      <c r="G187">
        <v>118</v>
      </c>
      <c r="H187" s="2" t="s">
        <v>49</v>
      </c>
      <c r="I187" s="3" t="s">
        <v>69</v>
      </c>
      <c r="J187" s="10">
        <v>164</v>
      </c>
      <c r="P187" t="s">
        <v>787</v>
      </c>
      <c r="Q187" s="10" t="s">
        <v>87</v>
      </c>
      <c r="W187">
        <v>8</v>
      </c>
      <c r="X187">
        <v>14</v>
      </c>
      <c r="AI187" s="8"/>
      <c r="AK187" s="10">
        <f>J187</f>
        <v>164</v>
      </c>
      <c r="AL187" s="10">
        <v>0</v>
      </c>
      <c r="AM187">
        <v>52</v>
      </c>
      <c r="AN187" t="s">
        <v>52</v>
      </c>
      <c r="AO187" t="s">
        <v>53</v>
      </c>
      <c r="AP187">
        <v>-19258</v>
      </c>
      <c r="AQ187">
        <v>0</v>
      </c>
      <c r="AR187" t="s">
        <v>54</v>
      </c>
      <c r="AS187" t="s">
        <v>55</v>
      </c>
      <c r="AT187" t="s">
        <v>55</v>
      </c>
      <c r="AU187" t="s">
        <v>85</v>
      </c>
      <c r="AV187">
        <v>1511</v>
      </c>
      <c r="AW187" t="s">
        <v>57</v>
      </c>
      <c r="AX187" t="s">
        <v>55</v>
      </c>
      <c r="AY187" t="s">
        <v>114</v>
      </c>
      <c r="AZ187" t="s">
        <v>180</v>
      </c>
      <c r="BA187" t="s">
        <v>55</v>
      </c>
      <c r="BB187" t="s">
        <v>49</v>
      </c>
      <c r="BC187" t="s">
        <v>49</v>
      </c>
      <c r="BD187" t="s">
        <v>49</v>
      </c>
      <c r="BE187" t="s">
        <v>55</v>
      </c>
      <c r="BF187">
        <v>13</v>
      </c>
      <c r="BG187" t="s">
        <v>60</v>
      </c>
      <c r="BH187" t="s">
        <v>82</v>
      </c>
      <c r="BI187" t="s">
        <v>83</v>
      </c>
      <c r="BJ187" t="s">
        <v>63</v>
      </c>
      <c r="BK187">
        <v>2008</v>
      </c>
      <c r="BL187">
        <v>0</v>
      </c>
      <c r="BR187">
        <f t="shared" si="18"/>
        <v>0</v>
      </c>
      <c r="BS187">
        <v>185</v>
      </c>
      <c r="BT187">
        <f t="shared" si="12"/>
        <v>1</v>
      </c>
    </row>
    <row r="188" spans="1:72" x14ac:dyDescent="0.2">
      <c r="A188" s="19" t="s">
        <v>244</v>
      </c>
      <c r="B188" s="1">
        <v>94</v>
      </c>
      <c r="C188">
        <v>0</v>
      </c>
      <c r="D188" t="s">
        <v>68</v>
      </c>
      <c r="E188" s="2" t="s">
        <v>49</v>
      </c>
      <c r="F188" t="s">
        <v>49</v>
      </c>
      <c r="G188">
        <v>94</v>
      </c>
      <c r="H188" s="2" t="s">
        <v>49</v>
      </c>
      <c r="I188" s="3" t="s">
        <v>69</v>
      </c>
      <c r="J188" s="4">
        <v>21</v>
      </c>
      <c r="Q188" s="4" t="s">
        <v>51</v>
      </c>
      <c r="W188">
        <v>2</v>
      </c>
      <c r="X188">
        <v>4</v>
      </c>
      <c r="Y188" s="4">
        <f>J188</f>
        <v>21</v>
      </c>
      <c r="Z188" s="4">
        <v>0</v>
      </c>
      <c r="AM188">
        <v>49</v>
      </c>
      <c r="AN188" t="s">
        <v>52</v>
      </c>
      <c r="AO188" t="s">
        <v>53</v>
      </c>
      <c r="AP188">
        <v>-18134</v>
      </c>
      <c r="AQ188">
        <v>0</v>
      </c>
      <c r="AR188" t="s">
        <v>54</v>
      </c>
      <c r="AS188" t="s">
        <v>55</v>
      </c>
      <c r="AT188" t="s">
        <v>55</v>
      </c>
      <c r="AU188" t="s">
        <v>161</v>
      </c>
      <c r="AV188">
        <v>1512</v>
      </c>
      <c r="AW188" t="s">
        <v>49</v>
      </c>
      <c r="AX188" t="s">
        <v>55</v>
      </c>
      <c r="AY188" t="s">
        <v>49</v>
      </c>
      <c r="AZ188" t="s">
        <v>59</v>
      </c>
      <c r="BA188" t="s">
        <v>55</v>
      </c>
      <c r="BB188" t="s">
        <v>49</v>
      </c>
      <c r="BC188" t="s">
        <v>49</v>
      </c>
      <c r="BD188" t="s">
        <v>49</v>
      </c>
      <c r="BE188" t="s">
        <v>55</v>
      </c>
      <c r="BF188">
        <v>13</v>
      </c>
      <c r="BG188" t="s">
        <v>60</v>
      </c>
      <c r="BH188" t="s">
        <v>71</v>
      </c>
      <c r="BI188" t="s">
        <v>62</v>
      </c>
      <c r="BJ188" t="s">
        <v>63</v>
      </c>
      <c r="BK188">
        <v>2008</v>
      </c>
      <c r="BL188">
        <v>0</v>
      </c>
      <c r="BR188">
        <f t="shared" si="18"/>
        <v>0</v>
      </c>
      <c r="BS188">
        <v>94</v>
      </c>
      <c r="BT188">
        <f t="shared" si="12"/>
        <v>1</v>
      </c>
    </row>
    <row r="189" spans="1:72" x14ac:dyDescent="0.2">
      <c r="A189" s="19" t="s">
        <v>245</v>
      </c>
      <c r="B189" s="1">
        <v>1024</v>
      </c>
      <c r="C189">
        <v>1</v>
      </c>
      <c r="D189" t="s">
        <v>48</v>
      </c>
      <c r="E189" s="2" t="s">
        <v>49</v>
      </c>
      <c r="F189">
        <v>1024</v>
      </c>
      <c r="G189">
        <v>1024</v>
      </c>
      <c r="H189" s="2">
        <v>540</v>
      </c>
      <c r="I189" s="3">
        <v>540</v>
      </c>
      <c r="J189" s="4">
        <v>544</v>
      </c>
      <c r="K189" s="4">
        <v>155</v>
      </c>
      <c r="L189" s="5">
        <v>318</v>
      </c>
      <c r="P189" t="s">
        <v>788</v>
      </c>
      <c r="Q189" s="4" t="s">
        <v>51</v>
      </c>
      <c r="R189" s="4" t="s">
        <v>51</v>
      </c>
      <c r="S189" s="5" t="s">
        <v>65</v>
      </c>
      <c r="W189">
        <v>11</v>
      </c>
      <c r="X189">
        <v>17</v>
      </c>
      <c r="Y189" s="4">
        <f>J189+K189</f>
        <v>699</v>
      </c>
      <c r="Z189" s="4">
        <v>1</v>
      </c>
      <c r="AE189" s="5">
        <f>L189</f>
        <v>318</v>
      </c>
      <c r="AF189" s="5">
        <v>1</v>
      </c>
      <c r="AM189">
        <v>56</v>
      </c>
      <c r="AN189" t="s">
        <v>52</v>
      </c>
      <c r="AO189" t="s">
        <v>53</v>
      </c>
      <c r="AP189">
        <v>-20771</v>
      </c>
      <c r="AQ189">
        <v>0</v>
      </c>
      <c r="AR189" t="s">
        <v>54</v>
      </c>
      <c r="AS189" t="s">
        <v>55</v>
      </c>
      <c r="AT189" t="s">
        <v>55</v>
      </c>
      <c r="AU189" t="s">
        <v>56</v>
      </c>
      <c r="AV189">
        <v>1817</v>
      </c>
      <c r="AW189" t="s">
        <v>57</v>
      </c>
      <c r="AX189" t="s">
        <v>55</v>
      </c>
      <c r="AY189" t="s">
        <v>114</v>
      </c>
      <c r="AZ189" t="s">
        <v>59</v>
      </c>
      <c r="BA189" t="s">
        <v>55</v>
      </c>
      <c r="BB189" t="s">
        <v>49</v>
      </c>
      <c r="BC189" t="s">
        <v>49</v>
      </c>
      <c r="BD189" t="s">
        <v>106</v>
      </c>
      <c r="BE189" t="s">
        <v>55</v>
      </c>
      <c r="BF189">
        <v>13</v>
      </c>
      <c r="BG189" t="s">
        <v>60</v>
      </c>
      <c r="BH189" t="s">
        <v>82</v>
      </c>
      <c r="BI189" t="s">
        <v>62</v>
      </c>
      <c r="BJ189" t="s">
        <v>63</v>
      </c>
      <c r="BK189">
        <v>2001</v>
      </c>
      <c r="BL189">
        <v>1</v>
      </c>
      <c r="BM189">
        <v>1</v>
      </c>
      <c r="BN189">
        <v>1</v>
      </c>
      <c r="BR189">
        <f>I189-BS189</f>
        <v>222</v>
      </c>
      <c r="BS189">
        <v>318</v>
      </c>
      <c r="BT189">
        <f t="shared" si="12"/>
        <v>3</v>
      </c>
    </row>
    <row r="190" spans="1:72" x14ac:dyDescent="0.2">
      <c r="A190" s="19" t="s">
        <v>590</v>
      </c>
      <c r="B190" s="1">
        <v>1946</v>
      </c>
      <c r="C190">
        <v>0</v>
      </c>
      <c r="D190" s="8" t="s">
        <v>68</v>
      </c>
      <c r="E190" s="12" t="s">
        <v>49</v>
      </c>
      <c r="F190" s="8" t="s">
        <v>49</v>
      </c>
      <c r="G190" s="8">
        <v>1946</v>
      </c>
      <c r="H190" s="12">
        <v>429</v>
      </c>
      <c r="I190" s="3">
        <v>429</v>
      </c>
      <c r="J190" s="4">
        <f>429-37</f>
        <v>392</v>
      </c>
      <c r="K190" s="4">
        <v>1428</v>
      </c>
      <c r="L190" s="8"/>
      <c r="M190" s="8"/>
      <c r="N190" s="8"/>
      <c r="O190" s="8"/>
      <c r="P190" s="8" t="s">
        <v>789</v>
      </c>
      <c r="Q190" s="4" t="s">
        <v>51</v>
      </c>
      <c r="R190" s="4" t="s">
        <v>51</v>
      </c>
      <c r="S190" s="8"/>
      <c r="T190" s="8"/>
      <c r="U190" s="8"/>
      <c r="V190" s="8"/>
      <c r="W190" s="8">
        <v>6</v>
      </c>
      <c r="X190" s="8">
        <v>12</v>
      </c>
      <c r="Y190" s="4">
        <f>J190+K190</f>
        <v>1820</v>
      </c>
      <c r="Z190" s="4">
        <v>0</v>
      </c>
      <c r="AA190" s="8"/>
      <c r="AB190" s="8"/>
      <c r="AC190" s="8"/>
      <c r="AD190" s="8"/>
      <c r="AE190" s="8"/>
      <c r="AF190" s="8"/>
      <c r="AG190" s="8"/>
      <c r="AH190" s="8"/>
      <c r="AI190" s="8"/>
      <c r="AJ190" s="8"/>
      <c r="AK190" s="8"/>
      <c r="AL190" s="8"/>
      <c r="AM190" s="8">
        <v>59</v>
      </c>
      <c r="AN190" s="8" t="s">
        <v>126</v>
      </c>
      <c r="AO190" s="8" t="s">
        <v>53</v>
      </c>
      <c r="AP190" s="8">
        <v>-21635</v>
      </c>
      <c r="AQ190" s="8">
        <v>0</v>
      </c>
      <c r="AR190" s="8" t="s">
        <v>54</v>
      </c>
      <c r="AS190" s="8" t="s">
        <v>55</v>
      </c>
      <c r="AT190" s="8" t="s">
        <v>55</v>
      </c>
      <c r="AU190" s="8" t="s">
        <v>56</v>
      </c>
      <c r="AV190" s="8">
        <v>1819</v>
      </c>
      <c r="AW190" s="8" t="s">
        <v>57</v>
      </c>
      <c r="AX190" s="8" t="s">
        <v>55</v>
      </c>
      <c r="AY190" s="8" t="s">
        <v>58</v>
      </c>
      <c r="AZ190" s="8" t="s">
        <v>59</v>
      </c>
      <c r="BA190" s="8" t="s">
        <v>55</v>
      </c>
      <c r="BB190" s="8" t="s">
        <v>49</v>
      </c>
      <c r="BC190" s="8" t="s">
        <v>49</v>
      </c>
      <c r="BD190" s="8" t="s">
        <v>106</v>
      </c>
      <c r="BE190" s="8" t="s">
        <v>55</v>
      </c>
      <c r="BF190" s="8">
        <v>13</v>
      </c>
      <c r="BG190" s="8" t="s">
        <v>60</v>
      </c>
      <c r="BH190" s="8" t="s">
        <v>71</v>
      </c>
      <c r="BI190" s="8" t="s">
        <v>521</v>
      </c>
      <c r="BJ190" s="8" t="s">
        <v>63</v>
      </c>
      <c r="BK190" s="8">
        <v>2004</v>
      </c>
      <c r="BL190">
        <v>1</v>
      </c>
      <c r="BM190">
        <v>0</v>
      </c>
      <c r="BR190">
        <f>I190-BS190</f>
        <v>280</v>
      </c>
      <c r="BS190">
        <v>149</v>
      </c>
      <c r="BT190">
        <f t="shared" si="12"/>
        <v>2</v>
      </c>
    </row>
    <row r="191" spans="1:72" x14ac:dyDescent="0.2">
      <c r="A191" s="19" t="s">
        <v>246</v>
      </c>
      <c r="B191" s="1">
        <v>433</v>
      </c>
      <c r="C191">
        <v>0</v>
      </c>
      <c r="D191" t="s">
        <v>68</v>
      </c>
      <c r="E191" s="2" t="s">
        <v>49</v>
      </c>
      <c r="F191" t="s">
        <v>49</v>
      </c>
      <c r="G191">
        <v>433</v>
      </c>
      <c r="H191" s="2" t="s">
        <v>49</v>
      </c>
      <c r="I191" s="3" t="s">
        <v>69</v>
      </c>
      <c r="J191" s="4">
        <v>387</v>
      </c>
      <c r="Q191" s="4" t="s">
        <v>51</v>
      </c>
      <c r="W191" s="8">
        <v>6</v>
      </c>
      <c r="X191" s="8">
        <v>12</v>
      </c>
      <c r="Y191" s="4">
        <f t="shared" ref="Y191:Y199" si="19">J191</f>
        <v>387</v>
      </c>
      <c r="Z191" s="4">
        <v>0</v>
      </c>
      <c r="AM191">
        <v>59</v>
      </c>
      <c r="AN191" t="s">
        <v>52</v>
      </c>
      <c r="AO191" t="s">
        <v>53</v>
      </c>
      <c r="AP191">
        <v>-21554</v>
      </c>
      <c r="AQ191">
        <v>0</v>
      </c>
      <c r="AR191" t="s">
        <v>54</v>
      </c>
      <c r="AS191" t="s">
        <v>55</v>
      </c>
      <c r="AT191" t="s">
        <v>55</v>
      </c>
      <c r="AU191" t="s">
        <v>166</v>
      </c>
      <c r="AV191">
        <v>2057</v>
      </c>
      <c r="AW191" t="s">
        <v>70</v>
      </c>
      <c r="AX191" t="s">
        <v>55</v>
      </c>
      <c r="AY191" t="s">
        <v>58</v>
      </c>
      <c r="AZ191" t="s">
        <v>59</v>
      </c>
      <c r="BA191" t="s">
        <v>55</v>
      </c>
      <c r="BB191" t="s">
        <v>49</v>
      </c>
      <c r="BC191" t="s">
        <v>49</v>
      </c>
      <c r="BD191" t="s">
        <v>49</v>
      </c>
      <c r="BE191" t="s">
        <v>55</v>
      </c>
      <c r="BF191">
        <v>13</v>
      </c>
      <c r="BG191" t="s">
        <v>60</v>
      </c>
      <c r="BH191" t="s">
        <v>71</v>
      </c>
      <c r="BI191" t="s">
        <v>62</v>
      </c>
      <c r="BJ191" t="s">
        <v>63</v>
      </c>
      <c r="BK191">
        <v>2008</v>
      </c>
      <c r="BL191">
        <v>0</v>
      </c>
      <c r="BR191">
        <f t="shared" ref="BR191:BR197" si="20">B191-BS191</f>
        <v>275</v>
      </c>
      <c r="BS191">
        <v>158</v>
      </c>
      <c r="BT191">
        <f t="shared" si="12"/>
        <v>1</v>
      </c>
    </row>
    <row r="192" spans="1:72" x14ac:dyDescent="0.2">
      <c r="A192" s="19" t="s">
        <v>247</v>
      </c>
      <c r="B192" s="1">
        <v>372</v>
      </c>
      <c r="C192">
        <v>0</v>
      </c>
      <c r="D192" t="s">
        <v>68</v>
      </c>
      <c r="E192" s="2" t="s">
        <v>49</v>
      </c>
      <c r="F192" t="s">
        <v>49</v>
      </c>
      <c r="G192">
        <v>372</v>
      </c>
      <c r="H192" s="2" t="s">
        <v>49</v>
      </c>
      <c r="I192" s="3" t="s">
        <v>69</v>
      </c>
      <c r="J192" s="4">
        <v>326</v>
      </c>
      <c r="Q192" s="4" t="s">
        <v>51</v>
      </c>
      <c r="W192" s="8">
        <v>6</v>
      </c>
      <c r="X192" s="8">
        <v>12</v>
      </c>
      <c r="Y192" s="4">
        <f t="shared" si="19"/>
        <v>326</v>
      </c>
      <c r="Z192" s="4">
        <v>0</v>
      </c>
      <c r="AM192">
        <v>50</v>
      </c>
      <c r="AN192" t="s">
        <v>52</v>
      </c>
      <c r="AO192" t="s">
        <v>53</v>
      </c>
      <c r="AP192">
        <v>-18449</v>
      </c>
      <c r="AQ192">
        <v>0</v>
      </c>
      <c r="AR192" t="s">
        <v>54</v>
      </c>
      <c r="AS192" t="s">
        <v>55</v>
      </c>
      <c r="AT192" t="s">
        <v>55</v>
      </c>
      <c r="AU192" t="s">
        <v>85</v>
      </c>
      <c r="AV192">
        <v>2059</v>
      </c>
      <c r="AW192" t="s">
        <v>70</v>
      </c>
      <c r="AX192" t="s">
        <v>55</v>
      </c>
      <c r="AY192" t="s">
        <v>58</v>
      </c>
      <c r="AZ192" t="s">
        <v>59</v>
      </c>
      <c r="BA192" t="s">
        <v>55</v>
      </c>
      <c r="BB192" t="s">
        <v>49</v>
      </c>
      <c r="BC192" t="s">
        <v>49</v>
      </c>
      <c r="BD192" t="s">
        <v>49</v>
      </c>
      <c r="BE192" t="s">
        <v>55</v>
      </c>
      <c r="BF192">
        <v>13</v>
      </c>
      <c r="BG192" t="s">
        <v>60</v>
      </c>
      <c r="BH192" t="s">
        <v>61</v>
      </c>
      <c r="BI192" t="s">
        <v>62</v>
      </c>
      <c r="BJ192" t="s">
        <v>63</v>
      </c>
      <c r="BK192">
        <v>2009</v>
      </c>
      <c r="BL192">
        <v>0</v>
      </c>
      <c r="BR192">
        <f t="shared" si="20"/>
        <v>215</v>
      </c>
      <c r="BS192">
        <v>157</v>
      </c>
      <c r="BT192">
        <f t="shared" si="12"/>
        <v>1</v>
      </c>
    </row>
    <row r="193" spans="1:72" x14ac:dyDescent="0.2">
      <c r="A193" s="19" t="s">
        <v>248</v>
      </c>
      <c r="B193" s="1">
        <v>261</v>
      </c>
      <c r="C193">
        <v>0</v>
      </c>
      <c r="D193" t="s">
        <v>68</v>
      </c>
      <c r="E193" s="2" t="s">
        <v>49</v>
      </c>
      <c r="F193" t="s">
        <v>49</v>
      </c>
      <c r="G193">
        <v>261</v>
      </c>
      <c r="H193" s="2" t="s">
        <v>49</v>
      </c>
      <c r="I193" s="3" t="s">
        <v>69</v>
      </c>
      <c r="J193" s="4">
        <v>230</v>
      </c>
      <c r="Q193" s="4" t="s">
        <v>51</v>
      </c>
      <c r="W193" s="8">
        <v>6</v>
      </c>
      <c r="X193" s="8">
        <v>12</v>
      </c>
      <c r="Y193" s="4">
        <f t="shared" si="19"/>
        <v>230</v>
      </c>
      <c r="Z193" s="4">
        <v>0</v>
      </c>
      <c r="AM193">
        <v>51</v>
      </c>
      <c r="AN193" t="s">
        <v>52</v>
      </c>
      <c r="AO193" t="s">
        <v>53</v>
      </c>
      <c r="AP193">
        <v>-18635</v>
      </c>
      <c r="AQ193">
        <v>0</v>
      </c>
      <c r="AR193" t="s">
        <v>54</v>
      </c>
      <c r="AS193" t="s">
        <v>55</v>
      </c>
      <c r="AT193" t="s">
        <v>55</v>
      </c>
      <c r="AU193" t="s">
        <v>85</v>
      </c>
      <c r="AV193">
        <v>2060</v>
      </c>
      <c r="AW193" t="s">
        <v>70</v>
      </c>
      <c r="AX193" t="s">
        <v>55</v>
      </c>
      <c r="AY193" t="s">
        <v>58</v>
      </c>
      <c r="AZ193" t="s">
        <v>59</v>
      </c>
      <c r="BA193" t="s">
        <v>55</v>
      </c>
      <c r="BB193" t="s">
        <v>49</v>
      </c>
      <c r="BC193" t="s">
        <v>49</v>
      </c>
      <c r="BD193" t="s">
        <v>49</v>
      </c>
      <c r="BE193" t="s">
        <v>55</v>
      </c>
      <c r="BF193">
        <v>13</v>
      </c>
      <c r="BG193" t="s">
        <v>60</v>
      </c>
      <c r="BH193" t="s">
        <v>61</v>
      </c>
      <c r="BI193" t="s">
        <v>83</v>
      </c>
      <c r="BJ193" t="s">
        <v>63</v>
      </c>
      <c r="BK193">
        <v>2009</v>
      </c>
      <c r="BL193">
        <v>0</v>
      </c>
      <c r="BR193">
        <f t="shared" si="20"/>
        <v>119</v>
      </c>
      <c r="BS193">
        <v>142</v>
      </c>
      <c r="BT193">
        <f t="shared" si="12"/>
        <v>1</v>
      </c>
    </row>
    <row r="194" spans="1:72" x14ac:dyDescent="0.2">
      <c r="A194" s="19" t="s">
        <v>249</v>
      </c>
      <c r="B194" s="1">
        <v>328</v>
      </c>
      <c r="C194">
        <v>0</v>
      </c>
      <c r="D194" t="s">
        <v>68</v>
      </c>
      <c r="E194" s="2" t="s">
        <v>49</v>
      </c>
      <c r="F194" t="s">
        <v>49</v>
      </c>
      <c r="G194">
        <v>328</v>
      </c>
      <c r="H194" s="2" t="s">
        <v>49</v>
      </c>
      <c r="I194" s="3" t="s">
        <v>69</v>
      </c>
      <c r="J194" s="4">
        <v>266</v>
      </c>
      <c r="Q194" s="4" t="s">
        <v>51</v>
      </c>
      <c r="W194" s="8">
        <v>6</v>
      </c>
      <c r="X194" s="8">
        <v>12</v>
      </c>
      <c r="Y194" s="4">
        <f t="shared" si="19"/>
        <v>266</v>
      </c>
      <c r="Z194" s="4">
        <v>0</v>
      </c>
      <c r="AM194">
        <v>59</v>
      </c>
      <c r="AN194" t="s">
        <v>52</v>
      </c>
      <c r="AO194" t="s">
        <v>53</v>
      </c>
      <c r="AP194">
        <v>-21543</v>
      </c>
      <c r="AQ194">
        <v>0</v>
      </c>
      <c r="AR194" t="s">
        <v>54</v>
      </c>
      <c r="AS194" t="s">
        <v>55</v>
      </c>
      <c r="AT194" t="s">
        <v>55</v>
      </c>
      <c r="AU194" t="s">
        <v>85</v>
      </c>
      <c r="AV194">
        <v>2061</v>
      </c>
      <c r="AW194" t="s">
        <v>70</v>
      </c>
      <c r="AX194" t="s">
        <v>55</v>
      </c>
      <c r="AY194" t="s">
        <v>58</v>
      </c>
      <c r="AZ194" t="s">
        <v>59</v>
      </c>
      <c r="BA194" t="s">
        <v>55</v>
      </c>
      <c r="BB194" t="s">
        <v>49</v>
      </c>
      <c r="BC194" t="s">
        <v>49</v>
      </c>
      <c r="BD194" t="s">
        <v>49</v>
      </c>
      <c r="BE194" t="s">
        <v>55</v>
      </c>
      <c r="BF194">
        <v>13</v>
      </c>
      <c r="BG194" t="s">
        <v>60</v>
      </c>
      <c r="BH194" t="s">
        <v>71</v>
      </c>
      <c r="BI194" t="s">
        <v>62</v>
      </c>
      <c r="BJ194" t="s">
        <v>63</v>
      </c>
      <c r="BK194">
        <v>2009</v>
      </c>
      <c r="BL194">
        <v>0</v>
      </c>
      <c r="BR194">
        <f t="shared" si="20"/>
        <v>161</v>
      </c>
      <c r="BS194">
        <v>167</v>
      </c>
      <c r="BT194">
        <f t="shared" si="12"/>
        <v>1</v>
      </c>
    </row>
    <row r="195" spans="1:72" x14ac:dyDescent="0.2">
      <c r="A195" s="19" t="s">
        <v>250</v>
      </c>
      <c r="B195" s="1">
        <v>266</v>
      </c>
      <c r="C195">
        <v>0</v>
      </c>
      <c r="D195" t="s">
        <v>68</v>
      </c>
      <c r="E195" s="2" t="s">
        <v>49</v>
      </c>
      <c r="F195" t="s">
        <v>49</v>
      </c>
      <c r="G195">
        <v>266</v>
      </c>
      <c r="H195" s="2" t="s">
        <v>49</v>
      </c>
      <c r="I195" s="3" t="s">
        <v>69</v>
      </c>
      <c r="J195" s="4">
        <v>250</v>
      </c>
      <c r="Q195" s="4" t="s">
        <v>51</v>
      </c>
      <c r="W195" s="8">
        <v>6</v>
      </c>
      <c r="X195" s="8">
        <v>9</v>
      </c>
      <c r="Y195" s="4">
        <f t="shared" si="19"/>
        <v>250</v>
      </c>
      <c r="Z195" s="4">
        <v>0</v>
      </c>
      <c r="AM195">
        <v>71</v>
      </c>
      <c r="AN195" t="s">
        <v>52</v>
      </c>
      <c r="AO195" t="s">
        <v>53</v>
      </c>
      <c r="AP195">
        <v>-25972</v>
      </c>
      <c r="AQ195">
        <v>0</v>
      </c>
      <c r="AR195" t="s">
        <v>54</v>
      </c>
      <c r="AS195" t="s">
        <v>55</v>
      </c>
      <c r="AT195" t="s">
        <v>55</v>
      </c>
      <c r="AU195" t="s">
        <v>85</v>
      </c>
      <c r="AV195">
        <v>2065</v>
      </c>
      <c r="AW195" t="s">
        <v>70</v>
      </c>
      <c r="AX195" t="s">
        <v>55</v>
      </c>
      <c r="AY195" t="s">
        <v>58</v>
      </c>
      <c r="AZ195" t="s">
        <v>111</v>
      </c>
      <c r="BA195" t="s">
        <v>55</v>
      </c>
      <c r="BB195" t="s">
        <v>49</v>
      </c>
      <c r="BC195" t="s">
        <v>49</v>
      </c>
      <c r="BD195" t="s">
        <v>49</v>
      </c>
      <c r="BE195" t="s">
        <v>55</v>
      </c>
      <c r="BF195">
        <v>13</v>
      </c>
      <c r="BG195" t="s">
        <v>60</v>
      </c>
      <c r="BH195" t="s">
        <v>61</v>
      </c>
      <c r="BI195" t="s">
        <v>62</v>
      </c>
      <c r="BJ195" t="s">
        <v>63</v>
      </c>
      <c r="BK195">
        <v>2009</v>
      </c>
      <c r="BL195">
        <v>0</v>
      </c>
      <c r="BR195">
        <f t="shared" si="20"/>
        <v>125</v>
      </c>
      <c r="BS195">
        <v>141</v>
      </c>
      <c r="BT195">
        <f t="shared" si="12"/>
        <v>1</v>
      </c>
    </row>
    <row r="196" spans="1:72" x14ac:dyDescent="0.2">
      <c r="A196" s="19" t="s">
        <v>251</v>
      </c>
      <c r="B196" s="1">
        <v>295</v>
      </c>
      <c r="C196">
        <v>0</v>
      </c>
      <c r="D196" t="s">
        <v>68</v>
      </c>
      <c r="E196" s="2" t="s">
        <v>49</v>
      </c>
      <c r="F196" t="s">
        <v>49</v>
      </c>
      <c r="G196">
        <v>295</v>
      </c>
      <c r="H196" s="2" t="s">
        <v>49</v>
      </c>
      <c r="I196" s="3" t="s">
        <v>69</v>
      </c>
      <c r="J196" s="4">
        <v>234</v>
      </c>
      <c r="Q196" s="4" t="s">
        <v>51</v>
      </c>
      <c r="W196" s="8">
        <v>6</v>
      </c>
      <c r="X196" s="8">
        <v>12</v>
      </c>
      <c r="Y196" s="4">
        <f t="shared" si="19"/>
        <v>234</v>
      </c>
      <c r="Z196" s="4">
        <v>0</v>
      </c>
      <c r="AM196">
        <v>49</v>
      </c>
      <c r="AN196" t="s">
        <v>52</v>
      </c>
      <c r="AO196" t="s">
        <v>53</v>
      </c>
      <c r="AP196">
        <v>-18170</v>
      </c>
      <c r="AQ196">
        <v>0</v>
      </c>
      <c r="AR196" t="s">
        <v>54</v>
      </c>
      <c r="AS196" t="s">
        <v>55</v>
      </c>
      <c r="AT196" t="s">
        <v>55</v>
      </c>
      <c r="AU196" t="s">
        <v>56</v>
      </c>
      <c r="AV196">
        <v>2066</v>
      </c>
      <c r="AW196" t="s">
        <v>70</v>
      </c>
      <c r="AX196" t="s">
        <v>55</v>
      </c>
      <c r="AY196" t="s">
        <v>58</v>
      </c>
      <c r="AZ196" t="s">
        <v>59</v>
      </c>
      <c r="BA196" t="s">
        <v>55</v>
      </c>
      <c r="BB196" t="s">
        <v>49</v>
      </c>
      <c r="BC196" t="s">
        <v>49</v>
      </c>
      <c r="BD196" t="s">
        <v>49</v>
      </c>
      <c r="BE196" t="s">
        <v>55</v>
      </c>
      <c r="BF196">
        <v>13</v>
      </c>
      <c r="BG196" t="s">
        <v>60</v>
      </c>
      <c r="BH196" t="s">
        <v>61</v>
      </c>
      <c r="BI196" t="s">
        <v>83</v>
      </c>
      <c r="BJ196" t="s">
        <v>63</v>
      </c>
      <c r="BK196">
        <v>2009</v>
      </c>
      <c r="BL196">
        <v>0</v>
      </c>
      <c r="BR196">
        <f t="shared" si="20"/>
        <v>126</v>
      </c>
      <c r="BS196">
        <v>169</v>
      </c>
      <c r="BT196">
        <f t="shared" si="12"/>
        <v>1</v>
      </c>
    </row>
    <row r="197" spans="1:72" x14ac:dyDescent="0.2">
      <c r="A197" s="19" t="s">
        <v>252</v>
      </c>
      <c r="B197" s="1">
        <v>191</v>
      </c>
      <c r="C197">
        <v>0</v>
      </c>
      <c r="D197" t="s">
        <v>68</v>
      </c>
      <c r="E197" s="2" t="s">
        <v>49</v>
      </c>
      <c r="F197" t="s">
        <v>49</v>
      </c>
      <c r="G197">
        <v>191</v>
      </c>
      <c r="H197" s="2" t="s">
        <v>49</v>
      </c>
      <c r="I197" s="3" t="s">
        <v>69</v>
      </c>
      <c r="J197" s="4">
        <v>150</v>
      </c>
      <c r="Q197" s="4" t="s">
        <v>51</v>
      </c>
      <c r="W197" s="8">
        <v>6</v>
      </c>
      <c r="X197" s="8">
        <v>12</v>
      </c>
      <c r="Y197" s="4">
        <f t="shared" si="19"/>
        <v>150</v>
      </c>
      <c r="Z197" s="4">
        <v>0</v>
      </c>
      <c r="AM197">
        <v>63</v>
      </c>
      <c r="AN197" t="s">
        <v>52</v>
      </c>
      <c r="AO197" t="s">
        <v>53</v>
      </c>
      <c r="AP197">
        <v>-23367</v>
      </c>
      <c r="AQ197">
        <v>0</v>
      </c>
      <c r="AR197" t="s">
        <v>54</v>
      </c>
      <c r="AS197" t="s">
        <v>55</v>
      </c>
      <c r="AT197" t="s">
        <v>55</v>
      </c>
      <c r="AU197" t="s">
        <v>85</v>
      </c>
      <c r="AV197">
        <v>2071</v>
      </c>
      <c r="AW197" t="s">
        <v>70</v>
      </c>
      <c r="AX197" t="s">
        <v>55</v>
      </c>
      <c r="AY197" t="s">
        <v>58</v>
      </c>
      <c r="AZ197" t="s">
        <v>59</v>
      </c>
      <c r="BA197" t="s">
        <v>55</v>
      </c>
      <c r="BB197" t="s">
        <v>49</v>
      </c>
      <c r="BC197" t="s">
        <v>49</v>
      </c>
      <c r="BD197" t="s">
        <v>49</v>
      </c>
      <c r="BE197" t="s">
        <v>55</v>
      </c>
      <c r="BF197">
        <v>13</v>
      </c>
      <c r="BG197" t="s">
        <v>60</v>
      </c>
      <c r="BH197" t="s">
        <v>61</v>
      </c>
      <c r="BI197" t="s">
        <v>83</v>
      </c>
      <c r="BJ197" t="s">
        <v>63</v>
      </c>
      <c r="BK197">
        <v>2009</v>
      </c>
      <c r="BL197">
        <v>0</v>
      </c>
      <c r="BR197">
        <f t="shared" si="20"/>
        <v>45</v>
      </c>
      <c r="BS197">
        <v>146</v>
      </c>
      <c r="BT197">
        <f t="shared" si="12"/>
        <v>1</v>
      </c>
    </row>
    <row r="198" spans="1:72" x14ac:dyDescent="0.2">
      <c r="A198" s="19" t="s">
        <v>253</v>
      </c>
      <c r="B198" s="1">
        <v>701</v>
      </c>
      <c r="C198">
        <v>1</v>
      </c>
      <c r="D198" t="s">
        <v>48</v>
      </c>
      <c r="E198" s="2" t="s">
        <v>49</v>
      </c>
      <c r="F198">
        <v>701</v>
      </c>
      <c r="G198">
        <v>701</v>
      </c>
      <c r="H198" s="2">
        <v>442</v>
      </c>
      <c r="I198" s="3">
        <v>442</v>
      </c>
      <c r="J198" s="4">
        <v>336</v>
      </c>
      <c r="K198" s="9">
        <v>274</v>
      </c>
      <c r="Q198" s="4" t="s">
        <v>51</v>
      </c>
      <c r="R198" s="9" t="s">
        <v>80</v>
      </c>
      <c r="W198" s="8">
        <v>6</v>
      </c>
      <c r="X198" s="8">
        <v>12</v>
      </c>
      <c r="Y198" s="4">
        <f t="shared" si="19"/>
        <v>336</v>
      </c>
      <c r="Z198" s="4">
        <v>1</v>
      </c>
      <c r="AG198" s="9">
        <f>K198</f>
        <v>274</v>
      </c>
      <c r="AH198" s="9">
        <v>1</v>
      </c>
      <c r="AM198">
        <v>61</v>
      </c>
      <c r="AN198" t="s">
        <v>52</v>
      </c>
      <c r="AO198" t="s">
        <v>53</v>
      </c>
      <c r="AP198">
        <v>-22287</v>
      </c>
      <c r="AQ198">
        <v>0</v>
      </c>
      <c r="AR198" t="s">
        <v>54</v>
      </c>
      <c r="AS198" t="s">
        <v>55</v>
      </c>
      <c r="AT198" t="s">
        <v>55</v>
      </c>
      <c r="AU198" t="s">
        <v>161</v>
      </c>
      <c r="AV198">
        <v>987</v>
      </c>
      <c r="AW198" t="s">
        <v>57</v>
      </c>
      <c r="AX198" t="s">
        <v>55</v>
      </c>
      <c r="AY198" t="s">
        <v>49</v>
      </c>
      <c r="AZ198" t="s">
        <v>59</v>
      </c>
      <c r="BA198" t="s">
        <v>55</v>
      </c>
      <c r="BB198" t="s">
        <v>49</v>
      </c>
      <c r="BC198" t="s">
        <v>49</v>
      </c>
      <c r="BD198" t="s">
        <v>106</v>
      </c>
      <c r="BE198" t="s">
        <v>55</v>
      </c>
      <c r="BF198">
        <v>20</v>
      </c>
      <c r="BG198" t="s">
        <v>60</v>
      </c>
      <c r="BH198" t="s">
        <v>61</v>
      </c>
      <c r="BI198" t="s">
        <v>62</v>
      </c>
      <c r="BJ198" t="s">
        <v>63</v>
      </c>
      <c r="BK198">
        <v>2004</v>
      </c>
      <c r="BL198">
        <v>1</v>
      </c>
      <c r="BM198">
        <v>1</v>
      </c>
      <c r="BR198">
        <f>I198-BS198</f>
        <v>225</v>
      </c>
      <c r="BS198">
        <v>217</v>
      </c>
      <c r="BT198">
        <f t="shared" si="12"/>
        <v>2</v>
      </c>
    </row>
    <row r="199" spans="1:72" x14ac:dyDescent="0.2">
      <c r="A199" s="19" t="s">
        <v>254</v>
      </c>
      <c r="B199" s="1">
        <v>1174</v>
      </c>
      <c r="C199">
        <v>0</v>
      </c>
      <c r="D199" t="s">
        <v>68</v>
      </c>
      <c r="E199" s="2" t="s">
        <v>49</v>
      </c>
      <c r="F199" t="s">
        <v>49</v>
      </c>
      <c r="G199">
        <v>789</v>
      </c>
      <c r="H199" s="2">
        <v>870</v>
      </c>
      <c r="I199" s="3">
        <v>870</v>
      </c>
      <c r="J199" s="4">
        <f>870-116</f>
        <v>754</v>
      </c>
      <c r="K199" s="7">
        <f>1033-900</f>
        <v>133</v>
      </c>
      <c r="L199">
        <f>1174-1033</f>
        <v>141</v>
      </c>
      <c r="P199" t="s">
        <v>787</v>
      </c>
      <c r="Q199" s="4" t="s">
        <v>51</v>
      </c>
      <c r="R199" s="7" t="s">
        <v>75</v>
      </c>
      <c r="S199" t="s">
        <v>255</v>
      </c>
      <c r="W199" s="8">
        <v>6</v>
      </c>
      <c r="X199" s="8">
        <v>12</v>
      </c>
      <c r="Y199" s="4">
        <f t="shared" si="19"/>
        <v>754</v>
      </c>
      <c r="Z199" s="4">
        <v>1</v>
      </c>
      <c r="AI199" s="7">
        <f>K199</f>
        <v>133</v>
      </c>
      <c r="AJ199" s="7">
        <v>0</v>
      </c>
      <c r="AK199" s="8"/>
      <c r="AL199" s="8"/>
      <c r="AM199">
        <v>74</v>
      </c>
      <c r="AN199" t="s">
        <v>52</v>
      </c>
      <c r="AO199" t="s">
        <v>53</v>
      </c>
      <c r="AP199">
        <v>-27170</v>
      </c>
      <c r="AQ199">
        <v>0</v>
      </c>
      <c r="AR199" t="s">
        <v>54</v>
      </c>
      <c r="AS199" t="s">
        <v>55</v>
      </c>
      <c r="AT199" t="s">
        <v>55</v>
      </c>
      <c r="AU199" t="s">
        <v>161</v>
      </c>
      <c r="AV199">
        <v>990</v>
      </c>
      <c r="AW199" t="s">
        <v>57</v>
      </c>
      <c r="AX199" t="s">
        <v>55</v>
      </c>
      <c r="AY199" t="s">
        <v>49</v>
      </c>
      <c r="AZ199" t="s">
        <v>59</v>
      </c>
      <c r="BA199" t="s">
        <v>55</v>
      </c>
      <c r="BB199" t="s">
        <v>49</v>
      </c>
      <c r="BC199" t="s">
        <v>49</v>
      </c>
      <c r="BD199" t="s">
        <v>106</v>
      </c>
      <c r="BE199" t="s">
        <v>55</v>
      </c>
      <c r="BF199">
        <v>20</v>
      </c>
      <c r="BG199" t="s">
        <v>60</v>
      </c>
      <c r="BH199" t="s">
        <v>49</v>
      </c>
      <c r="BI199" t="s">
        <v>62</v>
      </c>
      <c r="BJ199" t="s">
        <v>63</v>
      </c>
      <c r="BK199">
        <v>2005</v>
      </c>
      <c r="BL199">
        <v>1</v>
      </c>
      <c r="BM199">
        <v>1</v>
      </c>
      <c r="BN199">
        <v>0</v>
      </c>
      <c r="BR199">
        <f>I199-BS199</f>
        <v>635</v>
      </c>
      <c r="BS199">
        <v>235</v>
      </c>
      <c r="BT199">
        <f t="shared" si="12"/>
        <v>3</v>
      </c>
    </row>
    <row r="200" spans="1:72" x14ac:dyDescent="0.2">
      <c r="A200" s="19" t="s">
        <v>591</v>
      </c>
      <c r="B200" s="1">
        <v>797</v>
      </c>
      <c r="C200">
        <v>0</v>
      </c>
      <c r="D200" s="8" t="s">
        <v>68</v>
      </c>
      <c r="E200" s="12" t="s">
        <v>49</v>
      </c>
      <c r="F200" s="8" t="s">
        <v>49</v>
      </c>
      <c r="G200" s="8">
        <v>797</v>
      </c>
      <c r="H200" s="12" t="s">
        <v>49</v>
      </c>
      <c r="I200" s="3" t="s">
        <v>69</v>
      </c>
      <c r="J200" s="11">
        <v>726</v>
      </c>
      <c r="K200" s="8"/>
      <c r="L200" s="8"/>
      <c r="M200" s="8"/>
      <c r="N200" s="8"/>
      <c r="O200" s="8"/>
      <c r="P200" s="8"/>
      <c r="Q200" s="11" t="s">
        <v>90</v>
      </c>
      <c r="R200" s="8"/>
      <c r="S200" s="8"/>
      <c r="T200" s="8"/>
      <c r="U200" s="8"/>
      <c r="V200" s="8"/>
      <c r="W200" s="8">
        <v>3</v>
      </c>
      <c r="X200" s="8">
        <v>3</v>
      </c>
      <c r="Y200" s="8"/>
      <c r="Z200" s="8"/>
      <c r="AA200" s="11">
        <f>J200</f>
        <v>726</v>
      </c>
      <c r="AB200" s="11">
        <v>0</v>
      </c>
      <c r="AC200" s="8"/>
      <c r="AD200" s="8"/>
      <c r="AE200" s="8"/>
      <c r="AF200" s="8"/>
      <c r="AG200" s="8"/>
      <c r="AH200" s="8"/>
      <c r="AI200" s="8"/>
      <c r="AJ200" s="8"/>
      <c r="AK200" s="8"/>
      <c r="AL200" s="8"/>
      <c r="AM200" s="8">
        <v>78</v>
      </c>
      <c r="AN200" s="8" t="s">
        <v>126</v>
      </c>
      <c r="AO200" s="8" t="s">
        <v>53</v>
      </c>
      <c r="AP200" s="8">
        <v>-28694</v>
      </c>
      <c r="AQ200" s="8">
        <v>0</v>
      </c>
      <c r="AR200" s="8" t="s">
        <v>54</v>
      </c>
      <c r="AS200" s="8" t="s">
        <v>55</v>
      </c>
      <c r="AT200" s="8" t="s">
        <v>55</v>
      </c>
      <c r="AU200" s="8" t="s">
        <v>56</v>
      </c>
      <c r="AV200" s="8">
        <v>991</v>
      </c>
      <c r="AW200" s="8" t="s">
        <v>70</v>
      </c>
      <c r="AX200" s="8" t="s">
        <v>55</v>
      </c>
      <c r="AY200" s="8" t="s">
        <v>58</v>
      </c>
      <c r="AZ200" s="8" t="s">
        <v>59</v>
      </c>
      <c r="BA200" s="8" t="s">
        <v>55</v>
      </c>
      <c r="BB200" s="8" t="s">
        <v>49</v>
      </c>
      <c r="BC200" s="8" t="s">
        <v>49</v>
      </c>
      <c r="BD200" s="8" t="s">
        <v>49</v>
      </c>
      <c r="BE200" s="8" t="s">
        <v>55</v>
      </c>
      <c r="BF200" s="8">
        <v>20</v>
      </c>
      <c r="BG200" s="8" t="s">
        <v>60</v>
      </c>
      <c r="BH200" s="8" t="s">
        <v>71</v>
      </c>
      <c r="BI200" s="8" t="s">
        <v>559</v>
      </c>
      <c r="BJ200" s="8" t="s">
        <v>63</v>
      </c>
      <c r="BK200" s="8">
        <v>2006</v>
      </c>
      <c r="BL200">
        <v>0</v>
      </c>
      <c r="BR200">
        <f>B200-BS200</f>
        <v>663</v>
      </c>
      <c r="BS200">
        <v>134</v>
      </c>
      <c r="BT200">
        <f t="shared" si="12"/>
        <v>1</v>
      </c>
    </row>
    <row r="201" spans="1:72" x14ac:dyDescent="0.2">
      <c r="A201" s="19" t="s">
        <v>592</v>
      </c>
      <c r="B201" s="1">
        <v>2196</v>
      </c>
      <c r="C201">
        <v>0</v>
      </c>
      <c r="D201" s="8" t="s">
        <v>68</v>
      </c>
      <c r="E201" s="12" t="s">
        <v>49</v>
      </c>
      <c r="F201" s="8" t="s">
        <v>49</v>
      </c>
      <c r="G201" s="8">
        <v>2196</v>
      </c>
      <c r="H201" s="12" t="s">
        <v>49</v>
      </c>
      <c r="I201" s="3">
        <v>276</v>
      </c>
      <c r="J201" s="4">
        <f>443-167</f>
        <v>276</v>
      </c>
      <c r="K201" s="21">
        <v>172</v>
      </c>
      <c r="L201" s="5">
        <v>491</v>
      </c>
      <c r="M201" s="8">
        <v>1090</v>
      </c>
      <c r="N201" s="8"/>
      <c r="O201" s="8"/>
      <c r="P201" s="8" t="s">
        <v>791</v>
      </c>
      <c r="Q201" s="4" t="s">
        <v>51</v>
      </c>
      <c r="R201" s="21" t="s">
        <v>80</v>
      </c>
      <c r="S201" s="5" t="s">
        <v>65</v>
      </c>
      <c r="T201" s="8" t="s">
        <v>98</v>
      </c>
      <c r="U201" s="8"/>
      <c r="V201" s="8"/>
      <c r="W201" s="8">
        <v>3</v>
      </c>
      <c r="X201" s="8">
        <v>6</v>
      </c>
      <c r="Y201" s="4">
        <v>276</v>
      </c>
      <c r="Z201" s="4">
        <v>1</v>
      </c>
      <c r="AA201" s="8"/>
      <c r="AB201" s="8"/>
      <c r="AC201" s="8"/>
      <c r="AD201" s="8"/>
      <c r="AE201" s="5">
        <v>491</v>
      </c>
      <c r="AF201" s="5">
        <v>1</v>
      </c>
      <c r="AG201" s="8"/>
      <c r="AH201" s="8"/>
      <c r="AI201" s="8"/>
      <c r="AJ201" s="8"/>
      <c r="AK201" s="21">
        <f>K201</f>
        <v>172</v>
      </c>
      <c r="AL201" s="21">
        <v>1</v>
      </c>
      <c r="AM201" s="8">
        <v>59</v>
      </c>
      <c r="AN201" s="8" t="s">
        <v>52</v>
      </c>
      <c r="AO201" s="8" t="s">
        <v>53</v>
      </c>
      <c r="AP201" s="8">
        <v>-21572</v>
      </c>
      <c r="AQ201" s="8">
        <v>0</v>
      </c>
      <c r="AR201" s="8" t="s">
        <v>54</v>
      </c>
      <c r="AS201" s="8" t="s">
        <v>55</v>
      </c>
      <c r="AT201" s="8" t="s">
        <v>55</v>
      </c>
      <c r="AU201" s="8" t="s">
        <v>85</v>
      </c>
      <c r="AV201" s="8">
        <v>996</v>
      </c>
      <c r="AW201" s="8" t="s">
        <v>57</v>
      </c>
      <c r="AX201" s="8" t="s">
        <v>55</v>
      </c>
      <c r="AY201" s="8" t="s">
        <v>49</v>
      </c>
      <c r="AZ201" s="8" t="s">
        <v>59</v>
      </c>
      <c r="BA201" s="8" t="s">
        <v>55</v>
      </c>
      <c r="BB201" s="8" t="s">
        <v>49</v>
      </c>
      <c r="BC201" s="8" t="s">
        <v>49</v>
      </c>
      <c r="BD201" s="8" t="s">
        <v>106</v>
      </c>
      <c r="BE201" s="8" t="s">
        <v>55</v>
      </c>
      <c r="BF201" s="8">
        <v>20</v>
      </c>
      <c r="BG201" s="8" t="s">
        <v>511</v>
      </c>
      <c r="BH201" s="8" t="s">
        <v>61</v>
      </c>
      <c r="BI201" s="8" t="s">
        <v>62</v>
      </c>
      <c r="BJ201" s="8" t="s">
        <v>63</v>
      </c>
      <c r="BK201" s="8">
        <v>2001</v>
      </c>
      <c r="BL201">
        <v>1</v>
      </c>
      <c r="BM201">
        <v>1</v>
      </c>
      <c r="BN201">
        <v>1</v>
      </c>
      <c r="BO201">
        <v>0</v>
      </c>
      <c r="BR201">
        <f>I201-BS201</f>
        <v>53</v>
      </c>
      <c r="BS201">
        <v>223</v>
      </c>
      <c r="BT201">
        <f t="shared" si="12"/>
        <v>4</v>
      </c>
    </row>
    <row r="202" spans="1:72" x14ac:dyDescent="0.2">
      <c r="A202" s="19" t="s">
        <v>593</v>
      </c>
      <c r="B202" s="1">
        <v>836</v>
      </c>
      <c r="C202">
        <v>0</v>
      </c>
      <c r="D202" s="8" t="s">
        <v>68</v>
      </c>
      <c r="E202" s="12" t="s">
        <v>49</v>
      </c>
      <c r="F202" s="8" t="s">
        <v>49</v>
      </c>
      <c r="G202" s="8">
        <v>836</v>
      </c>
      <c r="H202" s="12" t="s">
        <v>49</v>
      </c>
      <c r="I202" s="3" t="s">
        <v>69</v>
      </c>
      <c r="J202" s="4">
        <v>796</v>
      </c>
      <c r="K202" s="8"/>
      <c r="L202" s="8"/>
      <c r="M202" s="8"/>
      <c r="N202" s="8"/>
      <c r="O202" s="8"/>
      <c r="P202" s="8"/>
      <c r="Q202" s="4" t="s">
        <v>51</v>
      </c>
      <c r="R202" s="8"/>
      <c r="S202" s="8"/>
      <c r="T202" s="8"/>
      <c r="U202" s="8"/>
      <c r="V202" s="8"/>
      <c r="W202" s="8">
        <v>6</v>
      </c>
      <c r="X202" s="8">
        <v>12</v>
      </c>
      <c r="Y202" s="4">
        <f t="shared" ref="Y202:Y213" si="21">J202</f>
        <v>796</v>
      </c>
      <c r="Z202" s="4">
        <v>0</v>
      </c>
      <c r="AA202" s="8"/>
      <c r="AB202" s="8"/>
      <c r="AC202" s="8"/>
      <c r="AD202" s="8"/>
      <c r="AE202" s="8"/>
      <c r="AF202" s="8"/>
      <c r="AG202" s="8"/>
      <c r="AH202" s="8"/>
      <c r="AI202" s="8"/>
      <c r="AJ202" s="8"/>
      <c r="AK202" s="8"/>
      <c r="AL202" s="8"/>
      <c r="AM202" s="8">
        <v>56</v>
      </c>
      <c r="AN202" s="8" t="s">
        <v>52</v>
      </c>
      <c r="AO202" s="8" t="s">
        <v>53</v>
      </c>
      <c r="AP202" s="8">
        <v>-20583</v>
      </c>
      <c r="AQ202" s="8">
        <v>0</v>
      </c>
      <c r="AR202" s="8" t="s">
        <v>54</v>
      </c>
      <c r="AS202" s="8" t="s">
        <v>55</v>
      </c>
      <c r="AT202" s="8" t="s">
        <v>55</v>
      </c>
      <c r="AU202" s="8" t="s">
        <v>56</v>
      </c>
      <c r="AV202" s="8">
        <v>1682</v>
      </c>
      <c r="AW202" s="8" t="s">
        <v>70</v>
      </c>
      <c r="AX202" s="8" t="s">
        <v>55</v>
      </c>
      <c r="AY202" s="8" t="s">
        <v>58</v>
      </c>
      <c r="AZ202" s="8" t="s">
        <v>59</v>
      </c>
      <c r="BA202" s="8" t="s">
        <v>55</v>
      </c>
      <c r="BB202" s="8" t="s">
        <v>49</v>
      </c>
      <c r="BC202" s="8" t="s">
        <v>49</v>
      </c>
      <c r="BD202" s="8" t="s">
        <v>49</v>
      </c>
      <c r="BE202" s="8" t="s">
        <v>55</v>
      </c>
      <c r="BF202" s="8">
        <v>20</v>
      </c>
      <c r="BG202" s="8" t="s">
        <v>571</v>
      </c>
      <c r="BH202" s="8" t="s">
        <v>142</v>
      </c>
      <c r="BI202" s="8" t="s">
        <v>62</v>
      </c>
      <c r="BJ202" s="8" t="s">
        <v>63</v>
      </c>
      <c r="BK202" s="8">
        <v>2007</v>
      </c>
      <c r="BL202">
        <v>0</v>
      </c>
      <c r="BR202">
        <f>B202-BS202</f>
        <v>692</v>
      </c>
      <c r="BS202">
        <v>144</v>
      </c>
      <c r="BT202">
        <f t="shared" si="12"/>
        <v>1</v>
      </c>
    </row>
    <row r="203" spans="1:72" x14ac:dyDescent="0.2">
      <c r="A203" s="19" t="s">
        <v>256</v>
      </c>
      <c r="B203" s="1">
        <v>772</v>
      </c>
      <c r="C203">
        <v>0</v>
      </c>
      <c r="D203" t="s">
        <v>68</v>
      </c>
      <c r="E203" s="2" t="s">
        <v>49</v>
      </c>
      <c r="F203" t="s">
        <v>49</v>
      </c>
      <c r="G203">
        <v>772</v>
      </c>
      <c r="H203" s="2">
        <v>618</v>
      </c>
      <c r="I203" s="3">
        <v>618</v>
      </c>
      <c r="J203" s="4">
        <v>601</v>
      </c>
      <c r="Q203" s="4" t="s">
        <v>51</v>
      </c>
      <c r="W203" s="8">
        <v>6</v>
      </c>
      <c r="X203" s="8">
        <v>12</v>
      </c>
      <c r="Y203" s="4">
        <f t="shared" si="21"/>
        <v>601</v>
      </c>
      <c r="Z203" s="4">
        <v>1</v>
      </c>
      <c r="AM203">
        <v>65</v>
      </c>
      <c r="AN203" t="s">
        <v>126</v>
      </c>
      <c r="AO203" t="s">
        <v>53</v>
      </c>
      <c r="AP203">
        <v>-24006</v>
      </c>
      <c r="AQ203">
        <v>0</v>
      </c>
      <c r="AR203" t="s">
        <v>54</v>
      </c>
      <c r="AS203" t="s">
        <v>55</v>
      </c>
      <c r="AT203" t="s">
        <v>55</v>
      </c>
      <c r="AU203" t="s">
        <v>56</v>
      </c>
      <c r="AV203">
        <v>1683</v>
      </c>
      <c r="AW203" t="s">
        <v>70</v>
      </c>
      <c r="AX203" t="s">
        <v>55</v>
      </c>
      <c r="AY203" t="s">
        <v>92</v>
      </c>
      <c r="AZ203" t="s">
        <v>59</v>
      </c>
      <c r="BA203" t="s">
        <v>55</v>
      </c>
      <c r="BB203" t="s">
        <v>49</v>
      </c>
      <c r="BC203" t="s">
        <v>49</v>
      </c>
      <c r="BD203" t="s">
        <v>106</v>
      </c>
      <c r="BE203" t="s">
        <v>55</v>
      </c>
      <c r="BF203">
        <v>20</v>
      </c>
      <c r="BG203" t="s">
        <v>60</v>
      </c>
      <c r="BH203" t="s">
        <v>71</v>
      </c>
      <c r="BI203" t="s">
        <v>62</v>
      </c>
      <c r="BJ203" t="s">
        <v>63</v>
      </c>
      <c r="BK203">
        <v>2007</v>
      </c>
      <c r="BL203">
        <v>1</v>
      </c>
      <c r="BR203">
        <f>I203-BS203</f>
        <v>483</v>
      </c>
      <c r="BS203">
        <v>135</v>
      </c>
      <c r="BT203">
        <f t="shared" si="12"/>
        <v>1</v>
      </c>
    </row>
    <row r="204" spans="1:72" x14ac:dyDescent="0.2">
      <c r="A204" s="19" t="s">
        <v>257</v>
      </c>
      <c r="B204" s="1">
        <v>580</v>
      </c>
      <c r="C204">
        <v>0</v>
      </c>
      <c r="D204" t="s">
        <v>68</v>
      </c>
      <c r="E204" s="2" t="s">
        <v>49</v>
      </c>
      <c r="F204" t="s">
        <v>49</v>
      </c>
      <c r="G204">
        <v>580</v>
      </c>
      <c r="H204" s="2" t="s">
        <v>49</v>
      </c>
      <c r="I204" s="3" t="s">
        <v>69</v>
      </c>
      <c r="J204" s="4">
        <v>538</v>
      </c>
      <c r="P204" t="s">
        <v>824</v>
      </c>
      <c r="Q204" s="4" t="s">
        <v>51</v>
      </c>
      <c r="W204" s="8">
        <v>4</v>
      </c>
      <c r="X204" s="8">
        <v>8</v>
      </c>
      <c r="Y204" s="4">
        <f t="shared" si="21"/>
        <v>538</v>
      </c>
      <c r="Z204" s="4">
        <v>0</v>
      </c>
      <c r="AM204">
        <v>51</v>
      </c>
      <c r="AN204" t="s">
        <v>52</v>
      </c>
      <c r="AO204" t="s">
        <v>53</v>
      </c>
      <c r="AP204">
        <v>-18755</v>
      </c>
      <c r="AQ204">
        <v>0</v>
      </c>
      <c r="AR204" t="s">
        <v>54</v>
      </c>
      <c r="AS204" t="s">
        <v>55</v>
      </c>
      <c r="AT204" t="s">
        <v>55</v>
      </c>
      <c r="AU204" t="s">
        <v>56</v>
      </c>
      <c r="AV204">
        <v>1684</v>
      </c>
      <c r="AW204" t="s">
        <v>70</v>
      </c>
      <c r="AX204" t="s">
        <v>55</v>
      </c>
      <c r="AY204" t="s">
        <v>58</v>
      </c>
      <c r="AZ204" t="s">
        <v>59</v>
      </c>
      <c r="BA204" t="s">
        <v>55</v>
      </c>
      <c r="BB204" t="s">
        <v>49</v>
      </c>
      <c r="BC204" t="s">
        <v>49</v>
      </c>
      <c r="BD204" t="s">
        <v>49</v>
      </c>
      <c r="BE204" t="s">
        <v>55</v>
      </c>
      <c r="BF204">
        <v>20</v>
      </c>
      <c r="BG204" t="s">
        <v>60</v>
      </c>
      <c r="BH204" t="s">
        <v>61</v>
      </c>
      <c r="BI204" t="s">
        <v>62</v>
      </c>
      <c r="BJ204" t="s">
        <v>63</v>
      </c>
      <c r="BK204">
        <v>2007</v>
      </c>
      <c r="BL204">
        <v>0</v>
      </c>
      <c r="BR204">
        <f>B204-BS204</f>
        <v>461</v>
      </c>
      <c r="BS204">
        <v>119</v>
      </c>
      <c r="BT204">
        <f t="shared" si="12"/>
        <v>1</v>
      </c>
    </row>
    <row r="205" spans="1:72" x14ac:dyDescent="0.2">
      <c r="A205" s="19" t="s">
        <v>258</v>
      </c>
      <c r="B205" s="1">
        <v>507</v>
      </c>
      <c r="C205">
        <v>0</v>
      </c>
      <c r="D205" t="s">
        <v>68</v>
      </c>
      <c r="E205" s="2" t="s">
        <v>49</v>
      </c>
      <c r="F205" t="s">
        <v>49</v>
      </c>
      <c r="G205">
        <v>507</v>
      </c>
      <c r="H205" s="2" t="s">
        <v>49</v>
      </c>
      <c r="I205" s="3" t="s">
        <v>69</v>
      </c>
      <c r="J205" s="4">
        <v>469</v>
      </c>
      <c r="P205" t="s">
        <v>824</v>
      </c>
      <c r="Q205" s="4" t="s">
        <v>51</v>
      </c>
      <c r="W205" s="8">
        <v>6</v>
      </c>
      <c r="X205" s="8">
        <v>12</v>
      </c>
      <c r="Y205" s="4">
        <f t="shared" si="21"/>
        <v>469</v>
      </c>
      <c r="Z205" s="4">
        <v>0</v>
      </c>
      <c r="AM205">
        <v>45</v>
      </c>
      <c r="AN205" t="s">
        <v>52</v>
      </c>
      <c r="AO205" t="s">
        <v>53</v>
      </c>
      <c r="AP205">
        <v>-16745</v>
      </c>
      <c r="AQ205">
        <v>0</v>
      </c>
      <c r="AR205" t="s">
        <v>54</v>
      </c>
      <c r="AS205" t="s">
        <v>55</v>
      </c>
      <c r="AT205" t="s">
        <v>55</v>
      </c>
      <c r="AU205" t="s">
        <v>56</v>
      </c>
      <c r="AV205">
        <v>1685</v>
      </c>
      <c r="AW205" t="s">
        <v>70</v>
      </c>
      <c r="AX205" t="s">
        <v>55</v>
      </c>
      <c r="AY205" t="s">
        <v>58</v>
      </c>
      <c r="AZ205" t="s">
        <v>59</v>
      </c>
      <c r="BA205" t="s">
        <v>55</v>
      </c>
      <c r="BB205" t="s">
        <v>49</v>
      </c>
      <c r="BC205" t="s">
        <v>49</v>
      </c>
      <c r="BD205" t="s">
        <v>49</v>
      </c>
      <c r="BE205" t="s">
        <v>55</v>
      </c>
      <c r="BF205">
        <v>20</v>
      </c>
      <c r="BG205" t="s">
        <v>60</v>
      </c>
      <c r="BH205" t="s">
        <v>61</v>
      </c>
      <c r="BI205" t="s">
        <v>62</v>
      </c>
      <c r="BJ205" t="s">
        <v>63</v>
      </c>
      <c r="BK205">
        <v>2008</v>
      </c>
      <c r="BL205">
        <v>0</v>
      </c>
      <c r="BR205">
        <f>B205-BS205</f>
        <v>364</v>
      </c>
      <c r="BS205">
        <v>143</v>
      </c>
      <c r="BT205">
        <f t="shared" si="12"/>
        <v>1</v>
      </c>
    </row>
    <row r="206" spans="1:72" x14ac:dyDescent="0.2">
      <c r="A206" s="19" t="s">
        <v>259</v>
      </c>
      <c r="B206" s="1">
        <v>105</v>
      </c>
      <c r="C206">
        <v>0</v>
      </c>
      <c r="D206" t="s">
        <v>68</v>
      </c>
      <c r="E206" s="2" t="s">
        <v>49</v>
      </c>
      <c r="F206" t="s">
        <v>49</v>
      </c>
      <c r="G206">
        <v>89</v>
      </c>
      <c r="H206" s="2" t="s">
        <v>49</v>
      </c>
      <c r="I206" s="3" t="s">
        <v>69</v>
      </c>
      <c r="J206" s="4">
        <v>105</v>
      </c>
      <c r="P206" t="s">
        <v>787</v>
      </c>
      <c r="Q206" s="4" t="s">
        <v>51</v>
      </c>
      <c r="W206" s="8">
        <v>6</v>
      </c>
      <c r="X206" s="8">
        <v>12</v>
      </c>
      <c r="Y206" s="4">
        <f t="shared" si="21"/>
        <v>105</v>
      </c>
      <c r="Z206" s="4">
        <v>0</v>
      </c>
      <c r="AM206">
        <v>75</v>
      </c>
      <c r="AN206" t="s">
        <v>52</v>
      </c>
      <c r="AO206" t="s">
        <v>53</v>
      </c>
      <c r="AP206">
        <v>-27587</v>
      </c>
      <c r="AQ206">
        <v>0</v>
      </c>
      <c r="AR206" t="s">
        <v>54</v>
      </c>
      <c r="AS206" t="s">
        <v>55</v>
      </c>
      <c r="AT206" t="s">
        <v>55</v>
      </c>
      <c r="AU206" t="s">
        <v>56</v>
      </c>
      <c r="AV206">
        <v>1686</v>
      </c>
      <c r="AW206" t="s">
        <v>70</v>
      </c>
      <c r="AX206" t="s">
        <v>55</v>
      </c>
      <c r="AY206" t="s">
        <v>58</v>
      </c>
      <c r="AZ206" t="s">
        <v>59</v>
      </c>
      <c r="BA206" t="s">
        <v>55</v>
      </c>
      <c r="BB206" t="s">
        <v>49</v>
      </c>
      <c r="BC206" t="s">
        <v>49</v>
      </c>
      <c r="BD206" t="s">
        <v>49</v>
      </c>
      <c r="BE206" t="s">
        <v>55</v>
      </c>
      <c r="BF206">
        <v>20</v>
      </c>
      <c r="BG206" t="s">
        <v>60</v>
      </c>
      <c r="BH206" t="s">
        <v>71</v>
      </c>
      <c r="BI206" t="s">
        <v>62</v>
      </c>
      <c r="BJ206" t="s">
        <v>63</v>
      </c>
      <c r="BK206">
        <v>2008</v>
      </c>
      <c r="BL206">
        <v>0</v>
      </c>
      <c r="BR206">
        <f>B206-BS206</f>
        <v>-26</v>
      </c>
      <c r="BS206">
        <v>131</v>
      </c>
      <c r="BT206">
        <f t="shared" ref="BT206:BT269" si="22">COUNT(BL206:BQ206)</f>
        <v>1</v>
      </c>
    </row>
    <row r="207" spans="1:72" x14ac:dyDescent="0.2">
      <c r="A207" s="19" t="s">
        <v>260</v>
      </c>
      <c r="B207" s="1">
        <v>172</v>
      </c>
      <c r="C207">
        <v>0</v>
      </c>
      <c r="D207" t="s">
        <v>68</v>
      </c>
      <c r="E207" s="2" t="s">
        <v>49</v>
      </c>
      <c r="F207" t="s">
        <v>49</v>
      </c>
      <c r="G207">
        <v>81</v>
      </c>
      <c r="H207" s="2" t="s">
        <v>49</v>
      </c>
      <c r="I207" s="3" t="s">
        <v>69</v>
      </c>
      <c r="J207" s="4">
        <v>130</v>
      </c>
      <c r="P207" t="s">
        <v>787</v>
      </c>
      <c r="Q207" s="4" t="s">
        <v>51</v>
      </c>
      <c r="W207" s="8">
        <v>6</v>
      </c>
      <c r="X207" s="8">
        <v>12</v>
      </c>
      <c r="Y207" s="4">
        <f t="shared" si="21"/>
        <v>130</v>
      </c>
      <c r="Z207" s="4">
        <v>0</v>
      </c>
      <c r="AM207">
        <v>46</v>
      </c>
      <c r="AN207" t="s">
        <v>52</v>
      </c>
      <c r="AO207" t="s">
        <v>53</v>
      </c>
      <c r="AP207">
        <v>-16960</v>
      </c>
      <c r="AQ207">
        <v>0</v>
      </c>
      <c r="AR207" t="s">
        <v>54</v>
      </c>
      <c r="AS207" t="s">
        <v>55</v>
      </c>
      <c r="AT207" t="s">
        <v>55</v>
      </c>
      <c r="AU207" t="s">
        <v>85</v>
      </c>
      <c r="AV207">
        <v>1687</v>
      </c>
      <c r="AW207" t="s">
        <v>70</v>
      </c>
      <c r="AX207" t="s">
        <v>55</v>
      </c>
      <c r="AY207" t="s">
        <v>58</v>
      </c>
      <c r="AZ207" t="s">
        <v>59</v>
      </c>
      <c r="BA207" t="s">
        <v>55</v>
      </c>
      <c r="BB207" t="s">
        <v>49</v>
      </c>
      <c r="BC207" t="s">
        <v>49</v>
      </c>
      <c r="BD207" t="s">
        <v>49</v>
      </c>
      <c r="BE207" t="s">
        <v>55</v>
      </c>
      <c r="BF207">
        <v>20</v>
      </c>
      <c r="BG207" t="s">
        <v>60</v>
      </c>
      <c r="BH207" t="s">
        <v>71</v>
      </c>
      <c r="BI207" t="s">
        <v>83</v>
      </c>
      <c r="BJ207" t="s">
        <v>63</v>
      </c>
      <c r="BK207">
        <v>2008</v>
      </c>
      <c r="BL207">
        <v>0</v>
      </c>
      <c r="BR207">
        <f>B207-BS207</f>
        <v>0</v>
      </c>
      <c r="BS207">
        <v>172</v>
      </c>
      <c r="BT207">
        <f t="shared" si="22"/>
        <v>1</v>
      </c>
    </row>
    <row r="208" spans="1:72" x14ac:dyDescent="0.2">
      <c r="A208" s="19" t="s">
        <v>261</v>
      </c>
      <c r="B208" s="1">
        <v>1446</v>
      </c>
      <c r="C208">
        <v>1</v>
      </c>
      <c r="D208" t="s">
        <v>48</v>
      </c>
      <c r="E208" s="2" t="s">
        <v>49</v>
      </c>
      <c r="F208">
        <v>1446</v>
      </c>
      <c r="G208">
        <v>1446</v>
      </c>
      <c r="H208" s="2" t="s">
        <v>49</v>
      </c>
      <c r="I208" s="3">
        <v>512</v>
      </c>
      <c r="J208" s="4">
        <v>512</v>
      </c>
      <c r="K208" s="7">
        <v>196</v>
      </c>
      <c r="L208" s="9">
        <v>504</v>
      </c>
      <c r="M208" s="6">
        <v>126</v>
      </c>
      <c r="N208">
        <v>56</v>
      </c>
      <c r="O208" s="5">
        <v>38</v>
      </c>
      <c r="P208" s="8"/>
      <c r="Q208" s="4" t="s">
        <v>51</v>
      </c>
      <c r="R208" s="7" t="s">
        <v>75</v>
      </c>
      <c r="S208" s="9" t="s">
        <v>80</v>
      </c>
      <c r="T208" s="6" t="s">
        <v>74</v>
      </c>
      <c r="U208" t="s">
        <v>262</v>
      </c>
      <c r="V208" s="5" t="s">
        <v>65</v>
      </c>
      <c r="W208" s="8">
        <v>6</v>
      </c>
      <c r="X208" s="8">
        <v>12</v>
      </c>
      <c r="Y208" s="4">
        <f t="shared" si="21"/>
        <v>512</v>
      </c>
      <c r="Z208" s="4">
        <v>1</v>
      </c>
      <c r="AC208" s="6">
        <f>M208</f>
        <v>126</v>
      </c>
      <c r="AD208" s="6">
        <v>1</v>
      </c>
      <c r="AE208" s="5">
        <f>O208</f>
        <v>38</v>
      </c>
      <c r="AF208" s="5">
        <v>1</v>
      </c>
      <c r="AG208" s="9">
        <f>L208</f>
        <v>504</v>
      </c>
      <c r="AH208" s="9">
        <v>1</v>
      </c>
      <c r="AI208" s="7">
        <f>K208</f>
        <v>196</v>
      </c>
      <c r="AJ208" s="7">
        <v>1</v>
      </c>
      <c r="AK208" s="8"/>
      <c r="AL208" s="8"/>
      <c r="AM208">
        <v>45</v>
      </c>
      <c r="AN208" t="s">
        <v>126</v>
      </c>
      <c r="AO208" t="s">
        <v>53</v>
      </c>
      <c r="AP208">
        <v>-16483</v>
      </c>
      <c r="AQ208">
        <v>0</v>
      </c>
      <c r="AR208" t="s">
        <v>54</v>
      </c>
      <c r="AS208" t="s">
        <v>55</v>
      </c>
      <c r="AT208" t="s">
        <v>55</v>
      </c>
      <c r="AU208" t="s">
        <v>56</v>
      </c>
      <c r="AV208">
        <v>1021</v>
      </c>
      <c r="AW208" t="s">
        <v>57</v>
      </c>
      <c r="AX208" t="s">
        <v>55</v>
      </c>
      <c r="AY208" t="s">
        <v>114</v>
      </c>
      <c r="AZ208" t="s">
        <v>59</v>
      </c>
      <c r="BA208" t="s">
        <v>55</v>
      </c>
      <c r="BB208" t="s">
        <v>49</v>
      </c>
      <c r="BC208" t="s">
        <v>49</v>
      </c>
      <c r="BD208" t="s">
        <v>49</v>
      </c>
      <c r="BE208" t="s">
        <v>55</v>
      </c>
      <c r="BF208">
        <v>23</v>
      </c>
      <c r="BG208" t="s">
        <v>60</v>
      </c>
      <c r="BH208" t="s">
        <v>82</v>
      </c>
      <c r="BI208" t="s">
        <v>83</v>
      </c>
      <c r="BJ208" t="s">
        <v>63</v>
      </c>
      <c r="BK208">
        <v>2004</v>
      </c>
      <c r="BL208">
        <v>1</v>
      </c>
      <c r="BM208">
        <v>1</v>
      </c>
      <c r="BN208">
        <v>1</v>
      </c>
      <c r="BO208">
        <v>1</v>
      </c>
      <c r="BP208">
        <v>1</v>
      </c>
      <c r="BQ208">
        <v>1</v>
      </c>
      <c r="BR208">
        <f>I208-BS208</f>
        <v>393</v>
      </c>
      <c r="BS208">
        <v>119</v>
      </c>
      <c r="BT208">
        <f t="shared" si="22"/>
        <v>6</v>
      </c>
    </row>
    <row r="209" spans="1:72" x14ac:dyDescent="0.2">
      <c r="A209" s="19" t="s">
        <v>263</v>
      </c>
      <c r="B209" s="1">
        <v>1511</v>
      </c>
      <c r="C209">
        <v>1</v>
      </c>
      <c r="D209" t="s">
        <v>48</v>
      </c>
      <c r="E209" s="2" t="s">
        <v>49</v>
      </c>
      <c r="F209">
        <v>1511</v>
      </c>
      <c r="G209">
        <v>1293</v>
      </c>
      <c r="H209" s="2">
        <v>450</v>
      </c>
      <c r="I209" s="3">
        <v>450</v>
      </c>
      <c r="J209" s="4">
        <f>450-29</f>
        <v>421</v>
      </c>
      <c r="K209" s="10">
        <v>149</v>
      </c>
      <c r="L209" s="9">
        <v>90</v>
      </c>
      <c r="M209" s="6">
        <v>204</v>
      </c>
      <c r="N209" s="11">
        <v>217</v>
      </c>
      <c r="O209">
        <v>217</v>
      </c>
      <c r="P209" t="s">
        <v>792</v>
      </c>
      <c r="Q209" s="4" t="s">
        <v>51</v>
      </c>
      <c r="R209" s="10" t="s">
        <v>87</v>
      </c>
      <c r="S209" s="9" t="s">
        <v>80</v>
      </c>
      <c r="T209" s="6" t="s">
        <v>74</v>
      </c>
      <c r="U209" s="11" t="s">
        <v>90</v>
      </c>
      <c r="V209" t="s">
        <v>264</v>
      </c>
      <c r="W209" s="8">
        <v>7</v>
      </c>
      <c r="X209" s="8">
        <v>14</v>
      </c>
      <c r="Y209" s="4">
        <f t="shared" si="21"/>
        <v>421</v>
      </c>
      <c r="Z209" s="4">
        <v>1</v>
      </c>
      <c r="AA209" s="11">
        <f>N209</f>
        <v>217</v>
      </c>
      <c r="AB209" s="11">
        <v>1</v>
      </c>
      <c r="AC209" s="6">
        <f>M209</f>
        <v>204</v>
      </c>
      <c r="AD209" s="6">
        <v>1</v>
      </c>
      <c r="AG209" s="9">
        <f>L209</f>
        <v>90</v>
      </c>
      <c r="AH209" s="9">
        <v>1</v>
      </c>
      <c r="AI209" s="8"/>
      <c r="AK209" s="10">
        <f>K209</f>
        <v>149</v>
      </c>
      <c r="AL209" s="10">
        <v>1</v>
      </c>
      <c r="AM209">
        <v>67</v>
      </c>
      <c r="AN209" t="s">
        <v>101</v>
      </c>
      <c r="AO209" t="s">
        <v>53</v>
      </c>
      <c r="AP209">
        <v>-24798</v>
      </c>
      <c r="AQ209">
        <v>0</v>
      </c>
      <c r="AR209" t="s">
        <v>54</v>
      </c>
      <c r="AS209" t="s">
        <v>55</v>
      </c>
      <c r="AT209" t="s">
        <v>55</v>
      </c>
      <c r="AU209" t="s">
        <v>56</v>
      </c>
      <c r="AV209">
        <v>1022</v>
      </c>
      <c r="AW209" t="s">
        <v>57</v>
      </c>
      <c r="AX209" t="s">
        <v>55</v>
      </c>
      <c r="AY209" t="s">
        <v>58</v>
      </c>
      <c r="AZ209" t="s">
        <v>59</v>
      </c>
      <c r="BA209" t="s">
        <v>55</v>
      </c>
      <c r="BB209" t="s">
        <v>49</v>
      </c>
      <c r="BC209" t="s">
        <v>49</v>
      </c>
      <c r="BD209" t="s">
        <v>66</v>
      </c>
      <c r="BE209" t="s">
        <v>55</v>
      </c>
      <c r="BF209">
        <v>23</v>
      </c>
      <c r="BG209" t="s">
        <v>60</v>
      </c>
      <c r="BH209" t="s">
        <v>61</v>
      </c>
      <c r="BI209" t="s">
        <v>62</v>
      </c>
      <c r="BJ209" t="s">
        <v>63</v>
      </c>
      <c r="BK209">
        <v>2003</v>
      </c>
      <c r="BL209">
        <v>1</v>
      </c>
      <c r="BM209">
        <v>1</v>
      </c>
      <c r="BN209">
        <v>1</v>
      </c>
      <c r="BO209">
        <v>1</v>
      </c>
      <c r="BP209">
        <v>1</v>
      </c>
      <c r="BQ209">
        <v>1</v>
      </c>
      <c r="BR209">
        <f>I209-BS209</f>
        <v>289</v>
      </c>
      <c r="BS209">
        <v>161</v>
      </c>
      <c r="BT209">
        <f t="shared" si="22"/>
        <v>6</v>
      </c>
    </row>
    <row r="210" spans="1:72" x14ac:dyDescent="0.2">
      <c r="A210" s="19" t="s">
        <v>265</v>
      </c>
      <c r="B210" s="1">
        <v>1665</v>
      </c>
      <c r="C210">
        <v>0</v>
      </c>
      <c r="D210" t="s">
        <v>68</v>
      </c>
      <c r="E210" s="2" t="s">
        <v>49</v>
      </c>
      <c r="F210" t="s">
        <v>49</v>
      </c>
      <c r="G210">
        <v>1233</v>
      </c>
      <c r="H210" s="2">
        <v>490</v>
      </c>
      <c r="I210" s="3">
        <v>490</v>
      </c>
      <c r="J210" s="4">
        <f>490-29</f>
        <v>461</v>
      </c>
      <c r="K210" s="10">
        <v>763</v>
      </c>
      <c r="L210" s="5">
        <v>114</v>
      </c>
      <c r="M210" s="11">
        <v>230</v>
      </c>
      <c r="N210" s="9">
        <v>49</v>
      </c>
      <c r="P210" t="s">
        <v>787</v>
      </c>
      <c r="Q210" s="4" t="s">
        <v>51</v>
      </c>
      <c r="R210" s="10" t="s">
        <v>87</v>
      </c>
      <c r="S210" s="5" t="s">
        <v>65</v>
      </c>
      <c r="T210" s="11" t="s">
        <v>90</v>
      </c>
      <c r="U210" s="9" t="s">
        <v>80</v>
      </c>
      <c r="W210" s="8">
        <v>5</v>
      </c>
      <c r="X210" s="8">
        <v>10</v>
      </c>
      <c r="Y210" s="4">
        <f t="shared" si="21"/>
        <v>461</v>
      </c>
      <c r="Z210" s="4">
        <v>1</v>
      </c>
      <c r="AA210" s="11">
        <f>M210</f>
        <v>230</v>
      </c>
      <c r="AB210" s="11">
        <v>1</v>
      </c>
      <c r="AE210" s="5">
        <f>L210</f>
        <v>114</v>
      </c>
      <c r="AF210" s="5">
        <v>1</v>
      </c>
      <c r="AG210" s="9">
        <f>N210</f>
        <v>49</v>
      </c>
      <c r="AH210" s="9">
        <v>0</v>
      </c>
      <c r="AI210" s="8"/>
      <c r="AK210" s="10">
        <f>K210</f>
        <v>763</v>
      </c>
      <c r="AL210" s="10">
        <v>1</v>
      </c>
      <c r="AM210">
        <v>65</v>
      </c>
      <c r="AN210" t="s">
        <v>126</v>
      </c>
      <c r="AO210" t="s">
        <v>53</v>
      </c>
      <c r="AP210">
        <v>-23825</v>
      </c>
      <c r="AQ210">
        <v>0</v>
      </c>
      <c r="AR210" t="s">
        <v>54</v>
      </c>
      <c r="AS210" t="s">
        <v>55</v>
      </c>
      <c r="AT210" t="s">
        <v>53</v>
      </c>
      <c r="AU210" t="s">
        <v>56</v>
      </c>
      <c r="AV210">
        <v>1023</v>
      </c>
      <c r="AW210" t="s">
        <v>57</v>
      </c>
      <c r="AX210" t="s">
        <v>55</v>
      </c>
      <c r="AY210" t="s">
        <v>58</v>
      </c>
      <c r="AZ210" t="s">
        <v>59</v>
      </c>
      <c r="BA210" t="s">
        <v>55</v>
      </c>
      <c r="BB210" t="s">
        <v>49</v>
      </c>
      <c r="BC210" t="s">
        <v>49</v>
      </c>
      <c r="BD210" t="s">
        <v>106</v>
      </c>
      <c r="BE210" t="s">
        <v>55</v>
      </c>
      <c r="BF210">
        <v>23</v>
      </c>
      <c r="BG210" t="s">
        <v>60</v>
      </c>
      <c r="BH210" t="s">
        <v>61</v>
      </c>
      <c r="BI210" t="s">
        <v>62</v>
      </c>
      <c r="BJ210" t="s">
        <v>63</v>
      </c>
      <c r="BK210">
        <v>2005</v>
      </c>
      <c r="BL210">
        <v>1</v>
      </c>
      <c r="BM210">
        <v>1</v>
      </c>
      <c r="BN210">
        <v>1</v>
      </c>
      <c r="BO210">
        <v>1</v>
      </c>
      <c r="BP210">
        <v>0</v>
      </c>
      <c r="BR210">
        <f>I210-BS210</f>
        <v>370</v>
      </c>
      <c r="BS210">
        <v>120</v>
      </c>
      <c r="BT210">
        <f t="shared" si="22"/>
        <v>5</v>
      </c>
    </row>
    <row r="211" spans="1:72" x14ac:dyDescent="0.2">
      <c r="A211" s="19" t="s">
        <v>266</v>
      </c>
      <c r="B211" s="1">
        <v>455</v>
      </c>
      <c r="C211">
        <v>0</v>
      </c>
      <c r="D211" t="s">
        <v>68</v>
      </c>
      <c r="E211" s="2" t="s">
        <v>49</v>
      </c>
      <c r="F211" t="s">
        <v>49</v>
      </c>
      <c r="G211">
        <v>468</v>
      </c>
      <c r="H211" s="2" t="s">
        <v>49</v>
      </c>
      <c r="I211" s="3" t="s">
        <v>69</v>
      </c>
      <c r="J211" s="4">
        <v>455</v>
      </c>
      <c r="Q211" s="4" t="s">
        <v>51</v>
      </c>
      <c r="W211" s="8">
        <v>18</v>
      </c>
      <c r="X211" s="8">
        <v>24</v>
      </c>
      <c r="Y211" s="4">
        <f t="shared" si="21"/>
        <v>455</v>
      </c>
      <c r="Z211" s="4">
        <v>0</v>
      </c>
      <c r="AM211">
        <v>52</v>
      </c>
      <c r="AN211" t="s">
        <v>126</v>
      </c>
      <c r="AO211" t="s">
        <v>53</v>
      </c>
      <c r="AP211">
        <v>-19051</v>
      </c>
      <c r="AQ211">
        <v>0</v>
      </c>
      <c r="AR211" t="s">
        <v>54</v>
      </c>
      <c r="AS211" t="s">
        <v>55</v>
      </c>
      <c r="AT211" t="s">
        <v>55</v>
      </c>
      <c r="AU211" t="s">
        <v>56</v>
      </c>
      <c r="AV211">
        <v>1024</v>
      </c>
      <c r="AW211" t="s">
        <v>70</v>
      </c>
      <c r="AX211" t="s">
        <v>55</v>
      </c>
      <c r="AY211" t="s">
        <v>58</v>
      </c>
      <c r="AZ211" t="s">
        <v>59</v>
      </c>
      <c r="BA211" t="s">
        <v>55</v>
      </c>
      <c r="BB211" t="s">
        <v>49</v>
      </c>
      <c r="BC211" t="s">
        <v>49</v>
      </c>
      <c r="BD211" t="s">
        <v>49</v>
      </c>
      <c r="BE211" t="s">
        <v>55</v>
      </c>
      <c r="BF211">
        <v>23</v>
      </c>
      <c r="BG211" t="s">
        <v>60</v>
      </c>
      <c r="BH211" t="s">
        <v>61</v>
      </c>
      <c r="BI211" t="s">
        <v>83</v>
      </c>
      <c r="BJ211" t="s">
        <v>63</v>
      </c>
      <c r="BK211">
        <v>2007</v>
      </c>
      <c r="BL211">
        <v>0</v>
      </c>
      <c r="BR211">
        <f>B211-BS211</f>
        <v>151</v>
      </c>
      <c r="BS211">
        <v>304</v>
      </c>
      <c r="BT211">
        <f t="shared" si="22"/>
        <v>1</v>
      </c>
    </row>
    <row r="212" spans="1:72" x14ac:dyDescent="0.2">
      <c r="A212" s="19" t="s">
        <v>267</v>
      </c>
      <c r="B212" s="1">
        <v>936</v>
      </c>
      <c r="C212">
        <v>0</v>
      </c>
      <c r="D212" t="s">
        <v>68</v>
      </c>
      <c r="E212" s="2" t="s">
        <v>49</v>
      </c>
      <c r="F212" t="s">
        <v>49</v>
      </c>
      <c r="G212">
        <v>816</v>
      </c>
      <c r="H212" s="2">
        <v>797</v>
      </c>
      <c r="I212" s="3">
        <v>797</v>
      </c>
      <c r="J212" s="4">
        <f>797-7</f>
        <v>790</v>
      </c>
      <c r="K212" s="10">
        <v>70</v>
      </c>
      <c r="P212" t="s">
        <v>787</v>
      </c>
      <c r="Q212" s="4" t="s">
        <v>51</v>
      </c>
      <c r="R212" s="10" t="s">
        <v>87</v>
      </c>
      <c r="W212" s="8">
        <v>6</v>
      </c>
      <c r="X212" s="8">
        <v>12</v>
      </c>
      <c r="Y212" s="4">
        <f t="shared" si="21"/>
        <v>790</v>
      </c>
      <c r="Z212" s="4">
        <v>1</v>
      </c>
      <c r="AI212" s="8"/>
      <c r="AK212" s="10">
        <f>K212</f>
        <v>70</v>
      </c>
      <c r="AL212" s="10">
        <v>0</v>
      </c>
      <c r="AM212">
        <v>45</v>
      </c>
      <c r="AN212" t="s">
        <v>101</v>
      </c>
      <c r="AO212" t="s">
        <v>53</v>
      </c>
      <c r="AP212">
        <v>-16442</v>
      </c>
      <c r="AQ212">
        <v>0</v>
      </c>
      <c r="AR212" t="s">
        <v>54</v>
      </c>
      <c r="AS212" t="s">
        <v>55</v>
      </c>
      <c r="AT212" t="s">
        <v>55</v>
      </c>
      <c r="AU212" t="s">
        <v>56</v>
      </c>
      <c r="AV212">
        <v>1026</v>
      </c>
      <c r="AW212" t="s">
        <v>57</v>
      </c>
      <c r="AX212" t="s">
        <v>55</v>
      </c>
      <c r="AY212" t="s">
        <v>58</v>
      </c>
      <c r="AZ212" t="s">
        <v>59</v>
      </c>
      <c r="BA212" t="s">
        <v>55</v>
      </c>
      <c r="BB212" t="s">
        <v>49</v>
      </c>
      <c r="BC212" t="s">
        <v>49</v>
      </c>
      <c r="BD212" t="s">
        <v>106</v>
      </c>
      <c r="BE212" t="s">
        <v>55</v>
      </c>
      <c r="BF212">
        <v>23</v>
      </c>
      <c r="BG212" t="s">
        <v>60</v>
      </c>
      <c r="BH212" t="s">
        <v>61</v>
      </c>
      <c r="BI212" t="s">
        <v>62</v>
      </c>
      <c r="BJ212" t="s">
        <v>63</v>
      </c>
      <c r="BK212">
        <v>2004</v>
      </c>
      <c r="BL212">
        <v>1</v>
      </c>
      <c r="BM212">
        <v>0</v>
      </c>
      <c r="BR212">
        <f>I212-BS212</f>
        <v>689</v>
      </c>
      <c r="BS212">
        <v>108</v>
      </c>
      <c r="BT212">
        <f t="shared" si="22"/>
        <v>2</v>
      </c>
    </row>
    <row r="213" spans="1:72" x14ac:dyDescent="0.2">
      <c r="A213" s="19" t="s">
        <v>268</v>
      </c>
      <c r="B213" s="1">
        <v>975</v>
      </c>
      <c r="C213">
        <v>1</v>
      </c>
      <c r="D213" t="s">
        <v>48</v>
      </c>
      <c r="E213" s="2" t="s">
        <v>49</v>
      </c>
      <c r="F213">
        <v>975</v>
      </c>
      <c r="G213">
        <v>965</v>
      </c>
      <c r="H213" s="2">
        <v>114</v>
      </c>
      <c r="I213" s="3">
        <v>769</v>
      </c>
      <c r="J213" s="4">
        <f>769-26</f>
        <v>743</v>
      </c>
      <c r="K213">
        <f>975-769</f>
        <v>206</v>
      </c>
      <c r="P213" s="8" t="s">
        <v>866</v>
      </c>
      <c r="Q213" s="4" t="s">
        <v>51</v>
      </c>
      <c r="R213" s="4" t="s">
        <v>51</v>
      </c>
      <c r="S213" t="s">
        <v>269</v>
      </c>
      <c r="W213" s="8">
        <v>10</v>
      </c>
      <c r="X213" s="8">
        <v>20</v>
      </c>
      <c r="Y213" s="4">
        <f t="shared" si="21"/>
        <v>743</v>
      </c>
      <c r="Z213" s="4">
        <v>1</v>
      </c>
      <c r="AM213">
        <v>48</v>
      </c>
      <c r="AN213" t="s">
        <v>126</v>
      </c>
      <c r="AO213" t="s">
        <v>53</v>
      </c>
      <c r="AP213">
        <v>-17588</v>
      </c>
      <c r="AQ213">
        <v>0</v>
      </c>
      <c r="AR213" t="s">
        <v>54</v>
      </c>
      <c r="AS213" t="s">
        <v>55</v>
      </c>
      <c r="AT213" t="s">
        <v>55</v>
      </c>
      <c r="AU213" t="s">
        <v>56</v>
      </c>
      <c r="AV213">
        <v>1027</v>
      </c>
      <c r="AW213" t="s">
        <v>49</v>
      </c>
      <c r="AX213" t="s">
        <v>55</v>
      </c>
      <c r="AY213" t="s">
        <v>81</v>
      </c>
      <c r="AZ213" t="s">
        <v>59</v>
      </c>
      <c r="BA213" t="s">
        <v>55</v>
      </c>
      <c r="BB213" t="s">
        <v>49</v>
      </c>
      <c r="BC213" t="s">
        <v>49</v>
      </c>
      <c r="BD213" t="s">
        <v>49</v>
      </c>
      <c r="BE213" t="s">
        <v>53</v>
      </c>
      <c r="BF213">
        <v>23</v>
      </c>
      <c r="BG213" t="s">
        <v>60</v>
      </c>
      <c r="BH213" t="s">
        <v>61</v>
      </c>
      <c r="BI213" t="s">
        <v>62</v>
      </c>
      <c r="BJ213" t="s">
        <v>63</v>
      </c>
      <c r="BK213">
        <v>2005</v>
      </c>
      <c r="BL213">
        <v>1</v>
      </c>
      <c r="BM213">
        <v>1</v>
      </c>
      <c r="BN213">
        <v>1</v>
      </c>
      <c r="BR213">
        <f>I213-BS213</f>
        <v>520</v>
      </c>
      <c r="BS213">
        <v>249</v>
      </c>
      <c r="BT213">
        <f t="shared" si="22"/>
        <v>3</v>
      </c>
    </row>
    <row r="214" spans="1:72" x14ac:dyDescent="0.2">
      <c r="A214" s="19" t="s">
        <v>270</v>
      </c>
      <c r="B214" s="1">
        <v>1503</v>
      </c>
      <c r="C214">
        <v>0</v>
      </c>
      <c r="D214" t="s">
        <v>68</v>
      </c>
      <c r="E214" s="2" t="s">
        <v>49</v>
      </c>
      <c r="F214" t="s">
        <v>49</v>
      </c>
      <c r="G214">
        <v>1503</v>
      </c>
      <c r="H214" s="2">
        <v>133</v>
      </c>
      <c r="I214" s="3">
        <v>133</v>
      </c>
      <c r="J214" s="4">
        <f>133-26</f>
        <v>107</v>
      </c>
      <c r="K214" s="5">
        <v>576</v>
      </c>
      <c r="L214" s="4">
        <v>159</v>
      </c>
      <c r="M214" s="9">
        <v>204</v>
      </c>
      <c r="N214" s="5">
        <v>106</v>
      </c>
      <c r="O214" s="23">
        <v>223</v>
      </c>
      <c r="P214" s="8" t="s">
        <v>793</v>
      </c>
      <c r="Q214" s="4" t="s">
        <v>51</v>
      </c>
      <c r="R214" s="5" t="s">
        <v>65</v>
      </c>
      <c r="S214" s="4" t="s">
        <v>51</v>
      </c>
      <c r="T214" s="9" t="s">
        <v>80</v>
      </c>
      <c r="U214" s="5" t="s">
        <v>65</v>
      </c>
      <c r="V214" s="23" t="s">
        <v>80</v>
      </c>
      <c r="W214" s="8">
        <v>4</v>
      </c>
      <c r="X214" s="8">
        <v>8</v>
      </c>
      <c r="Y214" s="4">
        <f>J214+L214</f>
        <v>266</v>
      </c>
      <c r="Z214" s="4">
        <v>1</v>
      </c>
      <c r="AE214" s="5">
        <f>N214+K214</f>
        <v>682</v>
      </c>
      <c r="AF214" s="5">
        <v>1</v>
      </c>
      <c r="AG214" s="9">
        <f>M214+O214</f>
        <v>427</v>
      </c>
      <c r="AH214" s="9">
        <v>1</v>
      </c>
      <c r="AK214" s="21">
        <v>140</v>
      </c>
      <c r="AL214" s="10">
        <v>0</v>
      </c>
      <c r="AM214">
        <v>43</v>
      </c>
      <c r="AN214" t="s">
        <v>101</v>
      </c>
      <c r="AO214" t="s">
        <v>53</v>
      </c>
      <c r="AP214">
        <v>-16018</v>
      </c>
      <c r="AQ214">
        <v>0</v>
      </c>
      <c r="AR214" t="s">
        <v>54</v>
      </c>
      <c r="AS214" t="s">
        <v>55</v>
      </c>
      <c r="AT214" t="s">
        <v>55</v>
      </c>
      <c r="AU214" t="s">
        <v>56</v>
      </c>
      <c r="AV214">
        <v>1028</v>
      </c>
      <c r="AW214" t="s">
        <v>57</v>
      </c>
      <c r="AX214" t="s">
        <v>55</v>
      </c>
      <c r="AY214" t="s">
        <v>58</v>
      </c>
      <c r="AZ214" t="s">
        <v>59</v>
      </c>
      <c r="BA214" t="s">
        <v>55</v>
      </c>
      <c r="BB214" t="s">
        <v>49</v>
      </c>
      <c r="BC214" t="s">
        <v>49</v>
      </c>
      <c r="BD214" t="s">
        <v>66</v>
      </c>
      <c r="BE214" t="s">
        <v>55</v>
      </c>
      <c r="BF214">
        <v>23</v>
      </c>
      <c r="BG214" t="s">
        <v>60</v>
      </c>
      <c r="BH214" t="s">
        <v>61</v>
      </c>
      <c r="BI214" t="s">
        <v>62</v>
      </c>
      <c r="BJ214" t="s">
        <v>63</v>
      </c>
      <c r="BK214">
        <v>2004</v>
      </c>
      <c r="BL214">
        <v>1</v>
      </c>
      <c r="BM214">
        <v>1</v>
      </c>
      <c r="BN214">
        <v>1</v>
      </c>
      <c r="BO214">
        <v>1</v>
      </c>
      <c r="BP214">
        <v>1</v>
      </c>
      <c r="BQ214">
        <v>1</v>
      </c>
      <c r="BR214">
        <f>I214-BS214</f>
        <v>23</v>
      </c>
      <c r="BS214">
        <v>110</v>
      </c>
      <c r="BT214">
        <f t="shared" si="22"/>
        <v>6</v>
      </c>
    </row>
    <row r="215" spans="1:72" x14ac:dyDescent="0.2">
      <c r="A215" s="19" t="s">
        <v>271</v>
      </c>
      <c r="B215" s="1">
        <v>268</v>
      </c>
      <c r="C215">
        <v>0</v>
      </c>
      <c r="D215" t="s">
        <v>68</v>
      </c>
      <c r="E215" s="2" t="s">
        <v>49</v>
      </c>
      <c r="F215" t="s">
        <v>49</v>
      </c>
      <c r="G215">
        <v>268</v>
      </c>
      <c r="H215" s="2" t="s">
        <v>49</v>
      </c>
      <c r="I215" s="3" t="s">
        <v>69</v>
      </c>
      <c r="J215" s="4">
        <v>238</v>
      </c>
      <c r="P215" s="8"/>
      <c r="Q215" s="4" t="s">
        <v>51</v>
      </c>
      <c r="W215" s="8">
        <v>3</v>
      </c>
      <c r="X215" s="8">
        <v>6</v>
      </c>
      <c r="Y215" s="4">
        <f>J215</f>
        <v>238</v>
      </c>
      <c r="Z215" s="4">
        <v>0</v>
      </c>
      <c r="AM215">
        <v>46</v>
      </c>
      <c r="AN215" t="s">
        <v>126</v>
      </c>
      <c r="AO215" t="s">
        <v>53</v>
      </c>
      <c r="AP215">
        <v>-16889</v>
      </c>
      <c r="AQ215">
        <v>0</v>
      </c>
      <c r="AR215" t="s">
        <v>54</v>
      </c>
      <c r="AS215" t="s">
        <v>55</v>
      </c>
      <c r="AT215" t="s">
        <v>55</v>
      </c>
      <c r="AU215" t="s">
        <v>56</v>
      </c>
      <c r="AV215">
        <v>1029</v>
      </c>
      <c r="AW215" t="s">
        <v>70</v>
      </c>
      <c r="AX215" t="s">
        <v>55</v>
      </c>
      <c r="AY215" t="s">
        <v>58</v>
      </c>
      <c r="AZ215" t="s">
        <v>59</v>
      </c>
      <c r="BA215" t="s">
        <v>55</v>
      </c>
      <c r="BB215" t="s">
        <v>49</v>
      </c>
      <c r="BC215" t="s">
        <v>49</v>
      </c>
      <c r="BD215" t="s">
        <v>49</v>
      </c>
      <c r="BE215" t="s">
        <v>55</v>
      </c>
      <c r="BF215">
        <v>23</v>
      </c>
      <c r="BG215" t="s">
        <v>60</v>
      </c>
      <c r="BH215" t="s">
        <v>61</v>
      </c>
      <c r="BI215" t="s">
        <v>62</v>
      </c>
      <c r="BJ215" t="s">
        <v>63</v>
      </c>
      <c r="BK215">
        <v>2007</v>
      </c>
      <c r="BL215">
        <v>0</v>
      </c>
      <c r="BR215">
        <f>B215-BS215</f>
        <v>190</v>
      </c>
      <c r="BS215">
        <v>78</v>
      </c>
      <c r="BT215">
        <f t="shared" si="22"/>
        <v>1</v>
      </c>
    </row>
    <row r="216" spans="1:72" x14ac:dyDescent="0.2">
      <c r="A216" s="19" t="s">
        <v>272</v>
      </c>
      <c r="B216" s="1">
        <v>885</v>
      </c>
      <c r="C216">
        <v>0</v>
      </c>
      <c r="D216" t="s">
        <v>68</v>
      </c>
      <c r="E216" s="2" t="s">
        <v>49</v>
      </c>
      <c r="F216" t="s">
        <v>49</v>
      </c>
      <c r="G216">
        <v>885</v>
      </c>
      <c r="H216" s="2">
        <v>543</v>
      </c>
      <c r="I216" s="3">
        <v>543</v>
      </c>
      <c r="J216" s="4">
        <f>543-61</f>
        <v>482</v>
      </c>
      <c r="K216" s="5">
        <v>263</v>
      </c>
      <c r="Q216" s="4" t="s">
        <v>51</v>
      </c>
      <c r="R216" s="5" t="s">
        <v>65</v>
      </c>
      <c r="W216" s="8">
        <v>14</v>
      </c>
      <c r="X216" s="8">
        <v>20</v>
      </c>
      <c r="Y216" s="4">
        <f>J216</f>
        <v>482</v>
      </c>
      <c r="Z216" s="4">
        <v>1</v>
      </c>
      <c r="AE216" s="5">
        <f>K216</f>
        <v>263</v>
      </c>
      <c r="AF216" s="5">
        <v>0</v>
      </c>
      <c r="AM216">
        <v>64</v>
      </c>
      <c r="AN216" t="s">
        <v>101</v>
      </c>
      <c r="AO216" t="s">
        <v>53</v>
      </c>
      <c r="AP216">
        <v>-23416</v>
      </c>
      <c r="AQ216">
        <v>0</v>
      </c>
      <c r="AR216" t="s">
        <v>54</v>
      </c>
      <c r="AS216" t="s">
        <v>55</v>
      </c>
      <c r="AT216" t="s">
        <v>55</v>
      </c>
      <c r="AU216" t="s">
        <v>56</v>
      </c>
      <c r="AV216">
        <v>1030</v>
      </c>
      <c r="AW216" t="s">
        <v>70</v>
      </c>
      <c r="AX216" t="s">
        <v>55</v>
      </c>
      <c r="AY216" t="s">
        <v>58</v>
      </c>
      <c r="AZ216" t="s">
        <v>59</v>
      </c>
      <c r="BA216" t="s">
        <v>55</v>
      </c>
      <c r="BB216" t="s">
        <v>49</v>
      </c>
      <c r="BC216" t="s">
        <v>49</v>
      </c>
      <c r="BD216" t="s">
        <v>66</v>
      </c>
      <c r="BE216" t="s">
        <v>55</v>
      </c>
      <c r="BF216">
        <v>23</v>
      </c>
      <c r="BG216" t="s">
        <v>60</v>
      </c>
      <c r="BH216" t="s">
        <v>61</v>
      </c>
      <c r="BI216" t="s">
        <v>62</v>
      </c>
      <c r="BJ216" t="s">
        <v>63</v>
      </c>
      <c r="BK216">
        <v>2006</v>
      </c>
      <c r="BL216">
        <v>1</v>
      </c>
      <c r="BM216">
        <v>0</v>
      </c>
      <c r="BR216">
        <f>I216-BS216</f>
        <v>379</v>
      </c>
      <c r="BS216">
        <v>164</v>
      </c>
      <c r="BT216">
        <f t="shared" si="22"/>
        <v>2</v>
      </c>
    </row>
    <row r="217" spans="1:72" x14ac:dyDescent="0.2">
      <c r="A217" s="19" t="s">
        <v>273</v>
      </c>
      <c r="B217" s="1">
        <v>574</v>
      </c>
      <c r="C217">
        <v>1</v>
      </c>
      <c r="D217" t="s">
        <v>48</v>
      </c>
      <c r="E217" s="2" t="s">
        <v>49</v>
      </c>
      <c r="F217">
        <v>574</v>
      </c>
      <c r="G217">
        <v>574</v>
      </c>
      <c r="H217" s="2" t="s">
        <v>49</v>
      </c>
      <c r="I217" s="3">
        <v>240</v>
      </c>
      <c r="J217" s="4">
        <v>240</v>
      </c>
      <c r="K217" s="5">
        <v>76</v>
      </c>
      <c r="L217" s="10">
        <v>118</v>
      </c>
      <c r="M217">
        <v>81</v>
      </c>
      <c r="N217" s="9">
        <v>34</v>
      </c>
      <c r="P217" t="s">
        <v>791</v>
      </c>
      <c r="Q217" s="4" t="s">
        <v>51</v>
      </c>
      <c r="R217" s="5" t="s">
        <v>65</v>
      </c>
      <c r="S217" s="10" t="s">
        <v>87</v>
      </c>
      <c r="T217" t="s">
        <v>274</v>
      </c>
      <c r="U217" s="9" t="s">
        <v>80</v>
      </c>
      <c r="W217" s="8">
        <v>7</v>
      </c>
      <c r="X217" s="8">
        <v>14</v>
      </c>
      <c r="Y217" s="4">
        <f>J217</f>
        <v>240</v>
      </c>
      <c r="Z217" s="4">
        <v>1</v>
      </c>
      <c r="AE217" s="5">
        <f>K217</f>
        <v>76</v>
      </c>
      <c r="AF217" s="5">
        <v>1</v>
      </c>
      <c r="AG217" s="9">
        <f>N217</f>
        <v>34</v>
      </c>
      <c r="AH217" s="9">
        <v>1</v>
      </c>
      <c r="AK217" s="10">
        <f>L217</f>
        <v>118</v>
      </c>
      <c r="AL217" s="10">
        <v>1</v>
      </c>
      <c r="AM217">
        <v>60</v>
      </c>
      <c r="AN217" t="s">
        <v>101</v>
      </c>
      <c r="AO217" t="s">
        <v>53</v>
      </c>
      <c r="AP217">
        <v>-22225</v>
      </c>
      <c r="AQ217">
        <v>0</v>
      </c>
      <c r="AR217" t="s">
        <v>54</v>
      </c>
      <c r="AS217" t="s">
        <v>55</v>
      </c>
      <c r="AT217" t="s">
        <v>55</v>
      </c>
      <c r="AU217" t="s">
        <v>56</v>
      </c>
      <c r="AV217">
        <v>1031</v>
      </c>
      <c r="AW217" t="s">
        <v>57</v>
      </c>
      <c r="AX217" t="s">
        <v>55</v>
      </c>
      <c r="AY217" t="s">
        <v>114</v>
      </c>
      <c r="AZ217" t="s">
        <v>59</v>
      </c>
      <c r="BA217" t="s">
        <v>55</v>
      </c>
      <c r="BB217" t="s">
        <v>49</v>
      </c>
      <c r="BC217" t="s">
        <v>49</v>
      </c>
      <c r="BD217" t="s">
        <v>49</v>
      </c>
      <c r="BE217" t="s">
        <v>55</v>
      </c>
      <c r="BF217">
        <v>23</v>
      </c>
      <c r="BG217" t="s">
        <v>60</v>
      </c>
      <c r="BH217" t="s">
        <v>61</v>
      </c>
      <c r="BI217" t="s">
        <v>83</v>
      </c>
      <c r="BJ217" t="s">
        <v>63</v>
      </c>
      <c r="BK217">
        <v>2003</v>
      </c>
      <c r="BL217">
        <v>1</v>
      </c>
      <c r="BM217">
        <v>1</v>
      </c>
      <c r="BN217">
        <v>1</v>
      </c>
      <c r="BO217">
        <v>1</v>
      </c>
      <c r="BP217">
        <v>1</v>
      </c>
      <c r="BR217">
        <f>I217-BS217</f>
        <v>75</v>
      </c>
      <c r="BS217">
        <v>165</v>
      </c>
      <c r="BT217">
        <f t="shared" si="22"/>
        <v>5</v>
      </c>
    </row>
    <row r="218" spans="1:72" x14ac:dyDescent="0.2">
      <c r="A218" s="19" t="s">
        <v>275</v>
      </c>
      <c r="B218" s="1">
        <v>84</v>
      </c>
      <c r="C218">
        <v>1</v>
      </c>
      <c r="D218" t="s">
        <v>48</v>
      </c>
      <c r="E218" s="2" t="s">
        <v>49</v>
      </c>
      <c r="F218">
        <v>84</v>
      </c>
      <c r="G218">
        <v>68</v>
      </c>
      <c r="H218" s="2" t="s">
        <v>49</v>
      </c>
      <c r="I218" s="3">
        <v>84</v>
      </c>
      <c r="Q218" t="s">
        <v>50</v>
      </c>
      <c r="AM218">
        <v>73</v>
      </c>
      <c r="AN218" t="s">
        <v>126</v>
      </c>
      <c r="AO218" t="s">
        <v>55</v>
      </c>
      <c r="AP218">
        <v>-26715</v>
      </c>
      <c r="AQ218">
        <v>0</v>
      </c>
      <c r="AR218" t="s">
        <v>54</v>
      </c>
      <c r="AS218" t="s">
        <v>55</v>
      </c>
      <c r="AT218" t="s">
        <v>55</v>
      </c>
      <c r="AU218" t="s">
        <v>56</v>
      </c>
      <c r="AV218">
        <v>1032</v>
      </c>
      <c r="AW218" t="s">
        <v>57</v>
      </c>
      <c r="AX218" t="s">
        <v>55</v>
      </c>
      <c r="AY218" t="s">
        <v>49</v>
      </c>
      <c r="AZ218" t="s">
        <v>111</v>
      </c>
      <c r="BA218" t="s">
        <v>55</v>
      </c>
      <c r="BB218" t="s">
        <v>49</v>
      </c>
      <c r="BC218" t="s">
        <v>49</v>
      </c>
      <c r="BD218" t="s">
        <v>49</v>
      </c>
      <c r="BE218" t="s">
        <v>55</v>
      </c>
      <c r="BF218">
        <v>23</v>
      </c>
      <c r="BG218" t="s">
        <v>60</v>
      </c>
      <c r="BH218" t="s">
        <v>61</v>
      </c>
      <c r="BI218" t="s">
        <v>83</v>
      </c>
      <c r="BJ218" t="s">
        <v>63</v>
      </c>
      <c r="BK218">
        <v>2002</v>
      </c>
      <c r="BT218">
        <f t="shared" si="22"/>
        <v>0</v>
      </c>
    </row>
    <row r="219" spans="1:72" x14ac:dyDescent="0.2">
      <c r="A219" s="19" t="s">
        <v>276</v>
      </c>
      <c r="B219" s="1">
        <v>9</v>
      </c>
      <c r="C219">
        <v>1</v>
      </c>
      <c r="D219" t="s">
        <v>48</v>
      </c>
      <c r="E219" s="2" t="s">
        <v>49</v>
      </c>
      <c r="F219">
        <v>9</v>
      </c>
      <c r="G219">
        <v>9</v>
      </c>
      <c r="H219" s="2" t="s">
        <v>49</v>
      </c>
      <c r="I219" s="3">
        <v>9</v>
      </c>
      <c r="Q219" t="s">
        <v>50</v>
      </c>
      <c r="AM219">
        <v>59</v>
      </c>
      <c r="AN219" t="s">
        <v>101</v>
      </c>
      <c r="AO219" t="s">
        <v>55</v>
      </c>
      <c r="AP219">
        <v>-21561</v>
      </c>
      <c r="AQ219">
        <v>0</v>
      </c>
      <c r="AR219" t="s">
        <v>54</v>
      </c>
      <c r="AS219" t="s">
        <v>55</v>
      </c>
      <c r="AT219" t="s">
        <v>55</v>
      </c>
      <c r="AU219" t="s">
        <v>56</v>
      </c>
      <c r="AV219">
        <v>1107</v>
      </c>
      <c r="AW219" t="s">
        <v>57</v>
      </c>
      <c r="AX219" t="s">
        <v>55</v>
      </c>
      <c r="AY219" t="s">
        <v>49</v>
      </c>
      <c r="AZ219" t="s">
        <v>59</v>
      </c>
      <c r="BA219" t="s">
        <v>55</v>
      </c>
      <c r="BB219" t="s">
        <v>49</v>
      </c>
      <c r="BC219" t="s">
        <v>49</v>
      </c>
      <c r="BD219" t="s">
        <v>49</v>
      </c>
      <c r="BE219" t="s">
        <v>55</v>
      </c>
      <c r="BF219">
        <v>23</v>
      </c>
      <c r="BG219" t="s">
        <v>60</v>
      </c>
      <c r="BH219" t="s">
        <v>82</v>
      </c>
      <c r="BI219" t="s">
        <v>83</v>
      </c>
      <c r="BJ219" t="s">
        <v>63</v>
      </c>
      <c r="BK219">
        <v>1999</v>
      </c>
      <c r="BT219">
        <f t="shared" si="22"/>
        <v>0</v>
      </c>
    </row>
    <row r="220" spans="1:72" x14ac:dyDescent="0.2">
      <c r="A220" s="19" t="s">
        <v>277</v>
      </c>
      <c r="B220" s="1">
        <v>1562</v>
      </c>
      <c r="C220">
        <v>1</v>
      </c>
      <c r="D220" t="s">
        <v>48</v>
      </c>
      <c r="E220" s="2" t="s">
        <v>49</v>
      </c>
      <c r="F220">
        <v>1562</v>
      </c>
      <c r="G220">
        <v>1562</v>
      </c>
      <c r="H220" s="2">
        <v>987</v>
      </c>
      <c r="I220" s="3">
        <v>987</v>
      </c>
      <c r="P220" t="s">
        <v>752</v>
      </c>
      <c r="Q220" t="s">
        <v>50</v>
      </c>
      <c r="AM220">
        <v>63</v>
      </c>
      <c r="AN220" t="s">
        <v>126</v>
      </c>
      <c r="AO220" t="s">
        <v>53</v>
      </c>
      <c r="AP220">
        <v>-23002</v>
      </c>
      <c r="AQ220">
        <v>0</v>
      </c>
      <c r="AR220" t="s">
        <v>54</v>
      </c>
      <c r="AS220" t="s">
        <v>55</v>
      </c>
      <c r="AT220" t="s">
        <v>55</v>
      </c>
      <c r="AU220" t="s">
        <v>56</v>
      </c>
      <c r="AV220">
        <v>1109</v>
      </c>
      <c r="AW220" t="s">
        <v>57</v>
      </c>
      <c r="AX220" t="s">
        <v>55</v>
      </c>
      <c r="AY220" t="s">
        <v>114</v>
      </c>
      <c r="AZ220" t="s">
        <v>59</v>
      </c>
      <c r="BA220" t="s">
        <v>55</v>
      </c>
      <c r="BB220" t="s">
        <v>49</v>
      </c>
      <c r="BC220" t="s">
        <v>49</v>
      </c>
      <c r="BD220" t="s">
        <v>106</v>
      </c>
      <c r="BE220" t="s">
        <v>55</v>
      </c>
      <c r="BF220">
        <v>23</v>
      </c>
      <c r="BG220" t="s">
        <v>60</v>
      </c>
      <c r="BH220" t="s">
        <v>61</v>
      </c>
      <c r="BI220" t="s">
        <v>62</v>
      </c>
      <c r="BJ220" t="s">
        <v>63</v>
      </c>
      <c r="BK220">
        <v>1999</v>
      </c>
      <c r="BT220">
        <f t="shared" si="22"/>
        <v>0</v>
      </c>
    </row>
    <row r="221" spans="1:72" x14ac:dyDescent="0.2">
      <c r="A221" s="19" t="s">
        <v>278</v>
      </c>
      <c r="B221" s="1">
        <v>1658</v>
      </c>
      <c r="C221">
        <v>0</v>
      </c>
      <c r="D221" t="s">
        <v>68</v>
      </c>
      <c r="E221" s="2" t="s">
        <v>49</v>
      </c>
      <c r="F221" t="s">
        <v>49</v>
      </c>
      <c r="G221">
        <v>1658</v>
      </c>
      <c r="H221" s="2">
        <v>326</v>
      </c>
      <c r="I221" s="3">
        <v>326</v>
      </c>
      <c r="J221" s="4">
        <v>320</v>
      </c>
      <c r="K221">
        <v>1283</v>
      </c>
      <c r="P221" t="s">
        <v>794</v>
      </c>
      <c r="Q221" s="4" t="s">
        <v>51</v>
      </c>
      <c r="R221" t="s">
        <v>279</v>
      </c>
      <c r="W221">
        <v>9</v>
      </c>
      <c r="X221">
        <v>15</v>
      </c>
      <c r="Y221" s="4">
        <f>J221</f>
        <v>320</v>
      </c>
      <c r="Z221" s="4">
        <v>1</v>
      </c>
      <c r="AM221">
        <v>42</v>
      </c>
      <c r="AN221" t="s">
        <v>126</v>
      </c>
      <c r="AO221" t="s">
        <v>53</v>
      </c>
      <c r="AP221">
        <v>-15383</v>
      </c>
      <c r="AQ221">
        <v>0</v>
      </c>
      <c r="AR221" t="s">
        <v>54</v>
      </c>
      <c r="AS221" t="s">
        <v>55</v>
      </c>
      <c r="AT221" t="s">
        <v>55</v>
      </c>
      <c r="AU221" t="s">
        <v>56</v>
      </c>
      <c r="AV221">
        <v>1110</v>
      </c>
      <c r="AW221" t="s">
        <v>70</v>
      </c>
      <c r="AX221" t="s">
        <v>55</v>
      </c>
      <c r="AY221" t="s">
        <v>58</v>
      </c>
      <c r="AZ221" t="s">
        <v>59</v>
      </c>
      <c r="BA221" t="s">
        <v>55</v>
      </c>
      <c r="BB221" t="s">
        <v>49</v>
      </c>
      <c r="BC221" t="s">
        <v>49</v>
      </c>
      <c r="BD221" t="s">
        <v>66</v>
      </c>
      <c r="BE221" t="s">
        <v>55</v>
      </c>
      <c r="BF221">
        <v>23</v>
      </c>
      <c r="BG221" t="s">
        <v>60</v>
      </c>
      <c r="BH221" t="s">
        <v>71</v>
      </c>
      <c r="BI221" t="s">
        <v>62</v>
      </c>
      <c r="BJ221" t="s">
        <v>63</v>
      </c>
      <c r="BK221">
        <v>2003</v>
      </c>
      <c r="BL221">
        <v>1</v>
      </c>
      <c r="BM221">
        <v>0</v>
      </c>
      <c r="BR221">
        <f>I221-BS221</f>
        <v>216</v>
      </c>
      <c r="BS221">
        <v>110</v>
      </c>
      <c r="BT221">
        <f t="shared" si="22"/>
        <v>2</v>
      </c>
    </row>
    <row r="222" spans="1:72" x14ac:dyDescent="0.2">
      <c r="A222" s="19" t="s">
        <v>280</v>
      </c>
      <c r="B222" s="1">
        <v>129</v>
      </c>
      <c r="C222">
        <v>0</v>
      </c>
      <c r="D222" t="s">
        <v>68</v>
      </c>
      <c r="E222" s="2" t="s">
        <v>49</v>
      </c>
      <c r="F222" t="s">
        <v>49</v>
      </c>
      <c r="G222">
        <v>98</v>
      </c>
      <c r="H222" s="2" t="s">
        <v>49</v>
      </c>
      <c r="I222" s="3" t="s">
        <v>69</v>
      </c>
      <c r="J222" s="4">
        <v>105</v>
      </c>
      <c r="Q222" s="4" t="s">
        <v>51</v>
      </c>
      <c r="W222">
        <v>6</v>
      </c>
      <c r="X222">
        <v>12</v>
      </c>
      <c r="Y222" s="4">
        <f>J222</f>
        <v>105</v>
      </c>
      <c r="Z222" s="4">
        <v>0</v>
      </c>
      <c r="AM222">
        <v>63</v>
      </c>
      <c r="AN222" t="s">
        <v>126</v>
      </c>
      <c r="AO222" t="s">
        <v>53</v>
      </c>
      <c r="AP222">
        <v>-23171</v>
      </c>
      <c r="AQ222">
        <v>0</v>
      </c>
      <c r="AR222" t="s">
        <v>54</v>
      </c>
      <c r="AS222" t="s">
        <v>55</v>
      </c>
      <c r="AT222" t="s">
        <v>55</v>
      </c>
      <c r="AU222" t="s">
        <v>56</v>
      </c>
      <c r="AV222">
        <v>1111</v>
      </c>
      <c r="AW222" t="s">
        <v>49</v>
      </c>
      <c r="AX222" t="s">
        <v>55</v>
      </c>
      <c r="AY222" t="s">
        <v>49</v>
      </c>
      <c r="AZ222" t="s">
        <v>59</v>
      </c>
      <c r="BA222" t="s">
        <v>55</v>
      </c>
      <c r="BB222" t="s">
        <v>49</v>
      </c>
      <c r="BC222" t="s">
        <v>49</v>
      </c>
      <c r="BD222" t="s">
        <v>49</v>
      </c>
      <c r="BE222" t="s">
        <v>55</v>
      </c>
      <c r="BF222">
        <v>23</v>
      </c>
      <c r="BG222" t="s">
        <v>60</v>
      </c>
      <c r="BH222" t="s">
        <v>82</v>
      </c>
      <c r="BI222" t="s">
        <v>62</v>
      </c>
      <c r="BJ222" t="s">
        <v>63</v>
      </c>
      <c r="BK222">
        <v>2008</v>
      </c>
      <c r="BL222">
        <v>0</v>
      </c>
      <c r="BR222">
        <f>B222-BS222</f>
        <v>0</v>
      </c>
      <c r="BS222">
        <v>129</v>
      </c>
      <c r="BT222">
        <f t="shared" si="22"/>
        <v>1</v>
      </c>
    </row>
    <row r="223" spans="1:72" x14ac:dyDescent="0.2">
      <c r="A223" s="19" t="s">
        <v>281</v>
      </c>
      <c r="B223" s="1">
        <v>949</v>
      </c>
      <c r="C223">
        <v>1</v>
      </c>
      <c r="D223" t="s">
        <v>48</v>
      </c>
      <c r="E223" s="2" t="s">
        <v>49</v>
      </c>
      <c r="F223">
        <v>949</v>
      </c>
      <c r="G223">
        <v>949</v>
      </c>
      <c r="H223" s="2" t="s">
        <v>49</v>
      </c>
      <c r="I223" s="3">
        <v>225</v>
      </c>
      <c r="J223">
        <f>225-27</f>
        <v>198</v>
      </c>
      <c r="K223" s="5">
        <v>528</v>
      </c>
      <c r="L223" s="6">
        <v>196</v>
      </c>
      <c r="P223" t="s">
        <v>795</v>
      </c>
      <c r="Q223" t="s">
        <v>78</v>
      </c>
      <c r="R223" s="5" t="s">
        <v>65</v>
      </c>
      <c r="S223" s="6" t="s">
        <v>74</v>
      </c>
      <c r="W223">
        <v>7</v>
      </c>
      <c r="X223">
        <v>14</v>
      </c>
      <c r="AC223" s="6">
        <f>L223</f>
        <v>196</v>
      </c>
      <c r="AD223" s="6">
        <v>1</v>
      </c>
      <c r="AE223" s="5">
        <f>K223</f>
        <v>528</v>
      </c>
      <c r="AF223" s="5">
        <v>1</v>
      </c>
      <c r="AM223">
        <v>48</v>
      </c>
      <c r="AN223" t="s">
        <v>101</v>
      </c>
      <c r="AO223" t="s">
        <v>53</v>
      </c>
      <c r="AP223">
        <v>-17791</v>
      </c>
      <c r="AQ223">
        <v>0</v>
      </c>
      <c r="AR223" t="s">
        <v>54</v>
      </c>
      <c r="AS223" t="s">
        <v>55</v>
      </c>
      <c r="AT223" t="s">
        <v>55</v>
      </c>
      <c r="AU223" t="s">
        <v>56</v>
      </c>
      <c r="AV223">
        <v>1113</v>
      </c>
      <c r="AW223" t="s">
        <v>57</v>
      </c>
      <c r="AX223" t="s">
        <v>55</v>
      </c>
      <c r="AY223" t="s">
        <v>114</v>
      </c>
      <c r="AZ223" t="s">
        <v>59</v>
      </c>
      <c r="BA223" t="s">
        <v>55</v>
      </c>
      <c r="BB223" t="s">
        <v>49</v>
      </c>
      <c r="BC223" t="s">
        <v>49</v>
      </c>
      <c r="BD223" t="s">
        <v>49</v>
      </c>
      <c r="BE223" t="s">
        <v>55</v>
      </c>
      <c r="BF223">
        <v>23</v>
      </c>
      <c r="BG223" t="s">
        <v>60</v>
      </c>
      <c r="BH223" t="s">
        <v>61</v>
      </c>
      <c r="BI223" t="s">
        <v>83</v>
      </c>
      <c r="BJ223" t="s">
        <v>63</v>
      </c>
      <c r="BK223">
        <v>2002</v>
      </c>
      <c r="BL223">
        <v>1</v>
      </c>
      <c r="BM223">
        <v>1</v>
      </c>
      <c r="BN223">
        <v>1</v>
      </c>
      <c r="BR223">
        <f>I223-BS223</f>
        <v>38</v>
      </c>
      <c r="BS223">
        <v>187</v>
      </c>
      <c r="BT223">
        <f t="shared" si="22"/>
        <v>3</v>
      </c>
    </row>
    <row r="224" spans="1:72" x14ac:dyDescent="0.2">
      <c r="A224" s="19" t="s">
        <v>282</v>
      </c>
      <c r="B224" s="1">
        <v>2089</v>
      </c>
      <c r="C224">
        <v>1</v>
      </c>
      <c r="D224" t="s">
        <v>48</v>
      </c>
      <c r="E224" s="2" t="s">
        <v>49</v>
      </c>
      <c r="F224">
        <v>2089</v>
      </c>
      <c r="G224">
        <v>2089</v>
      </c>
      <c r="H224" s="2">
        <v>634</v>
      </c>
      <c r="I224" s="3">
        <v>634</v>
      </c>
      <c r="J224" s="4">
        <f>634-43</f>
        <v>591</v>
      </c>
      <c r="K224" s="4">
        <v>496</v>
      </c>
      <c r="L224" s="6">
        <v>165</v>
      </c>
      <c r="M224" s="10">
        <v>417</v>
      </c>
      <c r="N224" s="5">
        <v>244</v>
      </c>
      <c r="O224" s="9">
        <v>104</v>
      </c>
      <c r="P224" s="8"/>
      <c r="Q224" s="4" t="s">
        <v>51</v>
      </c>
      <c r="R224" s="4" t="s">
        <v>51</v>
      </c>
      <c r="S224" s="6" t="s">
        <v>74</v>
      </c>
      <c r="T224" s="10" t="s">
        <v>87</v>
      </c>
      <c r="U224" s="5" t="s">
        <v>65</v>
      </c>
      <c r="V224" s="9" t="s">
        <v>80</v>
      </c>
      <c r="W224" s="8">
        <v>9</v>
      </c>
      <c r="X224" s="8">
        <v>15</v>
      </c>
      <c r="Y224" s="4">
        <f>J224+K224</f>
        <v>1087</v>
      </c>
      <c r="Z224" s="4">
        <v>1</v>
      </c>
      <c r="AC224" s="6">
        <f>L224</f>
        <v>165</v>
      </c>
      <c r="AD224" s="6">
        <v>1</v>
      </c>
      <c r="AE224" s="5">
        <f>N224</f>
        <v>244</v>
      </c>
      <c r="AF224" s="5">
        <v>1</v>
      </c>
      <c r="AG224" s="9">
        <f>O224</f>
        <v>104</v>
      </c>
      <c r="AH224" s="9">
        <v>1</v>
      </c>
      <c r="AK224" s="10">
        <f>M224</f>
        <v>417</v>
      </c>
      <c r="AL224" s="10">
        <v>1</v>
      </c>
      <c r="AM224">
        <v>55</v>
      </c>
      <c r="AN224" t="s">
        <v>101</v>
      </c>
      <c r="AO224" t="s">
        <v>53</v>
      </c>
      <c r="AP224">
        <v>-20409</v>
      </c>
      <c r="AQ224">
        <v>0</v>
      </c>
      <c r="AR224" t="s">
        <v>54</v>
      </c>
      <c r="AS224" t="s">
        <v>55</v>
      </c>
      <c r="AT224" t="s">
        <v>55</v>
      </c>
      <c r="AU224" t="s">
        <v>56</v>
      </c>
      <c r="AV224">
        <v>1114</v>
      </c>
      <c r="AW224" t="s">
        <v>57</v>
      </c>
      <c r="AX224" t="s">
        <v>55</v>
      </c>
      <c r="AY224" t="s">
        <v>58</v>
      </c>
      <c r="AZ224" t="s">
        <v>59</v>
      </c>
      <c r="BA224" t="s">
        <v>55</v>
      </c>
      <c r="BB224" t="s">
        <v>49</v>
      </c>
      <c r="BC224" t="s">
        <v>49</v>
      </c>
      <c r="BD224" t="s">
        <v>66</v>
      </c>
      <c r="BE224" t="s">
        <v>55</v>
      </c>
      <c r="BF224">
        <v>23</v>
      </c>
      <c r="BG224" t="s">
        <v>60</v>
      </c>
      <c r="BH224" t="s">
        <v>71</v>
      </c>
      <c r="BI224" t="s">
        <v>62</v>
      </c>
      <c r="BJ224" t="s">
        <v>63</v>
      </c>
      <c r="BK224">
        <v>2000</v>
      </c>
      <c r="BL224">
        <v>1</v>
      </c>
      <c r="BM224">
        <v>1</v>
      </c>
      <c r="BN224">
        <v>1</v>
      </c>
      <c r="BO224">
        <v>1</v>
      </c>
      <c r="BP224">
        <v>1</v>
      </c>
      <c r="BQ224">
        <v>1</v>
      </c>
      <c r="BR224">
        <f>I224-BS224</f>
        <v>452</v>
      </c>
      <c r="BS224">
        <v>182</v>
      </c>
      <c r="BT224">
        <f t="shared" si="22"/>
        <v>6</v>
      </c>
    </row>
    <row r="225" spans="1:72" x14ac:dyDescent="0.2">
      <c r="A225" s="19" t="s">
        <v>283</v>
      </c>
      <c r="B225" s="1">
        <v>418</v>
      </c>
      <c r="C225">
        <v>0</v>
      </c>
      <c r="D225" t="s">
        <v>68</v>
      </c>
      <c r="E225" s="2" t="s">
        <v>49</v>
      </c>
      <c r="F225" t="s">
        <v>49</v>
      </c>
      <c r="G225">
        <v>139</v>
      </c>
      <c r="H225" s="2" t="s">
        <v>49</v>
      </c>
      <c r="I225" s="3">
        <v>306</v>
      </c>
      <c r="J225" s="4">
        <v>287</v>
      </c>
      <c r="K225" s="10">
        <v>112</v>
      </c>
      <c r="P225" s="8" t="s">
        <v>796</v>
      </c>
      <c r="Q225" s="4" t="s">
        <v>51</v>
      </c>
      <c r="R225" s="10" t="s">
        <v>87</v>
      </c>
      <c r="W225" s="8">
        <v>6</v>
      </c>
      <c r="X225" s="8">
        <v>12</v>
      </c>
      <c r="Y225" s="4">
        <f>J225</f>
        <v>287</v>
      </c>
      <c r="Z225" s="4">
        <v>1</v>
      </c>
      <c r="AI225" s="8"/>
      <c r="AK225" s="10">
        <f>K225</f>
        <v>112</v>
      </c>
      <c r="AL225" s="10">
        <v>0</v>
      </c>
      <c r="AM225">
        <v>83</v>
      </c>
      <c r="AN225" t="s">
        <v>101</v>
      </c>
      <c r="AO225" t="s">
        <v>53</v>
      </c>
      <c r="AP225">
        <v>-30463</v>
      </c>
      <c r="AQ225">
        <v>0</v>
      </c>
      <c r="AR225" t="s">
        <v>54</v>
      </c>
      <c r="AS225" t="s">
        <v>55</v>
      </c>
      <c r="AT225" t="s">
        <v>55</v>
      </c>
      <c r="AU225" t="s">
        <v>56</v>
      </c>
      <c r="AV225">
        <v>1116</v>
      </c>
      <c r="AW225" t="s">
        <v>49</v>
      </c>
      <c r="AX225" t="s">
        <v>55</v>
      </c>
      <c r="AY225" t="s">
        <v>49</v>
      </c>
      <c r="AZ225" t="s">
        <v>59</v>
      </c>
      <c r="BA225" t="s">
        <v>55</v>
      </c>
      <c r="BB225" t="s">
        <v>49</v>
      </c>
      <c r="BC225" t="s">
        <v>49</v>
      </c>
      <c r="BD225" t="s">
        <v>49</v>
      </c>
      <c r="BE225" t="s">
        <v>55</v>
      </c>
      <c r="BF225">
        <v>23</v>
      </c>
      <c r="BG225" t="s">
        <v>60</v>
      </c>
      <c r="BH225" t="s">
        <v>82</v>
      </c>
      <c r="BI225" t="s">
        <v>62</v>
      </c>
      <c r="BJ225" t="s">
        <v>63</v>
      </c>
      <c r="BK225">
        <v>2008</v>
      </c>
      <c r="BL225">
        <v>1</v>
      </c>
      <c r="BM225">
        <v>0</v>
      </c>
      <c r="BR225">
        <f>I225-BS225</f>
        <v>119</v>
      </c>
      <c r="BS225">
        <v>187</v>
      </c>
      <c r="BT225">
        <f t="shared" si="22"/>
        <v>2</v>
      </c>
    </row>
    <row r="226" spans="1:72" x14ac:dyDescent="0.2">
      <c r="A226" s="19" t="s">
        <v>284</v>
      </c>
      <c r="B226" s="1">
        <v>1013</v>
      </c>
      <c r="C226">
        <v>1</v>
      </c>
      <c r="D226" t="s">
        <v>48</v>
      </c>
      <c r="E226" s="2" t="s">
        <v>49</v>
      </c>
      <c r="F226">
        <v>1013</v>
      </c>
      <c r="G226">
        <v>1013</v>
      </c>
      <c r="H226" s="2">
        <v>418</v>
      </c>
      <c r="I226" s="3">
        <v>418</v>
      </c>
      <c r="J226" s="11">
        <f>418-22</f>
        <v>396</v>
      </c>
      <c r="K226" s="9">
        <v>253</v>
      </c>
      <c r="L226">
        <v>69</v>
      </c>
      <c r="M226" s="11">
        <v>109</v>
      </c>
      <c r="N226" s="6">
        <v>61</v>
      </c>
      <c r="O226" s="7">
        <v>62</v>
      </c>
      <c r="P226" s="8"/>
      <c r="Q226" s="11" t="s">
        <v>90</v>
      </c>
      <c r="R226" s="9" t="s">
        <v>80</v>
      </c>
      <c r="S226" t="s">
        <v>264</v>
      </c>
      <c r="T226" s="11" t="s">
        <v>90</v>
      </c>
      <c r="U226" s="6" t="s">
        <v>74</v>
      </c>
      <c r="V226" s="7" t="s">
        <v>75</v>
      </c>
      <c r="W226" s="8">
        <v>11</v>
      </c>
      <c r="X226" s="8">
        <v>11</v>
      </c>
      <c r="AA226" s="11">
        <f>M226+J226</f>
        <v>505</v>
      </c>
      <c r="AB226" s="11">
        <v>1</v>
      </c>
      <c r="AC226" s="6">
        <f>N226</f>
        <v>61</v>
      </c>
      <c r="AD226" s="6">
        <v>1</v>
      </c>
      <c r="AG226" s="9">
        <f>K226</f>
        <v>253</v>
      </c>
      <c r="AH226" s="9">
        <v>1</v>
      </c>
      <c r="AI226" s="7">
        <f>O226</f>
        <v>62</v>
      </c>
      <c r="AJ226" s="7">
        <v>1</v>
      </c>
      <c r="AK226" s="8"/>
      <c r="AL226" s="8"/>
      <c r="AM226">
        <v>43</v>
      </c>
      <c r="AN226" t="s">
        <v>101</v>
      </c>
      <c r="AO226" t="s">
        <v>55</v>
      </c>
      <c r="AP226">
        <v>-15690</v>
      </c>
      <c r="AQ226">
        <v>0</v>
      </c>
      <c r="AR226" t="s">
        <v>54</v>
      </c>
      <c r="AS226" t="s">
        <v>55</v>
      </c>
      <c r="AT226" t="s">
        <v>55</v>
      </c>
      <c r="AU226" t="s">
        <v>56</v>
      </c>
      <c r="AV226">
        <v>1117</v>
      </c>
      <c r="AW226" t="s">
        <v>57</v>
      </c>
      <c r="AX226" t="s">
        <v>55</v>
      </c>
      <c r="AY226" t="s">
        <v>58</v>
      </c>
      <c r="AZ226" t="s">
        <v>59</v>
      </c>
      <c r="BA226" t="s">
        <v>53</v>
      </c>
      <c r="BB226" t="s">
        <v>49</v>
      </c>
      <c r="BC226" t="s">
        <v>49</v>
      </c>
      <c r="BD226" t="s">
        <v>106</v>
      </c>
      <c r="BE226" t="s">
        <v>55</v>
      </c>
      <c r="BF226">
        <v>23</v>
      </c>
      <c r="BG226" t="s">
        <v>60</v>
      </c>
      <c r="BH226" t="s">
        <v>61</v>
      </c>
      <c r="BI226" t="s">
        <v>62</v>
      </c>
      <c r="BJ226" t="s">
        <v>63</v>
      </c>
      <c r="BK226">
        <v>1998</v>
      </c>
      <c r="BL226">
        <v>1</v>
      </c>
      <c r="BM226">
        <v>1</v>
      </c>
      <c r="BN226">
        <v>1</v>
      </c>
      <c r="BO226">
        <v>1</v>
      </c>
      <c r="BP226">
        <v>1</v>
      </c>
      <c r="BQ226">
        <v>1</v>
      </c>
      <c r="BR226">
        <f>I226-BS226</f>
        <v>124</v>
      </c>
      <c r="BS226">
        <v>294</v>
      </c>
      <c r="BT226">
        <f t="shared" si="22"/>
        <v>6</v>
      </c>
    </row>
    <row r="227" spans="1:72" x14ac:dyDescent="0.2">
      <c r="A227" s="19" t="s">
        <v>285</v>
      </c>
      <c r="B227" s="1">
        <v>2616</v>
      </c>
      <c r="C227">
        <v>0</v>
      </c>
      <c r="D227" t="s">
        <v>68</v>
      </c>
      <c r="E227" s="2" t="s">
        <v>49</v>
      </c>
      <c r="F227" t="s">
        <v>49</v>
      </c>
      <c r="G227">
        <v>2616</v>
      </c>
      <c r="H227" s="2" t="s">
        <v>49</v>
      </c>
      <c r="I227" s="3" t="s">
        <v>69</v>
      </c>
      <c r="J227" s="11">
        <v>2560</v>
      </c>
      <c r="Q227" s="11" t="s">
        <v>90</v>
      </c>
      <c r="W227" s="8">
        <v>6</v>
      </c>
      <c r="X227" s="8">
        <v>6</v>
      </c>
      <c r="AA227" s="11">
        <f>J227</f>
        <v>2560</v>
      </c>
      <c r="AB227" s="11">
        <v>0</v>
      </c>
      <c r="AM227">
        <v>45</v>
      </c>
      <c r="AN227" t="s">
        <v>101</v>
      </c>
      <c r="AO227" t="s">
        <v>53</v>
      </c>
      <c r="AP227">
        <v>-16470</v>
      </c>
      <c r="AQ227">
        <v>0</v>
      </c>
      <c r="AR227" t="s">
        <v>54</v>
      </c>
      <c r="AS227" t="s">
        <v>55</v>
      </c>
      <c r="AT227" t="s">
        <v>55</v>
      </c>
      <c r="AU227" t="s">
        <v>56</v>
      </c>
      <c r="AV227">
        <v>1118</v>
      </c>
      <c r="AW227" t="s">
        <v>70</v>
      </c>
      <c r="AX227" t="s">
        <v>55</v>
      </c>
      <c r="AY227" t="s">
        <v>58</v>
      </c>
      <c r="AZ227" t="s">
        <v>59</v>
      </c>
      <c r="BA227" t="s">
        <v>55</v>
      </c>
      <c r="BB227" t="s">
        <v>49</v>
      </c>
      <c r="BC227" t="s">
        <v>49</v>
      </c>
      <c r="BD227" t="s">
        <v>49</v>
      </c>
      <c r="BE227" t="s">
        <v>55</v>
      </c>
      <c r="BF227">
        <v>23</v>
      </c>
      <c r="BG227" t="s">
        <v>60</v>
      </c>
      <c r="BH227" t="s">
        <v>82</v>
      </c>
      <c r="BI227" t="s">
        <v>62</v>
      </c>
      <c r="BJ227" t="s">
        <v>63</v>
      </c>
      <c r="BK227">
        <v>2001</v>
      </c>
      <c r="BL227">
        <v>0</v>
      </c>
      <c r="BR227">
        <f>B227-BS227</f>
        <v>2420</v>
      </c>
      <c r="BS227">
        <v>196</v>
      </c>
      <c r="BT227">
        <f t="shared" si="22"/>
        <v>1</v>
      </c>
    </row>
    <row r="228" spans="1:72" x14ac:dyDescent="0.2">
      <c r="A228" s="19" t="s">
        <v>286</v>
      </c>
      <c r="B228" s="1">
        <v>3953</v>
      </c>
      <c r="C228">
        <v>0</v>
      </c>
      <c r="D228" t="s">
        <v>68</v>
      </c>
      <c r="E228" s="2" t="s">
        <v>49</v>
      </c>
      <c r="F228" t="s">
        <v>49</v>
      </c>
      <c r="G228">
        <v>3953</v>
      </c>
      <c r="H228" s="2">
        <v>3378</v>
      </c>
      <c r="I228" s="3">
        <v>3378</v>
      </c>
      <c r="J228" s="11">
        <v>3371</v>
      </c>
      <c r="K228" s="11">
        <v>575</v>
      </c>
      <c r="Q228" s="11" t="s">
        <v>90</v>
      </c>
      <c r="R228" s="11" t="s">
        <v>90</v>
      </c>
      <c r="W228" s="8">
        <v>6</v>
      </c>
      <c r="X228" s="8">
        <v>6</v>
      </c>
      <c r="AA228" s="11">
        <f>K228+J228</f>
        <v>3946</v>
      </c>
      <c r="AB228" s="11">
        <v>0</v>
      </c>
      <c r="AM228">
        <v>64</v>
      </c>
      <c r="AN228" t="s">
        <v>101</v>
      </c>
      <c r="AO228" t="s">
        <v>53</v>
      </c>
      <c r="AP228">
        <v>-23686</v>
      </c>
      <c r="AQ228">
        <v>0</v>
      </c>
      <c r="AR228" t="s">
        <v>54</v>
      </c>
      <c r="AS228" t="s">
        <v>55</v>
      </c>
      <c r="AT228" t="s">
        <v>55</v>
      </c>
      <c r="AU228" t="s">
        <v>56</v>
      </c>
      <c r="AV228">
        <v>1119</v>
      </c>
      <c r="AW228" t="s">
        <v>70</v>
      </c>
      <c r="AX228" t="s">
        <v>55</v>
      </c>
      <c r="AY228" t="s">
        <v>58</v>
      </c>
      <c r="AZ228" t="s">
        <v>59</v>
      </c>
      <c r="BA228" t="s">
        <v>55</v>
      </c>
      <c r="BB228" t="s">
        <v>49</v>
      </c>
      <c r="BC228" t="s">
        <v>49</v>
      </c>
      <c r="BD228" t="s">
        <v>66</v>
      </c>
      <c r="BE228" t="s">
        <v>55</v>
      </c>
      <c r="BF228">
        <v>23</v>
      </c>
      <c r="BG228" t="s">
        <v>60</v>
      </c>
      <c r="BH228" t="s">
        <v>61</v>
      </c>
      <c r="BI228" t="s">
        <v>62</v>
      </c>
      <c r="BJ228" t="s">
        <v>63</v>
      </c>
      <c r="BK228">
        <v>1997</v>
      </c>
      <c r="BL228">
        <v>1</v>
      </c>
      <c r="BM228">
        <v>0</v>
      </c>
      <c r="BR228">
        <f>I228-BS228</f>
        <v>3253</v>
      </c>
      <c r="BS228">
        <v>125</v>
      </c>
      <c r="BT228">
        <f t="shared" si="22"/>
        <v>2</v>
      </c>
    </row>
    <row r="229" spans="1:72" x14ac:dyDescent="0.2">
      <c r="A229" s="19" t="s">
        <v>287</v>
      </c>
      <c r="B229" s="1">
        <v>146</v>
      </c>
      <c r="C229">
        <v>0</v>
      </c>
      <c r="D229" t="s">
        <v>68</v>
      </c>
      <c r="E229" s="2" t="s">
        <v>49</v>
      </c>
      <c r="F229" t="s">
        <v>49</v>
      </c>
      <c r="G229">
        <v>130</v>
      </c>
      <c r="H229" s="2" t="s">
        <v>49</v>
      </c>
      <c r="I229" s="3" t="s">
        <v>69</v>
      </c>
      <c r="J229" s="4">
        <v>83</v>
      </c>
      <c r="Q229" s="4" t="s">
        <v>51</v>
      </c>
      <c r="W229" s="8">
        <v>5</v>
      </c>
      <c r="X229" s="8">
        <v>10</v>
      </c>
      <c r="Y229" s="4">
        <f>J229</f>
        <v>83</v>
      </c>
      <c r="Z229" s="4">
        <v>0</v>
      </c>
      <c r="AM229">
        <v>60</v>
      </c>
      <c r="AN229" t="s">
        <v>126</v>
      </c>
      <c r="AO229" t="s">
        <v>53</v>
      </c>
      <c r="AP229">
        <v>-22147</v>
      </c>
      <c r="AQ229">
        <v>0</v>
      </c>
      <c r="AR229" t="s">
        <v>54</v>
      </c>
      <c r="AS229" t="s">
        <v>55</v>
      </c>
      <c r="AT229" t="s">
        <v>55</v>
      </c>
      <c r="AU229" t="s">
        <v>56</v>
      </c>
      <c r="AV229">
        <v>1120</v>
      </c>
      <c r="AW229" t="s">
        <v>49</v>
      </c>
      <c r="AX229" t="s">
        <v>55</v>
      </c>
      <c r="AY229" t="s">
        <v>49</v>
      </c>
      <c r="AZ229" t="s">
        <v>59</v>
      </c>
      <c r="BA229" t="s">
        <v>55</v>
      </c>
      <c r="BB229" t="s">
        <v>49</v>
      </c>
      <c r="BC229" t="s">
        <v>49</v>
      </c>
      <c r="BD229" t="s">
        <v>49</v>
      </c>
      <c r="BE229" t="s">
        <v>55</v>
      </c>
      <c r="BF229">
        <v>23</v>
      </c>
      <c r="BG229" t="s">
        <v>60</v>
      </c>
      <c r="BH229" t="s">
        <v>61</v>
      </c>
      <c r="BI229" t="s">
        <v>62</v>
      </c>
      <c r="BJ229" t="s">
        <v>63</v>
      </c>
      <c r="BK229">
        <v>2008</v>
      </c>
      <c r="BL229">
        <v>0</v>
      </c>
      <c r="BR229">
        <f>B229-BS229</f>
        <v>0</v>
      </c>
      <c r="BS229">
        <v>146</v>
      </c>
      <c r="BT229">
        <f t="shared" si="22"/>
        <v>1</v>
      </c>
    </row>
    <row r="230" spans="1:72" x14ac:dyDescent="0.2">
      <c r="A230" s="19" t="s">
        <v>288</v>
      </c>
      <c r="B230" s="1">
        <v>194</v>
      </c>
      <c r="C230">
        <v>0</v>
      </c>
      <c r="D230" t="s">
        <v>68</v>
      </c>
      <c r="E230" s="2" t="s">
        <v>49</v>
      </c>
      <c r="F230" t="s">
        <v>49</v>
      </c>
      <c r="G230">
        <v>194</v>
      </c>
      <c r="H230" s="2" t="s">
        <v>49</v>
      </c>
      <c r="I230" s="3" t="s">
        <v>69</v>
      </c>
      <c r="J230" s="4">
        <v>163</v>
      </c>
      <c r="Q230" s="4" t="s">
        <v>51</v>
      </c>
      <c r="W230" s="8">
        <v>6</v>
      </c>
      <c r="X230" s="8">
        <v>12</v>
      </c>
      <c r="Y230" s="4">
        <f>J230</f>
        <v>163</v>
      </c>
      <c r="Z230" s="4">
        <v>0</v>
      </c>
      <c r="AM230">
        <v>52</v>
      </c>
      <c r="AN230" t="s">
        <v>101</v>
      </c>
      <c r="AO230" t="s">
        <v>53</v>
      </c>
      <c r="AP230">
        <v>-18982</v>
      </c>
      <c r="AQ230">
        <v>0</v>
      </c>
      <c r="AR230" t="s">
        <v>54</v>
      </c>
      <c r="AS230" t="s">
        <v>55</v>
      </c>
      <c r="AT230" t="s">
        <v>55</v>
      </c>
      <c r="AU230" t="s">
        <v>56</v>
      </c>
      <c r="AV230">
        <v>1121</v>
      </c>
      <c r="AW230" t="s">
        <v>49</v>
      </c>
      <c r="AX230" t="s">
        <v>55</v>
      </c>
      <c r="AY230" t="s">
        <v>49</v>
      </c>
      <c r="AZ230" t="s">
        <v>49</v>
      </c>
      <c r="BA230" t="s">
        <v>55</v>
      </c>
      <c r="BB230" t="s">
        <v>49</v>
      </c>
      <c r="BC230" t="s">
        <v>49</v>
      </c>
      <c r="BD230" t="s">
        <v>49</v>
      </c>
      <c r="BE230" t="s">
        <v>55</v>
      </c>
      <c r="BF230">
        <v>23</v>
      </c>
      <c r="BG230" t="s">
        <v>60</v>
      </c>
      <c r="BH230" t="s">
        <v>82</v>
      </c>
      <c r="BI230" t="s">
        <v>62</v>
      </c>
      <c r="BJ230" t="s">
        <v>63</v>
      </c>
      <c r="BK230">
        <v>2008</v>
      </c>
      <c r="BL230">
        <v>0</v>
      </c>
      <c r="BR230">
        <f>B230-BS230</f>
        <v>0</v>
      </c>
      <c r="BS230">
        <v>194</v>
      </c>
      <c r="BT230">
        <f t="shared" si="22"/>
        <v>1</v>
      </c>
    </row>
    <row r="231" spans="1:72" x14ac:dyDescent="0.2">
      <c r="A231" s="19" t="s">
        <v>289</v>
      </c>
      <c r="B231" s="1">
        <v>1189</v>
      </c>
      <c r="C231">
        <v>1</v>
      </c>
      <c r="D231" t="s">
        <v>48</v>
      </c>
      <c r="E231" s="2" t="s">
        <v>49</v>
      </c>
      <c r="F231">
        <v>1189</v>
      </c>
      <c r="G231">
        <v>1189</v>
      </c>
      <c r="H231" s="2">
        <v>447</v>
      </c>
      <c r="I231" s="3">
        <v>447</v>
      </c>
      <c r="J231" s="11">
        <f>447-24</f>
        <v>423</v>
      </c>
      <c r="K231" s="7">
        <v>420</v>
      </c>
      <c r="L231">
        <v>133</v>
      </c>
      <c r="M231" s="11">
        <v>135</v>
      </c>
      <c r="Q231" s="11" t="s">
        <v>90</v>
      </c>
      <c r="R231" s="7" t="s">
        <v>75</v>
      </c>
      <c r="S231" t="s">
        <v>290</v>
      </c>
      <c r="T231" s="11" t="s">
        <v>90</v>
      </c>
      <c r="W231" s="8">
        <v>8</v>
      </c>
      <c r="X231" s="8">
        <v>8</v>
      </c>
      <c r="AA231" s="11">
        <f>M231+J231</f>
        <v>558</v>
      </c>
      <c r="AB231" s="11">
        <v>1</v>
      </c>
      <c r="AI231" s="7">
        <f>K231</f>
        <v>420</v>
      </c>
      <c r="AJ231" s="7">
        <v>1</v>
      </c>
      <c r="AK231" s="8"/>
      <c r="AL231" s="8"/>
      <c r="AM231">
        <v>53</v>
      </c>
      <c r="AN231" t="s">
        <v>101</v>
      </c>
      <c r="AO231" t="s">
        <v>53</v>
      </c>
      <c r="AP231">
        <v>-19537</v>
      </c>
      <c r="AQ231">
        <v>0</v>
      </c>
      <c r="AR231" t="s">
        <v>54</v>
      </c>
      <c r="AS231" t="s">
        <v>55</v>
      </c>
      <c r="AT231" t="s">
        <v>55</v>
      </c>
      <c r="AU231" t="s">
        <v>56</v>
      </c>
      <c r="AV231">
        <v>1122</v>
      </c>
      <c r="AW231" t="s">
        <v>57</v>
      </c>
      <c r="AX231" t="s">
        <v>55</v>
      </c>
      <c r="AY231" t="s">
        <v>58</v>
      </c>
      <c r="AZ231" t="s">
        <v>59</v>
      </c>
      <c r="BA231" t="s">
        <v>55</v>
      </c>
      <c r="BB231" t="s">
        <v>49</v>
      </c>
      <c r="BC231" t="s">
        <v>49</v>
      </c>
      <c r="BD231" t="s">
        <v>66</v>
      </c>
      <c r="BE231" t="s">
        <v>55</v>
      </c>
      <c r="BF231">
        <v>23</v>
      </c>
      <c r="BG231" t="s">
        <v>60</v>
      </c>
      <c r="BH231" t="s">
        <v>61</v>
      </c>
      <c r="BI231" t="s">
        <v>62</v>
      </c>
      <c r="BJ231" t="s">
        <v>63</v>
      </c>
      <c r="BK231">
        <v>1998</v>
      </c>
      <c r="BL231">
        <v>1</v>
      </c>
      <c r="BM231">
        <v>1</v>
      </c>
      <c r="BN231">
        <v>1</v>
      </c>
      <c r="BO231">
        <v>1</v>
      </c>
      <c r="BR231">
        <f>I231-BS231</f>
        <v>223</v>
      </c>
      <c r="BS231">
        <v>224</v>
      </c>
      <c r="BT231">
        <f t="shared" si="22"/>
        <v>4</v>
      </c>
    </row>
    <row r="232" spans="1:72" x14ac:dyDescent="0.2">
      <c r="A232" s="19" t="s">
        <v>291</v>
      </c>
      <c r="B232" s="1">
        <v>1018</v>
      </c>
      <c r="C232">
        <v>1</v>
      </c>
      <c r="D232" t="s">
        <v>48</v>
      </c>
      <c r="E232" s="2" t="s">
        <v>49</v>
      </c>
      <c r="F232">
        <v>1018</v>
      </c>
      <c r="G232">
        <v>1018</v>
      </c>
      <c r="H232" s="2" t="s">
        <v>49</v>
      </c>
      <c r="I232" s="3">
        <v>445</v>
      </c>
      <c r="J232" s="4">
        <v>445</v>
      </c>
      <c r="K232" s="5">
        <v>360</v>
      </c>
      <c r="L232" s="9">
        <v>206</v>
      </c>
      <c r="Q232" s="4" t="s">
        <v>51</v>
      </c>
      <c r="R232" s="5" t="s">
        <v>65</v>
      </c>
      <c r="S232" s="9" t="s">
        <v>80</v>
      </c>
      <c r="W232" s="8">
        <v>8</v>
      </c>
      <c r="X232" s="8">
        <v>16</v>
      </c>
      <c r="Y232" s="4">
        <f>J232</f>
        <v>445</v>
      </c>
      <c r="Z232" s="4">
        <v>1</v>
      </c>
      <c r="AE232" s="5">
        <f>K232</f>
        <v>360</v>
      </c>
      <c r="AF232" s="5">
        <v>1</v>
      </c>
      <c r="AG232" s="9">
        <f>L232</f>
        <v>206</v>
      </c>
      <c r="AH232" s="9">
        <v>1</v>
      </c>
      <c r="AM232">
        <v>59</v>
      </c>
      <c r="AN232" t="s">
        <v>101</v>
      </c>
      <c r="AO232" t="s">
        <v>53</v>
      </c>
      <c r="AP232">
        <v>-21551</v>
      </c>
      <c r="AQ232">
        <v>0</v>
      </c>
      <c r="AR232" t="s">
        <v>54</v>
      </c>
      <c r="AS232" t="s">
        <v>55</v>
      </c>
      <c r="AT232" t="s">
        <v>55</v>
      </c>
      <c r="AU232" t="s">
        <v>56</v>
      </c>
      <c r="AV232">
        <v>1123</v>
      </c>
      <c r="AW232" t="s">
        <v>57</v>
      </c>
      <c r="AX232" t="s">
        <v>55</v>
      </c>
      <c r="AY232" t="s">
        <v>81</v>
      </c>
      <c r="AZ232" t="s">
        <v>59</v>
      </c>
      <c r="BA232" t="s">
        <v>55</v>
      </c>
      <c r="BB232" t="s">
        <v>49</v>
      </c>
      <c r="BC232" t="s">
        <v>49</v>
      </c>
      <c r="BD232" t="s">
        <v>49</v>
      </c>
      <c r="BE232" t="s">
        <v>55</v>
      </c>
      <c r="BF232">
        <v>23</v>
      </c>
      <c r="BG232" t="s">
        <v>60</v>
      </c>
      <c r="BH232" t="s">
        <v>142</v>
      </c>
      <c r="BI232" t="s">
        <v>62</v>
      </c>
      <c r="BJ232" t="s">
        <v>63</v>
      </c>
      <c r="BK232">
        <v>1998</v>
      </c>
      <c r="BL232">
        <v>1</v>
      </c>
      <c r="BM232">
        <v>1</v>
      </c>
      <c r="BN232">
        <v>1</v>
      </c>
      <c r="BR232">
        <f>I232-BS232</f>
        <v>270</v>
      </c>
      <c r="BS232">
        <v>175</v>
      </c>
      <c r="BT232">
        <f t="shared" si="22"/>
        <v>3</v>
      </c>
    </row>
    <row r="233" spans="1:72" x14ac:dyDescent="0.2">
      <c r="A233" s="19" t="s">
        <v>292</v>
      </c>
      <c r="B233" s="1">
        <v>1768</v>
      </c>
      <c r="C233">
        <v>1</v>
      </c>
      <c r="D233" t="s">
        <v>48</v>
      </c>
      <c r="E233" s="2" t="s">
        <v>49</v>
      </c>
      <c r="F233">
        <v>1768</v>
      </c>
      <c r="G233">
        <v>1768</v>
      </c>
      <c r="H233" s="2">
        <v>641</v>
      </c>
      <c r="I233" s="3">
        <v>641</v>
      </c>
      <c r="J233" s="11">
        <f>641-19</f>
        <v>622</v>
      </c>
      <c r="K233" s="7">
        <v>394</v>
      </c>
      <c r="L233" s="6">
        <v>237</v>
      </c>
      <c r="M233">
        <v>56</v>
      </c>
      <c r="N233" s="5">
        <v>175</v>
      </c>
      <c r="O233" s="9">
        <v>230</v>
      </c>
      <c r="P233" s="8"/>
      <c r="Q233" s="11" t="s">
        <v>90</v>
      </c>
      <c r="R233" s="7" t="s">
        <v>75</v>
      </c>
      <c r="S233" s="6" t="s">
        <v>74</v>
      </c>
      <c r="T233" t="s">
        <v>262</v>
      </c>
      <c r="U233" s="5" t="s">
        <v>65</v>
      </c>
      <c r="V233" s="9" t="s">
        <v>80</v>
      </c>
      <c r="W233" s="8">
        <v>9</v>
      </c>
      <c r="X233" s="8">
        <v>9</v>
      </c>
      <c r="AA233" s="11">
        <f>J233</f>
        <v>622</v>
      </c>
      <c r="AB233" s="11">
        <v>1</v>
      </c>
      <c r="AC233" s="6">
        <f>L233</f>
        <v>237</v>
      </c>
      <c r="AD233" s="6">
        <v>1</v>
      </c>
      <c r="AE233" s="5">
        <f>N233</f>
        <v>175</v>
      </c>
      <c r="AF233" s="5">
        <v>1</v>
      </c>
      <c r="AG233" s="9">
        <f>O233</f>
        <v>230</v>
      </c>
      <c r="AH233" s="9">
        <v>1</v>
      </c>
      <c r="AI233" s="7">
        <f>K233</f>
        <v>394</v>
      </c>
      <c r="AJ233" s="7">
        <v>1</v>
      </c>
      <c r="AK233" s="8"/>
      <c r="AL233" s="8"/>
      <c r="AM233">
        <v>63</v>
      </c>
      <c r="AN233" t="s">
        <v>101</v>
      </c>
      <c r="AO233" t="s">
        <v>53</v>
      </c>
      <c r="AP233">
        <v>-23005</v>
      </c>
      <c r="AQ233">
        <v>0</v>
      </c>
      <c r="AR233" t="s">
        <v>54</v>
      </c>
      <c r="AS233" t="s">
        <v>55</v>
      </c>
      <c r="AT233" t="s">
        <v>55</v>
      </c>
      <c r="AU233" t="s">
        <v>56</v>
      </c>
      <c r="AV233">
        <v>1124</v>
      </c>
      <c r="AW233" t="s">
        <v>57</v>
      </c>
      <c r="AX233" t="s">
        <v>55</v>
      </c>
      <c r="AY233" t="s">
        <v>58</v>
      </c>
      <c r="AZ233" t="s">
        <v>59</v>
      </c>
      <c r="BA233" t="s">
        <v>55</v>
      </c>
      <c r="BB233" t="s">
        <v>49</v>
      </c>
      <c r="BC233" t="s">
        <v>49</v>
      </c>
      <c r="BD233" t="s">
        <v>66</v>
      </c>
      <c r="BE233" t="s">
        <v>55</v>
      </c>
      <c r="BF233">
        <v>23</v>
      </c>
      <c r="BG233" t="s">
        <v>60</v>
      </c>
      <c r="BH233" t="s">
        <v>71</v>
      </c>
      <c r="BI233" t="s">
        <v>62</v>
      </c>
      <c r="BJ233" t="s">
        <v>63</v>
      </c>
      <c r="BK233">
        <v>1999</v>
      </c>
      <c r="BL233">
        <v>1</v>
      </c>
      <c r="BM233">
        <v>1</v>
      </c>
      <c r="BN233">
        <v>1</v>
      </c>
      <c r="BO233">
        <v>1</v>
      </c>
      <c r="BP233">
        <v>1</v>
      </c>
      <c r="BQ233">
        <v>1</v>
      </c>
      <c r="BR233">
        <f>I233-BS233</f>
        <v>444</v>
      </c>
      <c r="BS233">
        <v>197</v>
      </c>
      <c r="BT233">
        <f t="shared" si="22"/>
        <v>6</v>
      </c>
    </row>
    <row r="234" spans="1:72" x14ac:dyDescent="0.2">
      <c r="A234" s="19" t="s">
        <v>598</v>
      </c>
      <c r="B234" s="1">
        <v>106</v>
      </c>
      <c r="C234">
        <v>0</v>
      </c>
      <c r="D234" s="8" t="s">
        <v>68</v>
      </c>
      <c r="E234" s="12" t="s">
        <v>49</v>
      </c>
      <c r="F234" s="8" t="s">
        <v>49</v>
      </c>
      <c r="G234" s="8">
        <v>16</v>
      </c>
      <c r="H234" s="12" t="s">
        <v>49</v>
      </c>
      <c r="I234" s="3" t="s">
        <v>69</v>
      </c>
      <c r="J234" s="4">
        <v>82</v>
      </c>
      <c r="K234" s="8"/>
      <c r="L234" s="8"/>
      <c r="M234" s="8"/>
      <c r="N234" s="8"/>
      <c r="O234" s="8"/>
      <c r="P234" s="8"/>
      <c r="Q234" s="4" t="s">
        <v>51</v>
      </c>
      <c r="R234" s="8"/>
      <c r="S234" s="8"/>
      <c r="T234" s="8"/>
      <c r="U234" s="8"/>
      <c r="V234" s="8"/>
      <c r="W234" s="8">
        <v>5</v>
      </c>
      <c r="X234" s="8">
        <v>10</v>
      </c>
      <c r="Y234" s="4">
        <f>J234</f>
        <v>82</v>
      </c>
      <c r="Z234" s="4">
        <v>0</v>
      </c>
      <c r="AA234" s="8"/>
      <c r="AB234" s="8"/>
      <c r="AC234" s="8"/>
      <c r="AD234" s="8"/>
      <c r="AE234" s="8"/>
      <c r="AF234" s="8"/>
      <c r="AG234" s="8"/>
      <c r="AH234" s="8"/>
      <c r="AI234" s="8"/>
      <c r="AJ234" s="8"/>
      <c r="AK234" s="8"/>
      <c r="AL234" s="8"/>
      <c r="AM234" s="8">
        <v>63</v>
      </c>
      <c r="AN234" s="8" t="s">
        <v>126</v>
      </c>
      <c r="AO234" s="8" t="s">
        <v>53</v>
      </c>
      <c r="AP234" s="8">
        <v>-23111</v>
      </c>
      <c r="AQ234" s="8">
        <v>0</v>
      </c>
      <c r="AR234" s="8" t="s">
        <v>54</v>
      </c>
      <c r="AS234" s="8" t="s">
        <v>55</v>
      </c>
      <c r="AT234" s="8" t="s">
        <v>55</v>
      </c>
      <c r="AU234" s="8" t="s">
        <v>56</v>
      </c>
      <c r="AV234" s="8">
        <v>1809</v>
      </c>
      <c r="AW234" s="8" t="s">
        <v>49</v>
      </c>
      <c r="AX234" s="8" t="s">
        <v>55</v>
      </c>
      <c r="AY234" s="8" t="s">
        <v>49</v>
      </c>
      <c r="AZ234" s="8" t="s">
        <v>59</v>
      </c>
      <c r="BA234" s="8" t="s">
        <v>55</v>
      </c>
      <c r="BB234" s="8" t="s">
        <v>49</v>
      </c>
      <c r="BC234" s="8" t="s">
        <v>49</v>
      </c>
      <c r="BD234" s="8" t="s">
        <v>49</v>
      </c>
      <c r="BE234" s="8" t="s">
        <v>55</v>
      </c>
      <c r="BF234" s="8">
        <v>23</v>
      </c>
      <c r="BG234" s="8" t="s">
        <v>60</v>
      </c>
      <c r="BH234" s="8" t="s">
        <v>61</v>
      </c>
      <c r="BI234" s="8" t="s">
        <v>521</v>
      </c>
      <c r="BJ234" s="8" t="s">
        <v>63</v>
      </c>
      <c r="BK234" s="8">
        <v>2009</v>
      </c>
      <c r="BL234">
        <v>0</v>
      </c>
      <c r="BR234">
        <f>B234-BS234</f>
        <v>0</v>
      </c>
      <c r="BS234">
        <v>106</v>
      </c>
      <c r="BT234">
        <f t="shared" si="22"/>
        <v>1</v>
      </c>
    </row>
    <row r="235" spans="1:72" x14ac:dyDescent="0.2">
      <c r="A235" s="19" t="s">
        <v>293</v>
      </c>
      <c r="B235" s="1">
        <v>759</v>
      </c>
      <c r="C235">
        <v>1</v>
      </c>
      <c r="D235" t="s">
        <v>48</v>
      </c>
      <c r="E235" s="2" t="s">
        <v>49</v>
      </c>
      <c r="F235">
        <v>759</v>
      </c>
      <c r="G235">
        <v>759</v>
      </c>
      <c r="H235" s="2">
        <v>476</v>
      </c>
      <c r="I235" s="3">
        <v>476</v>
      </c>
      <c r="J235" s="4">
        <f>476-26</f>
        <v>450</v>
      </c>
      <c r="K235" s="7">
        <v>181</v>
      </c>
      <c r="L235" s="5">
        <f>G235-570</f>
        <v>189</v>
      </c>
      <c r="Q235" s="4" t="s">
        <v>51</v>
      </c>
      <c r="R235" s="7" t="s">
        <v>75</v>
      </c>
      <c r="S235" s="5" t="s">
        <v>65</v>
      </c>
      <c r="W235" s="8">
        <v>7</v>
      </c>
      <c r="X235" s="8">
        <v>14</v>
      </c>
      <c r="Y235" s="4">
        <f>J235</f>
        <v>450</v>
      </c>
      <c r="Z235" s="4">
        <v>1</v>
      </c>
      <c r="AE235" s="5">
        <f>L235</f>
        <v>189</v>
      </c>
      <c r="AF235" s="5">
        <v>1</v>
      </c>
      <c r="AI235" s="7">
        <f>K235</f>
        <v>181</v>
      </c>
      <c r="AJ235" s="7">
        <v>1</v>
      </c>
      <c r="AK235" s="8"/>
      <c r="AL235" s="8"/>
      <c r="AM235">
        <v>58</v>
      </c>
      <c r="AN235" t="s">
        <v>126</v>
      </c>
      <c r="AO235" t="s">
        <v>53</v>
      </c>
      <c r="AP235">
        <v>-21523</v>
      </c>
      <c r="AQ235">
        <v>0</v>
      </c>
      <c r="AR235" t="s">
        <v>54</v>
      </c>
      <c r="AS235" t="s">
        <v>55</v>
      </c>
      <c r="AT235" t="s">
        <v>55</v>
      </c>
      <c r="AU235" t="s">
        <v>56</v>
      </c>
      <c r="AV235">
        <v>2072</v>
      </c>
      <c r="AW235" t="s">
        <v>57</v>
      </c>
      <c r="AX235" t="s">
        <v>55</v>
      </c>
      <c r="AY235" t="s">
        <v>58</v>
      </c>
      <c r="AZ235" t="s">
        <v>59</v>
      </c>
      <c r="BA235" t="s">
        <v>55</v>
      </c>
      <c r="BB235" t="s">
        <v>49</v>
      </c>
      <c r="BC235" t="s">
        <v>49</v>
      </c>
      <c r="BD235" t="s">
        <v>66</v>
      </c>
      <c r="BE235" t="s">
        <v>55</v>
      </c>
      <c r="BF235">
        <v>23</v>
      </c>
      <c r="BG235" t="s">
        <v>60</v>
      </c>
      <c r="BH235" t="s">
        <v>82</v>
      </c>
      <c r="BI235" t="s">
        <v>83</v>
      </c>
      <c r="BJ235" t="s">
        <v>63</v>
      </c>
      <c r="BK235">
        <v>2000</v>
      </c>
      <c r="BL235">
        <v>1</v>
      </c>
      <c r="BM235">
        <v>1</v>
      </c>
      <c r="BN235">
        <v>1</v>
      </c>
      <c r="BR235">
        <f>I235-BS235</f>
        <v>326</v>
      </c>
      <c r="BS235">
        <v>150</v>
      </c>
      <c r="BT235">
        <f t="shared" si="22"/>
        <v>3</v>
      </c>
    </row>
    <row r="236" spans="1:72" x14ac:dyDescent="0.2">
      <c r="A236" s="19" t="s">
        <v>294</v>
      </c>
      <c r="B236" s="1">
        <v>3525</v>
      </c>
      <c r="C236">
        <v>0</v>
      </c>
      <c r="D236" t="s">
        <v>68</v>
      </c>
      <c r="E236" s="2" t="s">
        <v>49</v>
      </c>
      <c r="F236" t="s">
        <v>49</v>
      </c>
      <c r="G236">
        <v>3525</v>
      </c>
      <c r="H236" s="2">
        <v>1232</v>
      </c>
      <c r="I236" s="3">
        <v>1232</v>
      </c>
      <c r="J236" s="4">
        <f>1232-22</f>
        <v>1210</v>
      </c>
      <c r="K236" s="4">
        <f>G236-1622</f>
        <v>1903</v>
      </c>
      <c r="P236" t="s">
        <v>797</v>
      </c>
      <c r="Q236" s="4" t="s">
        <v>51</v>
      </c>
      <c r="R236" s="4" t="s">
        <v>51</v>
      </c>
      <c r="W236" s="8">
        <v>6</v>
      </c>
      <c r="X236" s="8">
        <v>12</v>
      </c>
      <c r="Y236" s="4">
        <f>J236+K236</f>
        <v>3113</v>
      </c>
      <c r="Z236" s="4">
        <v>0</v>
      </c>
      <c r="AM236">
        <v>45</v>
      </c>
      <c r="AN236" t="s">
        <v>101</v>
      </c>
      <c r="AO236" t="s">
        <v>53</v>
      </c>
      <c r="AP236">
        <v>-16551</v>
      </c>
      <c r="AQ236">
        <v>0</v>
      </c>
      <c r="AR236" t="s">
        <v>54</v>
      </c>
      <c r="AS236" t="s">
        <v>55</v>
      </c>
      <c r="AT236" t="s">
        <v>55</v>
      </c>
      <c r="AU236" t="s">
        <v>56</v>
      </c>
      <c r="AV236">
        <v>2077</v>
      </c>
      <c r="AW236" t="s">
        <v>70</v>
      </c>
      <c r="AX236" t="s">
        <v>55</v>
      </c>
      <c r="AY236" t="s">
        <v>58</v>
      </c>
      <c r="AZ236" t="s">
        <v>59</v>
      </c>
      <c r="BA236" t="s">
        <v>55</v>
      </c>
      <c r="BB236" t="s">
        <v>49</v>
      </c>
      <c r="BC236" t="s">
        <v>49</v>
      </c>
      <c r="BD236" t="s">
        <v>106</v>
      </c>
      <c r="BE236" t="s">
        <v>55</v>
      </c>
      <c r="BF236">
        <v>23</v>
      </c>
      <c r="BG236" t="s">
        <v>60</v>
      </c>
      <c r="BH236" t="s">
        <v>71</v>
      </c>
      <c r="BI236" t="s">
        <v>62</v>
      </c>
      <c r="BJ236" t="s">
        <v>63</v>
      </c>
      <c r="BK236">
        <v>1999</v>
      </c>
      <c r="BL236">
        <v>1</v>
      </c>
      <c r="BM236">
        <v>0</v>
      </c>
      <c r="BR236">
        <f>I236-BS236</f>
        <v>1077</v>
      </c>
      <c r="BS236">
        <v>155</v>
      </c>
      <c r="BT236">
        <f t="shared" si="22"/>
        <v>2</v>
      </c>
    </row>
    <row r="237" spans="1:72" x14ac:dyDescent="0.2">
      <c r="A237" s="19" t="s">
        <v>295</v>
      </c>
      <c r="B237" s="1">
        <v>2661</v>
      </c>
      <c r="C237">
        <v>0</v>
      </c>
      <c r="D237" t="s">
        <v>68</v>
      </c>
      <c r="E237" s="2" t="s">
        <v>49</v>
      </c>
      <c r="F237" t="s">
        <v>49</v>
      </c>
      <c r="G237">
        <v>2661</v>
      </c>
      <c r="H237" s="2" t="s">
        <v>49</v>
      </c>
      <c r="I237" s="3" t="s">
        <v>69</v>
      </c>
      <c r="J237" s="4">
        <v>2626</v>
      </c>
      <c r="Q237" s="4" t="s">
        <v>51</v>
      </c>
      <c r="W237" s="8">
        <v>6</v>
      </c>
      <c r="X237" s="8">
        <v>12</v>
      </c>
      <c r="Y237" s="4">
        <f>J237</f>
        <v>2626</v>
      </c>
      <c r="Z237" s="4">
        <v>0</v>
      </c>
      <c r="AM237">
        <v>66</v>
      </c>
      <c r="AN237" t="s">
        <v>52</v>
      </c>
      <c r="AO237" t="s">
        <v>53</v>
      </c>
      <c r="AP237">
        <v>-24222</v>
      </c>
      <c r="AQ237">
        <v>0</v>
      </c>
      <c r="AR237" t="s">
        <v>54</v>
      </c>
      <c r="AS237" t="s">
        <v>55</v>
      </c>
      <c r="AT237" t="s">
        <v>55</v>
      </c>
      <c r="AU237" t="s">
        <v>56</v>
      </c>
      <c r="AV237">
        <v>2078</v>
      </c>
      <c r="AW237" t="s">
        <v>70</v>
      </c>
      <c r="AX237" t="s">
        <v>55</v>
      </c>
      <c r="AY237" t="s">
        <v>58</v>
      </c>
      <c r="AZ237" t="s">
        <v>59</v>
      </c>
      <c r="BA237" t="s">
        <v>55</v>
      </c>
      <c r="BB237" t="s">
        <v>49</v>
      </c>
      <c r="BC237" t="s">
        <v>49</v>
      </c>
      <c r="BD237" t="s">
        <v>49</v>
      </c>
      <c r="BE237" t="s">
        <v>49</v>
      </c>
      <c r="BF237">
        <v>23</v>
      </c>
      <c r="BG237" t="s">
        <v>60</v>
      </c>
      <c r="BH237" t="s">
        <v>71</v>
      </c>
      <c r="BI237" t="s">
        <v>62</v>
      </c>
      <c r="BJ237" t="s">
        <v>63</v>
      </c>
      <c r="BK237">
        <v>2001</v>
      </c>
      <c r="BL237">
        <v>0</v>
      </c>
      <c r="BR237">
        <f>B237-BS237</f>
        <v>2512</v>
      </c>
      <c r="BS237">
        <v>149</v>
      </c>
      <c r="BT237">
        <f t="shared" si="22"/>
        <v>1</v>
      </c>
    </row>
    <row r="238" spans="1:72" x14ac:dyDescent="0.2">
      <c r="A238" s="19" t="s">
        <v>296</v>
      </c>
      <c r="B238" s="1">
        <v>2788</v>
      </c>
      <c r="C238">
        <v>0</v>
      </c>
      <c r="D238" t="s">
        <v>68</v>
      </c>
      <c r="E238" s="2" t="s">
        <v>49</v>
      </c>
      <c r="F238" t="s">
        <v>49</v>
      </c>
      <c r="G238">
        <v>2788</v>
      </c>
      <c r="H238" s="2">
        <v>283</v>
      </c>
      <c r="I238" s="3">
        <v>283</v>
      </c>
      <c r="J238" s="4">
        <f>283-4</f>
        <v>279</v>
      </c>
      <c r="K238" s="5">
        <v>1806</v>
      </c>
      <c r="L238" s="11">
        <v>686</v>
      </c>
      <c r="Q238" s="4" t="s">
        <v>51</v>
      </c>
      <c r="R238" s="5" t="s">
        <v>65</v>
      </c>
      <c r="S238" s="11" t="s">
        <v>90</v>
      </c>
      <c r="W238" s="8">
        <v>6</v>
      </c>
      <c r="X238" s="8">
        <v>12</v>
      </c>
      <c r="Y238" s="4">
        <f>J238</f>
        <v>279</v>
      </c>
      <c r="Z238" s="4">
        <v>1</v>
      </c>
      <c r="AA238" s="11">
        <f>L238</f>
        <v>686</v>
      </c>
      <c r="AB238" s="11">
        <v>0</v>
      </c>
      <c r="AE238" s="5">
        <f>K238</f>
        <v>1806</v>
      </c>
      <c r="AF238" s="5">
        <v>1</v>
      </c>
      <c r="AM238">
        <v>46</v>
      </c>
      <c r="AN238" t="s">
        <v>52</v>
      </c>
      <c r="AO238" t="s">
        <v>53</v>
      </c>
      <c r="AP238">
        <v>-17122</v>
      </c>
      <c r="AQ238">
        <v>0</v>
      </c>
      <c r="AR238" t="s">
        <v>54</v>
      </c>
      <c r="AS238" t="s">
        <v>55</v>
      </c>
      <c r="AT238" t="s">
        <v>55</v>
      </c>
      <c r="AU238" t="s">
        <v>56</v>
      </c>
      <c r="AV238">
        <v>2079</v>
      </c>
      <c r="AW238" t="s">
        <v>70</v>
      </c>
      <c r="AX238" t="s">
        <v>55</v>
      </c>
      <c r="AY238" t="s">
        <v>58</v>
      </c>
      <c r="AZ238" t="s">
        <v>59</v>
      </c>
      <c r="BA238" t="s">
        <v>55</v>
      </c>
      <c r="BB238" t="s">
        <v>49</v>
      </c>
      <c r="BC238" t="s">
        <v>49</v>
      </c>
      <c r="BD238" t="s">
        <v>106</v>
      </c>
      <c r="BE238" t="s">
        <v>55</v>
      </c>
      <c r="BF238">
        <v>23</v>
      </c>
      <c r="BG238" t="s">
        <v>60</v>
      </c>
      <c r="BH238" t="s">
        <v>71</v>
      </c>
      <c r="BI238" t="s">
        <v>62</v>
      </c>
      <c r="BJ238" t="s">
        <v>63</v>
      </c>
      <c r="BK238">
        <v>2001</v>
      </c>
      <c r="BL238">
        <v>1</v>
      </c>
      <c r="BM238">
        <v>1</v>
      </c>
      <c r="BN238">
        <v>0</v>
      </c>
      <c r="BR238">
        <f>I238-BS238</f>
        <v>158</v>
      </c>
      <c r="BS238">
        <v>125</v>
      </c>
      <c r="BT238">
        <f t="shared" si="22"/>
        <v>3</v>
      </c>
    </row>
    <row r="239" spans="1:72" x14ac:dyDescent="0.2">
      <c r="A239" s="19" t="s">
        <v>297</v>
      </c>
      <c r="B239" s="1">
        <v>2629</v>
      </c>
      <c r="C239">
        <v>1</v>
      </c>
      <c r="D239" t="s">
        <v>48</v>
      </c>
      <c r="E239" s="2" t="s">
        <v>49</v>
      </c>
      <c r="F239">
        <v>2342</v>
      </c>
      <c r="G239">
        <v>2342</v>
      </c>
      <c r="H239" s="2" t="s">
        <v>49</v>
      </c>
      <c r="I239" s="3">
        <v>315</v>
      </c>
      <c r="J239" s="4">
        <v>315</v>
      </c>
      <c r="K239" s="5">
        <v>608</v>
      </c>
      <c r="L239" s="4">
        <v>49</v>
      </c>
      <c r="M239" s="10">
        <v>802</v>
      </c>
      <c r="N239" s="10">
        <v>795</v>
      </c>
      <c r="O239" s="6">
        <v>44</v>
      </c>
      <c r="P239" s="8" t="s">
        <v>799</v>
      </c>
      <c r="Q239" s="4" t="s">
        <v>51</v>
      </c>
      <c r="R239" s="5" t="s">
        <v>65</v>
      </c>
      <c r="S239" s="4" t="s">
        <v>51</v>
      </c>
      <c r="T239" s="10" t="s">
        <v>87</v>
      </c>
      <c r="U239" s="10" t="s">
        <v>87</v>
      </c>
      <c r="V239" s="6" t="s">
        <v>74</v>
      </c>
      <c r="W239" s="8">
        <v>8</v>
      </c>
      <c r="X239" s="8">
        <v>16</v>
      </c>
      <c r="Y239" s="4">
        <f>J239+L239</f>
        <v>364</v>
      </c>
      <c r="Z239" s="4">
        <v>1</v>
      </c>
      <c r="AC239" s="6">
        <f>O239</f>
        <v>44</v>
      </c>
      <c r="AD239" s="6">
        <v>1</v>
      </c>
      <c r="AE239" s="5">
        <f>K239</f>
        <v>608</v>
      </c>
      <c r="AF239" s="5">
        <v>1</v>
      </c>
      <c r="AK239" s="10">
        <f>N239+M239</f>
        <v>1597</v>
      </c>
      <c r="AL239" s="10">
        <v>1</v>
      </c>
      <c r="AM239">
        <v>49</v>
      </c>
      <c r="AN239" t="s">
        <v>52</v>
      </c>
      <c r="AO239" t="s">
        <v>53</v>
      </c>
      <c r="AP239">
        <v>-18161</v>
      </c>
      <c r="AQ239">
        <v>0</v>
      </c>
      <c r="AR239" t="s">
        <v>54</v>
      </c>
      <c r="AS239" t="s">
        <v>55</v>
      </c>
      <c r="AT239" t="s">
        <v>55</v>
      </c>
      <c r="AU239" t="s">
        <v>56</v>
      </c>
      <c r="AV239">
        <v>2081</v>
      </c>
      <c r="AW239" t="s">
        <v>57</v>
      </c>
      <c r="AX239" t="s">
        <v>55</v>
      </c>
      <c r="AY239" t="s">
        <v>81</v>
      </c>
      <c r="AZ239" t="s">
        <v>59</v>
      </c>
      <c r="BA239" t="s">
        <v>55</v>
      </c>
      <c r="BB239" t="s">
        <v>49</v>
      </c>
      <c r="BC239" t="s">
        <v>49</v>
      </c>
      <c r="BD239" t="s">
        <v>49</v>
      </c>
      <c r="BE239" t="s">
        <v>55</v>
      </c>
      <c r="BF239">
        <v>23</v>
      </c>
      <c r="BG239" t="s">
        <v>60</v>
      </c>
      <c r="BH239" t="s">
        <v>61</v>
      </c>
      <c r="BI239" t="s">
        <v>83</v>
      </c>
      <c r="BJ239" t="s">
        <v>63</v>
      </c>
      <c r="BK239">
        <v>2000</v>
      </c>
      <c r="BL239">
        <v>1</v>
      </c>
      <c r="BM239">
        <v>1</v>
      </c>
      <c r="BN239">
        <v>1</v>
      </c>
      <c r="BO239">
        <v>1</v>
      </c>
      <c r="BP239">
        <v>1</v>
      </c>
      <c r="BQ239">
        <v>1</v>
      </c>
      <c r="BR239">
        <f>I239-BS239</f>
        <v>142</v>
      </c>
      <c r="BS239">
        <v>173</v>
      </c>
      <c r="BT239">
        <f t="shared" si="22"/>
        <v>6</v>
      </c>
    </row>
    <row r="240" spans="1:72" x14ac:dyDescent="0.2">
      <c r="A240" s="19" t="s">
        <v>298</v>
      </c>
      <c r="B240" s="1">
        <v>1516</v>
      </c>
      <c r="C240">
        <v>1</v>
      </c>
      <c r="D240" t="s">
        <v>48</v>
      </c>
      <c r="E240" s="2" t="s">
        <v>49</v>
      </c>
      <c r="F240">
        <v>1516</v>
      </c>
      <c r="G240">
        <v>1516</v>
      </c>
      <c r="H240" s="2">
        <v>619</v>
      </c>
      <c r="I240" s="3">
        <v>619</v>
      </c>
      <c r="J240" s="4">
        <f>619-6</f>
        <v>613</v>
      </c>
      <c r="K240" s="10">
        <v>552</v>
      </c>
      <c r="L240" s="5">
        <v>78</v>
      </c>
      <c r="M240" s="6">
        <v>63</v>
      </c>
      <c r="N240" s="9">
        <v>57</v>
      </c>
      <c r="O240">
        <v>76</v>
      </c>
      <c r="P240" t="s">
        <v>798</v>
      </c>
      <c r="Q240" s="4" t="s">
        <v>51</v>
      </c>
      <c r="R240" s="10" t="s">
        <v>87</v>
      </c>
      <c r="S240" s="5" t="s">
        <v>65</v>
      </c>
      <c r="T240" s="6" t="s">
        <v>74</v>
      </c>
      <c r="U240" s="9" t="s">
        <v>80</v>
      </c>
      <c r="V240" t="s">
        <v>299</v>
      </c>
      <c r="W240" s="8">
        <v>8</v>
      </c>
      <c r="X240" s="8">
        <v>16</v>
      </c>
      <c r="Y240" s="4">
        <f>J240</f>
        <v>613</v>
      </c>
      <c r="Z240" s="4">
        <v>1</v>
      </c>
      <c r="AC240" s="6">
        <f>M240</f>
        <v>63</v>
      </c>
      <c r="AD240" s="6">
        <v>1</v>
      </c>
      <c r="AE240" s="5">
        <f>L240</f>
        <v>78</v>
      </c>
      <c r="AF240" s="5">
        <v>1</v>
      </c>
      <c r="AG240" s="9">
        <f>N240</f>
        <v>57</v>
      </c>
      <c r="AH240" s="9">
        <v>1</v>
      </c>
      <c r="AI240" s="8"/>
      <c r="AK240" s="10">
        <f>K240</f>
        <v>552</v>
      </c>
      <c r="AL240" s="10">
        <v>1</v>
      </c>
      <c r="AM240">
        <v>45</v>
      </c>
      <c r="AN240" t="s">
        <v>126</v>
      </c>
      <c r="AO240" t="s">
        <v>53</v>
      </c>
      <c r="AP240">
        <v>-16493</v>
      </c>
      <c r="AQ240">
        <v>0</v>
      </c>
      <c r="AR240" t="s">
        <v>54</v>
      </c>
      <c r="AS240" t="s">
        <v>55</v>
      </c>
      <c r="AT240" t="s">
        <v>55</v>
      </c>
      <c r="AU240" t="s">
        <v>56</v>
      </c>
      <c r="AV240">
        <v>2084</v>
      </c>
      <c r="AW240" t="s">
        <v>57</v>
      </c>
      <c r="AX240" t="s">
        <v>55</v>
      </c>
      <c r="AY240" t="s">
        <v>58</v>
      </c>
      <c r="AZ240" t="s">
        <v>59</v>
      </c>
      <c r="BA240" t="s">
        <v>55</v>
      </c>
      <c r="BB240" t="s">
        <v>49</v>
      </c>
      <c r="BC240" t="s">
        <v>49</v>
      </c>
      <c r="BD240" t="s">
        <v>106</v>
      </c>
      <c r="BE240" t="s">
        <v>55</v>
      </c>
      <c r="BF240">
        <v>23</v>
      </c>
      <c r="BG240" t="s">
        <v>60</v>
      </c>
      <c r="BH240" t="s">
        <v>71</v>
      </c>
      <c r="BI240" t="s">
        <v>83</v>
      </c>
      <c r="BJ240" t="s">
        <v>63</v>
      </c>
      <c r="BK240">
        <v>2000</v>
      </c>
      <c r="BL240">
        <v>1</v>
      </c>
      <c r="BM240">
        <v>1</v>
      </c>
      <c r="BN240">
        <v>1</v>
      </c>
      <c r="BO240">
        <v>1</v>
      </c>
      <c r="BP240">
        <v>1</v>
      </c>
      <c r="BQ240">
        <v>1</v>
      </c>
      <c r="BR240">
        <f>I240-BS240</f>
        <v>464</v>
      </c>
      <c r="BS240">
        <v>155</v>
      </c>
      <c r="BT240">
        <f t="shared" si="22"/>
        <v>6</v>
      </c>
    </row>
    <row r="241" spans="1:72" x14ac:dyDescent="0.2">
      <c r="A241" s="19" t="s">
        <v>300</v>
      </c>
      <c r="B241" s="1">
        <v>84</v>
      </c>
      <c r="C241">
        <v>0</v>
      </c>
      <c r="D241" t="s">
        <v>68</v>
      </c>
      <c r="E241" s="2" t="s">
        <v>49</v>
      </c>
      <c r="F241" t="s">
        <v>49</v>
      </c>
      <c r="G241">
        <v>84</v>
      </c>
      <c r="H241" s="2" t="s">
        <v>49</v>
      </c>
      <c r="I241" s="3" t="s">
        <v>69</v>
      </c>
      <c r="P241" t="s">
        <v>752</v>
      </c>
      <c r="Q241" t="s">
        <v>50</v>
      </c>
      <c r="W241" s="8"/>
      <c r="X241" s="8"/>
      <c r="AM241">
        <v>85</v>
      </c>
      <c r="AN241" t="s">
        <v>101</v>
      </c>
      <c r="AO241" t="s">
        <v>53</v>
      </c>
      <c r="AP241">
        <v>-31231</v>
      </c>
      <c r="AQ241">
        <v>0</v>
      </c>
      <c r="AR241" t="s">
        <v>54</v>
      </c>
      <c r="AS241" t="s">
        <v>55</v>
      </c>
      <c r="AT241" t="s">
        <v>55</v>
      </c>
      <c r="AU241" t="s">
        <v>56</v>
      </c>
      <c r="AV241">
        <v>2641</v>
      </c>
      <c r="AW241" t="s">
        <v>49</v>
      </c>
      <c r="AX241" t="s">
        <v>55</v>
      </c>
      <c r="AY241" t="s">
        <v>49</v>
      </c>
      <c r="AZ241" t="s">
        <v>59</v>
      </c>
      <c r="BA241" t="s">
        <v>55</v>
      </c>
      <c r="BB241" t="s">
        <v>49</v>
      </c>
      <c r="BC241" t="s">
        <v>49</v>
      </c>
      <c r="BD241" t="s">
        <v>49</v>
      </c>
      <c r="BE241" t="s">
        <v>55</v>
      </c>
      <c r="BF241">
        <v>23</v>
      </c>
      <c r="BG241" t="s">
        <v>60</v>
      </c>
      <c r="BH241" t="s">
        <v>61</v>
      </c>
      <c r="BI241" t="s">
        <v>62</v>
      </c>
      <c r="BJ241" t="s">
        <v>63</v>
      </c>
      <c r="BK241">
        <v>2009</v>
      </c>
      <c r="BT241">
        <f t="shared" si="22"/>
        <v>0</v>
      </c>
    </row>
    <row r="242" spans="1:72" x14ac:dyDescent="0.2">
      <c r="A242" s="19" t="s">
        <v>301</v>
      </c>
      <c r="B242" s="1">
        <v>143</v>
      </c>
      <c r="C242">
        <v>0</v>
      </c>
      <c r="D242" t="s">
        <v>68</v>
      </c>
      <c r="E242" s="2" t="s">
        <v>49</v>
      </c>
      <c r="F242" t="s">
        <v>49</v>
      </c>
      <c r="G242">
        <v>143</v>
      </c>
      <c r="H242" s="2" t="s">
        <v>49</v>
      </c>
      <c r="I242" s="3" t="s">
        <v>69</v>
      </c>
      <c r="J242" s="4">
        <f>143-24</f>
        <v>119</v>
      </c>
      <c r="Q242" s="4" t="s">
        <v>51</v>
      </c>
      <c r="W242" s="8">
        <v>6</v>
      </c>
      <c r="X242" s="8">
        <v>12</v>
      </c>
      <c r="Y242" s="4">
        <f>J242</f>
        <v>119</v>
      </c>
      <c r="Z242" s="4">
        <v>0</v>
      </c>
      <c r="AM242">
        <v>74</v>
      </c>
      <c r="AN242" t="s">
        <v>126</v>
      </c>
      <c r="AO242" t="s">
        <v>53</v>
      </c>
      <c r="AP242">
        <v>-27092</v>
      </c>
      <c r="AQ242">
        <v>0</v>
      </c>
      <c r="AR242" t="s">
        <v>54</v>
      </c>
      <c r="AS242" t="s">
        <v>55</v>
      </c>
      <c r="AT242" t="s">
        <v>55</v>
      </c>
      <c r="AU242" t="s">
        <v>56</v>
      </c>
      <c r="AV242">
        <v>2643</v>
      </c>
      <c r="AW242" t="s">
        <v>70</v>
      </c>
      <c r="AX242" t="s">
        <v>55</v>
      </c>
      <c r="AY242" t="s">
        <v>58</v>
      </c>
      <c r="AZ242" t="s">
        <v>59</v>
      </c>
      <c r="BA242" t="s">
        <v>55</v>
      </c>
      <c r="BB242" t="s">
        <v>49</v>
      </c>
      <c r="BC242" t="s">
        <v>49</v>
      </c>
      <c r="BD242" t="s">
        <v>49</v>
      </c>
      <c r="BE242" t="s">
        <v>55</v>
      </c>
      <c r="BF242">
        <v>23</v>
      </c>
      <c r="BG242" t="s">
        <v>60</v>
      </c>
      <c r="BH242" t="s">
        <v>61</v>
      </c>
      <c r="BI242" t="s">
        <v>62</v>
      </c>
      <c r="BJ242" t="s">
        <v>63</v>
      </c>
      <c r="BK242">
        <v>2009</v>
      </c>
      <c r="BL242">
        <v>0</v>
      </c>
      <c r="BR242">
        <f>B242-BS242</f>
        <v>14</v>
      </c>
      <c r="BS242">
        <v>129</v>
      </c>
      <c r="BT242">
        <f t="shared" si="22"/>
        <v>1</v>
      </c>
    </row>
    <row r="243" spans="1:72" x14ac:dyDescent="0.2">
      <c r="A243" s="19" t="s">
        <v>302</v>
      </c>
      <c r="B243" s="1">
        <v>137</v>
      </c>
      <c r="C243">
        <v>0</v>
      </c>
      <c r="D243" t="s">
        <v>68</v>
      </c>
      <c r="E243" s="2" t="s">
        <v>49</v>
      </c>
      <c r="F243" t="s">
        <v>49</v>
      </c>
      <c r="G243">
        <v>137</v>
      </c>
      <c r="H243" s="2" t="s">
        <v>49</v>
      </c>
      <c r="I243" s="3" t="s">
        <v>69</v>
      </c>
      <c r="Q243" t="s">
        <v>50</v>
      </c>
      <c r="AM243">
        <v>54</v>
      </c>
      <c r="AN243" t="s">
        <v>126</v>
      </c>
      <c r="AO243" t="s">
        <v>53</v>
      </c>
      <c r="AP243">
        <v>-19758</v>
      </c>
      <c r="AQ243">
        <v>0</v>
      </c>
      <c r="AR243" t="s">
        <v>54</v>
      </c>
      <c r="AS243" t="s">
        <v>55</v>
      </c>
      <c r="AT243" t="s">
        <v>55</v>
      </c>
      <c r="AU243" t="s">
        <v>56</v>
      </c>
      <c r="AV243">
        <v>2645</v>
      </c>
      <c r="AW243" t="s">
        <v>49</v>
      </c>
      <c r="AX243" t="s">
        <v>55</v>
      </c>
      <c r="AY243" t="s">
        <v>49</v>
      </c>
      <c r="AZ243" t="s">
        <v>180</v>
      </c>
      <c r="BA243" t="s">
        <v>55</v>
      </c>
      <c r="BB243" t="s">
        <v>49</v>
      </c>
      <c r="BC243" t="s">
        <v>49</v>
      </c>
      <c r="BD243" t="s">
        <v>49</v>
      </c>
      <c r="BE243" t="s">
        <v>55</v>
      </c>
      <c r="BF243">
        <v>23</v>
      </c>
      <c r="BG243" t="s">
        <v>60</v>
      </c>
      <c r="BH243" t="s">
        <v>71</v>
      </c>
      <c r="BI243" t="s">
        <v>62</v>
      </c>
      <c r="BJ243" t="s">
        <v>63</v>
      </c>
      <c r="BK243">
        <v>2009</v>
      </c>
      <c r="BT243">
        <f t="shared" si="22"/>
        <v>0</v>
      </c>
    </row>
    <row r="244" spans="1:72" x14ac:dyDescent="0.2">
      <c r="A244" s="19" t="s">
        <v>303</v>
      </c>
      <c r="B244" s="1">
        <v>135</v>
      </c>
      <c r="C244">
        <v>0</v>
      </c>
      <c r="D244" t="s">
        <v>68</v>
      </c>
      <c r="E244" s="2" t="s">
        <v>49</v>
      </c>
      <c r="F244" t="s">
        <v>49</v>
      </c>
      <c r="G244">
        <v>135</v>
      </c>
      <c r="H244" s="2" t="s">
        <v>49</v>
      </c>
      <c r="I244" s="3" t="s">
        <v>69</v>
      </c>
      <c r="Q244" t="s">
        <v>50</v>
      </c>
      <c r="AM244">
        <v>49</v>
      </c>
      <c r="AN244" t="s">
        <v>52</v>
      </c>
      <c r="AO244" t="s">
        <v>53</v>
      </c>
      <c r="AP244">
        <v>-18205</v>
      </c>
      <c r="AQ244">
        <v>0</v>
      </c>
      <c r="AR244" t="s">
        <v>54</v>
      </c>
      <c r="AS244" t="s">
        <v>55</v>
      </c>
      <c r="AT244" t="s">
        <v>55</v>
      </c>
      <c r="AU244" t="s">
        <v>56</v>
      </c>
      <c r="AV244">
        <v>2647</v>
      </c>
      <c r="AW244" t="s">
        <v>49</v>
      </c>
      <c r="AX244" t="s">
        <v>55</v>
      </c>
      <c r="AY244" t="s">
        <v>49</v>
      </c>
      <c r="AZ244" t="s">
        <v>180</v>
      </c>
      <c r="BA244" t="s">
        <v>55</v>
      </c>
      <c r="BB244" t="s">
        <v>49</v>
      </c>
      <c r="BC244" t="s">
        <v>49</v>
      </c>
      <c r="BD244" t="s">
        <v>49</v>
      </c>
      <c r="BE244" t="s">
        <v>55</v>
      </c>
      <c r="BF244">
        <v>23</v>
      </c>
      <c r="BG244" t="s">
        <v>60</v>
      </c>
      <c r="BH244" t="s">
        <v>61</v>
      </c>
      <c r="BI244" t="s">
        <v>62</v>
      </c>
      <c r="BJ244" t="s">
        <v>63</v>
      </c>
      <c r="BK244">
        <v>2009</v>
      </c>
      <c r="BT244">
        <f t="shared" si="22"/>
        <v>0</v>
      </c>
    </row>
    <row r="245" spans="1:72" x14ac:dyDescent="0.2">
      <c r="A245" s="19" t="s">
        <v>304</v>
      </c>
      <c r="B245" s="1">
        <v>116</v>
      </c>
      <c r="C245">
        <v>0</v>
      </c>
      <c r="D245" t="s">
        <v>68</v>
      </c>
      <c r="E245" s="2" t="s">
        <v>49</v>
      </c>
      <c r="F245" t="s">
        <v>49</v>
      </c>
      <c r="G245">
        <v>116</v>
      </c>
      <c r="H245" s="2" t="s">
        <v>49</v>
      </c>
      <c r="I245" s="3" t="s">
        <v>69</v>
      </c>
      <c r="Q245" t="s">
        <v>50</v>
      </c>
      <c r="AM245">
        <v>60</v>
      </c>
      <c r="AN245" t="s">
        <v>101</v>
      </c>
      <c r="AO245" t="s">
        <v>53</v>
      </c>
      <c r="AP245">
        <v>-22210</v>
      </c>
      <c r="AQ245">
        <v>0</v>
      </c>
      <c r="AR245" t="s">
        <v>54</v>
      </c>
      <c r="AS245" t="s">
        <v>55</v>
      </c>
      <c r="AT245" t="s">
        <v>55</v>
      </c>
      <c r="AU245" t="s">
        <v>56</v>
      </c>
      <c r="AV245">
        <v>2649</v>
      </c>
      <c r="AW245" t="s">
        <v>49</v>
      </c>
      <c r="AX245" t="s">
        <v>55</v>
      </c>
      <c r="AY245" t="s">
        <v>49</v>
      </c>
      <c r="AZ245" t="s">
        <v>59</v>
      </c>
      <c r="BA245" t="s">
        <v>55</v>
      </c>
      <c r="BB245" t="s">
        <v>49</v>
      </c>
      <c r="BC245" t="s">
        <v>49</v>
      </c>
      <c r="BD245" t="s">
        <v>49</v>
      </c>
      <c r="BE245" t="s">
        <v>55</v>
      </c>
      <c r="BF245">
        <v>23</v>
      </c>
      <c r="BG245" t="s">
        <v>60</v>
      </c>
      <c r="BH245" t="s">
        <v>61</v>
      </c>
      <c r="BI245" t="s">
        <v>62</v>
      </c>
      <c r="BJ245" t="s">
        <v>63</v>
      </c>
      <c r="BK245">
        <v>2009</v>
      </c>
      <c r="BT245">
        <f t="shared" si="22"/>
        <v>0</v>
      </c>
    </row>
    <row r="246" spans="1:72" x14ac:dyDescent="0.2">
      <c r="A246" s="19" t="s">
        <v>305</v>
      </c>
      <c r="B246" s="1">
        <v>232</v>
      </c>
      <c r="C246">
        <v>0</v>
      </c>
      <c r="D246" t="s">
        <v>68</v>
      </c>
      <c r="E246" s="2" t="s">
        <v>49</v>
      </c>
      <c r="F246" t="s">
        <v>49</v>
      </c>
      <c r="G246">
        <v>232</v>
      </c>
      <c r="H246" s="2" t="s">
        <v>49</v>
      </c>
      <c r="I246" s="3" t="s">
        <v>69</v>
      </c>
      <c r="J246" s="4">
        <v>211</v>
      </c>
      <c r="P246" t="s">
        <v>824</v>
      </c>
      <c r="Q246" s="4" t="s">
        <v>51</v>
      </c>
      <c r="W246">
        <v>5</v>
      </c>
      <c r="X246">
        <v>10</v>
      </c>
      <c r="Y246" s="4">
        <f>J246</f>
        <v>211</v>
      </c>
      <c r="Z246" s="4">
        <v>0</v>
      </c>
      <c r="AM246">
        <v>78</v>
      </c>
      <c r="AN246" t="s">
        <v>52</v>
      </c>
      <c r="AO246" t="s">
        <v>53</v>
      </c>
      <c r="AP246">
        <v>-28528</v>
      </c>
      <c r="AQ246">
        <v>0</v>
      </c>
      <c r="AR246" t="s">
        <v>54</v>
      </c>
      <c r="AS246" t="s">
        <v>55</v>
      </c>
      <c r="AT246" t="s">
        <v>55</v>
      </c>
      <c r="AU246" t="s">
        <v>56</v>
      </c>
      <c r="AV246">
        <v>966</v>
      </c>
      <c r="AW246" t="s">
        <v>57</v>
      </c>
      <c r="AX246" t="s">
        <v>55</v>
      </c>
      <c r="AY246" t="s">
        <v>92</v>
      </c>
      <c r="AZ246" t="s">
        <v>111</v>
      </c>
      <c r="BA246" t="s">
        <v>55</v>
      </c>
      <c r="BB246" t="s">
        <v>49</v>
      </c>
      <c r="BC246" t="s">
        <v>49</v>
      </c>
      <c r="BD246" t="s">
        <v>49</v>
      </c>
      <c r="BE246" t="s">
        <v>53</v>
      </c>
      <c r="BF246">
        <v>24</v>
      </c>
      <c r="BG246" t="s">
        <v>60</v>
      </c>
      <c r="BH246" t="s">
        <v>82</v>
      </c>
      <c r="BI246" t="s">
        <v>62</v>
      </c>
      <c r="BJ246" t="s">
        <v>63</v>
      </c>
      <c r="BK246">
        <v>2008</v>
      </c>
      <c r="BL246">
        <v>0</v>
      </c>
      <c r="BR246">
        <f>B246-BS246</f>
        <v>112</v>
      </c>
      <c r="BS246">
        <v>120</v>
      </c>
      <c r="BT246">
        <f t="shared" si="22"/>
        <v>1</v>
      </c>
    </row>
    <row r="247" spans="1:72" x14ac:dyDescent="0.2">
      <c r="A247" s="19" t="s">
        <v>306</v>
      </c>
      <c r="B247" s="1">
        <v>597</v>
      </c>
      <c r="C247">
        <v>1</v>
      </c>
      <c r="D247" t="s">
        <v>48</v>
      </c>
      <c r="E247" s="2" t="s">
        <v>49</v>
      </c>
      <c r="F247">
        <v>597</v>
      </c>
      <c r="G247">
        <v>597</v>
      </c>
      <c r="H247" s="2" t="s">
        <v>49</v>
      </c>
      <c r="I247" s="3" t="s">
        <v>50</v>
      </c>
      <c r="J247" s="4" t="s">
        <v>50</v>
      </c>
      <c r="P247" t="s">
        <v>800</v>
      </c>
      <c r="Q247" s="4" t="s">
        <v>51</v>
      </c>
      <c r="W247">
        <v>5</v>
      </c>
      <c r="X247">
        <v>10</v>
      </c>
      <c r="Y247" s="4" t="str">
        <f>J247</f>
        <v>cannot assess</v>
      </c>
      <c r="Z247" s="4">
        <v>1</v>
      </c>
      <c r="AM247">
        <v>59</v>
      </c>
      <c r="AN247" t="s">
        <v>101</v>
      </c>
      <c r="AO247" t="s">
        <v>53</v>
      </c>
      <c r="AP247">
        <v>-21664</v>
      </c>
      <c r="AQ247">
        <v>0</v>
      </c>
      <c r="AR247" t="s">
        <v>54</v>
      </c>
      <c r="AS247" t="s">
        <v>55</v>
      </c>
      <c r="AT247" t="s">
        <v>55</v>
      </c>
      <c r="AU247" t="s">
        <v>85</v>
      </c>
      <c r="AV247">
        <v>968</v>
      </c>
      <c r="AW247" t="s">
        <v>57</v>
      </c>
      <c r="AX247" t="s">
        <v>55</v>
      </c>
      <c r="AY247" t="s">
        <v>114</v>
      </c>
      <c r="AZ247" t="s">
        <v>59</v>
      </c>
      <c r="BA247" t="s">
        <v>55</v>
      </c>
      <c r="BB247" t="s">
        <v>49</v>
      </c>
      <c r="BC247" t="s">
        <v>49</v>
      </c>
      <c r="BD247" t="s">
        <v>106</v>
      </c>
      <c r="BE247" t="s">
        <v>55</v>
      </c>
      <c r="BF247">
        <v>24</v>
      </c>
      <c r="BG247" t="s">
        <v>60</v>
      </c>
      <c r="BH247" t="s">
        <v>61</v>
      </c>
      <c r="BI247" t="s">
        <v>62</v>
      </c>
      <c r="BJ247" t="s">
        <v>63</v>
      </c>
      <c r="BK247">
        <v>2005</v>
      </c>
      <c r="BT247">
        <f t="shared" si="22"/>
        <v>0</v>
      </c>
    </row>
    <row r="248" spans="1:72" x14ac:dyDescent="0.2">
      <c r="A248" s="19" t="s">
        <v>307</v>
      </c>
      <c r="B248" s="1">
        <v>354</v>
      </c>
      <c r="C248">
        <v>1</v>
      </c>
      <c r="D248" t="s">
        <v>48</v>
      </c>
      <c r="E248" s="2" t="s">
        <v>49</v>
      </c>
      <c r="F248">
        <v>354</v>
      </c>
      <c r="G248">
        <v>354</v>
      </c>
      <c r="H248" s="2">
        <v>280</v>
      </c>
      <c r="I248" s="3">
        <v>280</v>
      </c>
      <c r="J248">
        <f>280-25</f>
        <v>255</v>
      </c>
      <c r="Q248" t="s">
        <v>96</v>
      </c>
      <c r="W248">
        <v>8</v>
      </c>
      <c r="X248">
        <v>24</v>
      </c>
      <c r="AM248">
        <v>63</v>
      </c>
      <c r="AN248" t="s">
        <v>52</v>
      </c>
      <c r="AO248" t="s">
        <v>53</v>
      </c>
      <c r="AP248">
        <v>-23276</v>
      </c>
      <c r="AQ248">
        <v>0</v>
      </c>
      <c r="AR248" t="s">
        <v>54</v>
      </c>
      <c r="AS248" t="s">
        <v>55</v>
      </c>
      <c r="AT248" t="s">
        <v>55</v>
      </c>
      <c r="AU248" t="s">
        <v>161</v>
      </c>
      <c r="AV248">
        <v>970</v>
      </c>
      <c r="AW248" t="s">
        <v>57</v>
      </c>
      <c r="AX248" t="s">
        <v>55</v>
      </c>
      <c r="AY248" t="s">
        <v>114</v>
      </c>
      <c r="AZ248" t="s">
        <v>59</v>
      </c>
      <c r="BA248" t="s">
        <v>55</v>
      </c>
      <c r="BB248" t="s">
        <v>49</v>
      </c>
      <c r="BC248" t="s">
        <v>49</v>
      </c>
      <c r="BD248" t="s">
        <v>106</v>
      </c>
      <c r="BE248" t="s">
        <v>55</v>
      </c>
      <c r="BF248">
        <v>24</v>
      </c>
      <c r="BG248" t="s">
        <v>60</v>
      </c>
      <c r="BH248" t="s">
        <v>82</v>
      </c>
      <c r="BI248" t="s">
        <v>62</v>
      </c>
      <c r="BJ248" t="s">
        <v>63</v>
      </c>
      <c r="BK248">
        <v>2005</v>
      </c>
      <c r="BL248">
        <v>1</v>
      </c>
      <c r="BR248">
        <f>I248-BS248</f>
        <v>-34</v>
      </c>
      <c r="BS248">
        <v>314</v>
      </c>
      <c r="BT248">
        <f t="shared" si="22"/>
        <v>1</v>
      </c>
    </row>
    <row r="249" spans="1:72" x14ac:dyDescent="0.2">
      <c r="A249" s="19" t="s">
        <v>308</v>
      </c>
      <c r="B249" s="1">
        <v>663</v>
      </c>
      <c r="C249">
        <v>1</v>
      </c>
      <c r="D249" t="s">
        <v>48</v>
      </c>
      <c r="E249" s="2" t="s">
        <v>49</v>
      </c>
      <c r="F249">
        <v>663</v>
      </c>
      <c r="G249">
        <v>663</v>
      </c>
      <c r="H249" s="2" t="s">
        <v>49</v>
      </c>
      <c r="I249" s="3" t="s">
        <v>50</v>
      </c>
      <c r="J249" s="4" t="s">
        <v>50</v>
      </c>
      <c r="K249" s="7" t="s">
        <v>50</v>
      </c>
      <c r="L249" s="5"/>
      <c r="P249" t="s">
        <v>800</v>
      </c>
      <c r="Q249" s="4" t="s">
        <v>51</v>
      </c>
      <c r="R249" s="7" t="s">
        <v>75</v>
      </c>
      <c r="S249" s="5" t="s">
        <v>65</v>
      </c>
      <c r="T249" t="s">
        <v>309</v>
      </c>
      <c r="W249">
        <v>8</v>
      </c>
      <c r="X249">
        <v>16</v>
      </c>
      <c r="Y249" s="4" t="str">
        <f>J249</f>
        <v>cannot assess</v>
      </c>
      <c r="Z249" s="4">
        <v>1</v>
      </c>
      <c r="AE249" s="5" t="s">
        <v>50</v>
      </c>
      <c r="AF249" s="5">
        <v>1</v>
      </c>
      <c r="AI249" s="7" t="str">
        <f>K249</f>
        <v>cannot assess</v>
      </c>
      <c r="AJ249" s="7">
        <v>1</v>
      </c>
      <c r="AK249" s="8"/>
      <c r="AL249" s="8"/>
      <c r="AM249">
        <v>58</v>
      </c>
      <c r="AN249" t="s">
        <v>52</v>
      </c>
      <c r="AO249" t="s">
        <v>53</v>
      </c>
      <c r="AP249">
        <v>-21417</v>
      </c>
      <c r="AQ249">
        <v>0</v>
      </c>
      <c r="AR249" t="s">
        <v>54</v>
      </c>
      <c r="AS249" t="s">
        <v>55</v>
      </c>
      <c r="AT249" t="s">
        <v>55</v>
      </c>
      <c r="AU249" t="s">
        <v>85</v>
      </c>
      <c r="AV249">
        <v>975</v>
      </c>
      <c r="AW249" t="s">
        <v>57</v>
      </c>
      <c r="AX249" t="s">
        <v>55</v>
      </c>
      <c r="AY249" t="s">
        <v>114</v>
      </c>
      <c r="AZ249" t="s">
        <v>59</v>
      </c>
      <c r="BA249" t="s">
        <v>55</v>
      </c>
      <c r="BB249" t="s">
        <v>49</v>
      </c>
      <c r="BC249" t="s">
        <v>49</v>
      </c>
      <c r="BD249" t="s">
        <v>49</v>
      </c>
      <c r="BE249" t="s">
        <v>55</v>
      </c>
      <c r="BF249">
        <v>24</v>
      </c>
      <c r="BG249" t="s">
        <v>60</v>
      </c>
      <c r="BH249" t="s">
        <v>61</v>
      </c>
      <c r="BI249" t="s">
        <v>62</v>
      </c>
      <c r="BJ249" t="s">
        <v>63</v>
      </c>
      <c r="BK249">
        <v>2004</v>
      </c>
      <c r="BT249">
        <f t="shared" si="22"/>
        <v>0</v>
      </c>
    </row>
    <row r="250" spans="1:72" x14ac:dyDescent="0.2">
      <c r="A250" s="19" t="s">
        <v>310</v>
      </c>
      <c r="B250" s="1">
        <v>1264</v>
      </c>
      <c r="C250">
        <v>1</v>
      </c>
      <c r="D250" t="s">
        <v>48</v>
      </c>
      <c r="E250" s="2" t="s">
        <v>49</v>
      </c>
      <c r="F250">
        <v>1264</v>
      </c>
      <c r="G250">
        <v>1264</v>
      </c>
      <c r="H250" s="2">
        <v>428</v>
      </c>
      <c r="I250" s="3">
        <v>428</v>
      </c>
      <c r="J250" s="4">
        <f>428-15</f>
        <v>413</v>
      </c>
      <c r="P250" t="s">
        <v>780</v>
      </c>
      <c r="Q250" s="4" t="s">
        <v>51</v>
      </c>
      <c r="W250">
        <v>8</v>
      </c>
      <c r="X250">
        <v>16</v>
      </c>
      <c r="Y250" s="4">
        <f>J250</f>
        <v>413</v>
      </c>
      <c r="Z250" s="4">
        <v>1</v>
      </c>
      <c r="AM250">
        <v>53</v>
      </c>
      <c r="AN250" t="s">
        <v>52</v>
      </c>
      <c r="AO250" t="s">
        <v>53</v>
      </c>
      <c r="AP250">
        <v>-19594</v>
      </c>
      <c r="AQ250">
        <v>0</v>
      </c>
      <c r="AR250" t="s">
        <v>54</v>
      </c>
      <c r="AS250" t="s">
        <v>55</v>
      </c>
      <c r="AT250" t="s">
        <v>55</v>
      </c>
      <c r="AU250" t="s">
        <v>85</v>
      </c>
      <c r="AV250">
        <v>979</v>
      </c>
      <c r="AW250" t="s">
        <v>57</v>
      </c>
      <c r="AX250" t="s">
        <v>55</v>
      </c>
      <c r="AY250" t="s">
        <v>58</v>
      </c>
      <c r="AZ250" t="s">
        <v>59</v>
      </c>
      <c r="BA250" t="s">
        <v>55</v>
      </c>
      <c r="BB250" t="s">
        <v>49</v>
      </c>
      <c r="BC250" t="s">
        <v>49</v>
      </c>
      <c r="BD250" t="s">
        <v>106</v>
      </c>
      <c r="BE250" t="s">
        <v>55</v>
      </c>
      <c r="BF250">
        <v>24</v>
      </c>
      <c r="BG250" t="s">
        <v>60</v>
      </c>
      <c r="BH250" t="s">
        <v>82</v>
      </c>
      <c r="BI250" t="s">
        <v>83</v>
      </c>
      <c r="BJ250" t="s">
        <v>63</v>
      </c>
      <c r="BK250">
        <v>2003</v>
      </c>
      <c r="BL250">
        <v>1</v>
      </c>
      <c r="BR250">
        <f t="shared" ref="BR250:BR255" si="23">I250-BS250</f>
        <v>244</v>
      </c>
      <c r="BS250">
        <v>184</v>
      </c>
      <c r="BT250">
        <f t="shared" si="22"/>
        <v>1</v>
      </c>
    </row>
    <row r="251" spans="1:72" x14ac:dyDescent="0.2">
      <c r="A251" s="19" t="s">
        <v>311</v>
      </c>
      <c r="B251" s="1">
        <v>233</v>
      </c>
      <c r="C251">
        <v>1</v>
      </c>
      <c r="D251" t="s">
        <v>48</v>
      </c>
      <c r="E251" s="2" t="s">
        <v>49</v>
      </c>
      <c r="F251">
        <v>233</v>
      </c>
      <c r="G251">
        <v>233</v>
      </c>
      <c r="H251" s="2">
        <v>145</v>
      </c>
      <c r="I251" s="3">
        <v>145</v>
      </c>
      <c r="J251" s="4">
        <f>145-77</f>
        <v>68</v>
      </c>
      <c r="Q251" s="4" t="s">
        <v>51</v>
      </c>
      <c r="W251">
        <v>4</v>
      </c>
      <c r="X251">
        <v>8</v>
      </c>
      <c r="Y251" s="4">
        <f>J251</f>
        <v>68</v>
      </c>
      <c r="Z251" s="4">
        <v>1</v>
      </c>
      <c r="AM251">
        <v>53</v>
      </c>
      <c r="AN251" t="s">
        <v>52</v>
      </c>
      <c r="AO251" t="s">
        <v>53</v>
      </c>
      <c r="AP251">
        <v>-19578</v>
      </c>
      <c r="AQ251">
        <v>0</v>
      </c>
      <c r="AR251" t="s">
        <v>54</v>
      </c>
      <c r="AS251" t="s">
        <v>55</v>
      </c>
      <c r="AT251" t="s">
        <v>55</v>
      </c>
      <c r="AU251" t="s">
        <v>85</v>
      </c>
      <c r="AV251">
        <v>980</v>
      </c>
      <c r="AW251" t="s">
        <v>57</v>
      </c>
      <c r="AX251" t="s">
        <v>55</v>
      </c>
      <c r="AY251" t="s">
        <v>81</v>
      </c>
      <c r="AZ251" t="s">
        <v>59</v>
      </c>
      <c r="BA251" t="s">
        <v>55</v>
      </c>
      <c r="BB251" t="s">
        <v>49</v>
      </c>
      <c r="BC251" t="s">
        <v>49</v>
      </c>
      <c r="BD251" t="s">
        <v>49</v>
      </c>
      <c r="BE251" t="s">
        <v>55</v>
      </c>
      <c r="BF251">
        <v>24</v>
      </c>
      <c r="BG251" t="s">
        <v>60</v>
      </c>
      <c r="BH251" t="s">
        <v>82</v>
      </c>
      <c r="BI251" t="s">
        <v>62</v>
      </c>
      <c r="BJ251" t="s">
        <v>63</v>
      </c>
      <c r="BK251">
        <v>2003</v>
      </c>
      <c r="BL251">
        <v>1</v>
      </c>
      <c r="BR251">
        <f t="shared" si="23"/>
        <v>-33</v>
      </c>
      <c r="BS251">
        <v>178</v>
      </c>
      <c r="BT251">
        <f t="shared" si="22"/>
        <v>1</v>
      </c>
    </row>
    <row r="252" spans="1:72" x14ac:dyDescent="0.2">
      <c r="A252" s="19" t="s">
        <v>312</v>
      </c>
      <c r="B252" s="1">
        <v>679</v>
      </c>
      <c r="C252">
        <v>1</v>
      </c>
      <c r="D252" t="s">
        <v>48</v>
      </c>
      <c r="E252" s="2" t="s">
        <v>49</v>
      </c>
      <c r="F252">
        <v>679</v>
      </c>
      <c r="G252">
        <v>679</v>
      </c>
      <c r="H252" s="2">
        <v>152</v>
      </c>
      <c r="I252" s="3">
        <v>152</v>
      </c>
      <c r="J252" s="4">
        <f>152-13</f>
        <v>139</v>
      </c>
      <c r="K252">
        <v>91</v>
      </c>
      <c r="L252">
        <v>146</v>
      </c>
      <c r="M252" s="4">
        <v>192</v>
      </c>
      <c r="Q252" s="4" t="s">
        <v>51</v>
      </c>
      <c r="R252" t="s">
        <v>309</v>
      </c>
      <c r="S252" t="s">
        <v>105</v>
      </c>
      <c r="T252" s="4" t="s">
        <v>51</v>
      </c>
      <c r="W252">
        <v>6</v>
      </c>
      <c r="X252">
        <v>12</v>
      </c>
      <c r="Y252" s="4">
        <f>J252+M252</f>
        <v>331</v>
      </c>
      <c r="Z252" s="4">
        <v>1</v>
      </c>
      <c r="AM252">
        <v>77</v>
      </c>
      <c r="AN252" t="s">
        <v>52</v>
      </c>
      <c r="AO252" t="s">
        <v>53</v>
      </c>
      <c r="AP252">
        <v>-28201</v>
      </c>
      <c r="AQ252">
        <v>0</v>
      </c>
      <c r="AR252" t="s">
        <v>54</v>
      </c>
      <c r="AS252" t="s">
        <v>55</v>
      </c>
      <c r="AT252" t="s">
        <v>55</v>
      </c>
      <c r="AU252" t="s">
        <v>85</v>
      </c>
      <c r="AV252">
        <v>982</v>
      </c>
      <c r="AW252" t="s">
        <v>57</v>
      </c>
      <c r="AX252" t="s">
        <v>55</v>
      </c>
      <c r="AY252" t="s">
        <v>58</v>
      </c>
      <c r="AZ252" t="s">
        <v>59</v>
      </c>
      <c r="BA252" t="s">
        <v>55</v>
      </c>
      <c r="BB252" t="s">
        <v>49</v>
      </c>
      <c r="BC252" t="s">
        <v>49</v>
      </c>
      <c r="BD252" t="s">
        <v>66</v>
      </c>
      <c r="BE252" t="s">
        <v>55</v>
      </c>
      <c r="BF252">
        <v>24</v>
      </c>
      <c r="BG252" t="s">
        <v>60</v>
      </c>
      <c r="BH252" t="s">
        <v>61</v>
      </c>
      <c r="BI252" t="s">
        <v>62</v>
      </c>
      <c r="BJ252" t="s">
        <v>63</v>
      </c>
      <c r="BK252">
        <v>2003</v>
      </c>
      <c r="BL252">
        <v>1</v>
      </c>
      <c r="BM252">
        <v>1</v>
      </c>
      <c r="BN252">
        <v>1</v>
      </c>
      <c r="BO252">
        <v>1</v>
      </c>
      <c r="BR252">
        <f t="shared" si="23"/>
        <v>28</v>
      </c>
      <c r="BS252">
        <v>124</v>
      </c>
      <c r="BT252">
        <f t="shared" si="22"/>
        <v>4</v>
      </c>
    </row>
    <row r="253" spans="1:72" x14ac:dyDescent="0.2">
      <c r="A253" s="19" t="s">
        <v>313</v>
      </c>
      <c r="B253" s="1">
        <v>1645</v>
      </c>
      <c r="C253">
        <v>1</v>
      </c>
      <c r="D253" t="s">
        <v>48</v>
      </c>
      <c r="E253" s="2" t="s">
        <v>49</v>
      </c>
      <c r="F253" t="s">
        <v>876</v>
      </c>
      <c r="G253">
        <v>1645</v>
      </c>
      <c r="H253" s="2">
        <v>677</v>
      </c>
      <c r="I253" s="3">
        <v>677</v>
      </c>
      <c r="J253" s="4">
        <f>677-13</f>
        <v>664</v>
      </c>
      <c r="K253">
        <v>322</v>
      </c>
      <c r="L253" s="4">
        <v>609</v>
      </c>
      <c r="M253" s="4">
        <v>21</v>
      </c>
      <c r="Q253" s="4" t="s">
        <v>51</v>
      </c>
      <c r="R253" t="s">
        <v>309</v>
      </c>
      <c r="S253" s="4" t="s">
        <v>51</v>
      </c>
      <c r="T253" s="4" t="s">
        <v>51</v>
      </c>
      <c r="W253">
        <v>6</v>
      </c>
      <c r="X253">
        <v>12</v>
      </c>
      <c r="Y253" s="4">
        <f>SUM(J253,L253,M253)</f>
        <v>1294</v>
      </c>
      <c r="Z253" s="4">
        <v>1</v>
      </c>
      <c r="AM253">
        <v>50</v>
      </c>
      <c r="AN253" t="s">
        <v>52</v>
      </c>
      <c r="AO253" t="s">
        <v>53</v>
      </c>
      <c r="AP253">
        <v>-18583</v>
      </c>
      <c r="AQ253">
        <v>0</v>
      </c>
      <c r="AR253" t="s">
        <v>54</v>
      </c>
      <c r="AS253" t="s">
        <v>55</v>
      </c>
      <c r="AT253" t="s">
        <v>55</v>
      </c>
      <c r="AU253" t="s">
        <v>56</v>
      </c>
      <c r="AV253">
        <v>1103</v>
      </c>
      <c r="AW253" t="s">
        <v>57</v>
      </c>
      <c r="AX253" t="s">
        <v>55</v>
      </c>
      <c r="AY253" t="s">
        <v>58</v>
      </c>
      <c r="AZ253" t="s">
        <v>111</v>
      </c>
      <c r="BA253" t="s">
        <v>55</v>
      </c>
      <c r="BB253" t="s">
        <v>49</v>
      </c>
      <c r="BC253" t="s">
        <v>49</v>
      </c>
      <c r="BD253" t="s">
        <v>106</v>
      </c>
      <c r="BE253" t="s">
        <v>55</v>
      </c>
      <c r="BF253">
        <v>24</v>
      </c>
      <c r="BG253" t="s">
        <v>60</v>
      </c>
      <c r="BH253" t="s">
        <v>61</v>
      </c>
      <c r="BI253" t="s">
        <v>62</v>
      </c>
      <c r="BJ253" t="s">
        <v>63</v>
      </c>
      <c r="BK253">
        <v>2001</v>
      </c>
      <c r="BL253">
        <v>1</v>
      </c>
      <c r="BM253">
        <v>1</v>
      </c>
      <c r="BN253">
        <v>1</v>
      </c>
      <c r="BO253">
        <v>1</v>
      </c>
      <c r="BR253">
        <f t="shared" si="23"/>
        <v>550</v>
      </c>
      <c r="BS253">
        <v>127</v>
      </c>
      <c r="BT253">
        <f t="shared" si="22"/>
        <v>4</v>
      </c>
    </row>
    <row r="254" spans="1:72" x14ac:dyDescent="0.2">
      <c r="A254" s="19" t="s">
        <v>314</v>
      </c>
      <c r="B254" s="1">
        <v>1933</v>
      </c>
      <c r="C254">
        <v>1</v>
      </c>
      <c r="D254" t="s">
        <v>48</v>
      </c>
      <c r="E254" s="2" t="s">
        <v>49</v>
      </c>
      <c r="F254">
        <v>1933</v>
      </c>
      <c r="G254">
        <v>1933</v>
      </c>
      <c r="H254" s="2">
        <v>958</v>
      </c>
      <c r="I254" s="3">
        <v>958</v>
      </c>
      <c r="J254" s="4">
        <f>958-30</f>
        <v>928</v>
      </c>
      <c r="K254" s="4">
        <v>526</v>
      </c>
      <c r="L254" s="5">
        <v>332</v>
      </c>
      <c r="M254" s="6">
        <v>75</v>
      </c>
      <c r="Q254" s="4" t="s">
        <v>51</v>
      </c>
      <c r="R254" s="4" t="s">
        <v>51</v>
      </c>
      <c r="S254" s="5" t="s">
        <v>65</v>
      </c>
      <c r="T254" s="6" t="s">
        <v>74</v>
      </c>
      <c r="W254">
        <v>6</v>
      </c>
      <c r="X254">
        <v>12</v>
      </c>
      <c r="Y254" s="4">
        <f>J254+K254</f>
        <v>1454</v>
      </c>
      <c r="Z254" s="4">
        <v>1</v>
      </c>
      <c r="AC254" s="6">
        <f>M254</f>
        <v>75</v>
      </c>
      <c r="AD254" s="6">
        <v>1</v>
      </c>
      <c r="AE254" s="5">
        <f>L254</f>
        <v>332</v>
      </c>
      <c r="AF254" s="5">
        <v>1</v>
      </c>
      <c r="AM254">
        <v>56</v>
      </c>
      <c r="AN254" t="s">
        <v>101</v>
      </c>
      <c r="AO254" t="s">
        <v>53</v>
      </c>
      <c r="AP254">
        <v>-20527</v>
      </c>
      <c r="AQ254">
        <v>0</v>
      </c>
      <c r="AR254" t="s">
        <v>54</v>
      </c>
      <c r="AS254" t="s">
        <v>55</v>
      </c>
      <c r="AT254" t="s">
        <v>55</v>
      </c>
      <c r="AU254" t="s">
        <v>85</v>
      </c>
      <c r="AV254">
        <v>1104</v>
      </c>
      <c r="AW254" t="s">
        <v>57</v>
      </c>
      <c r="AX254" t="s">
        <v>55</v>
      </c>
      <c r="AY254" t="s">
        <v>58</v>
      </c>
      <c r="AZ254" t="s">
        <v>59</v>
      </c>
      <c r="BA254" t="s">
        <v>55</v>
      </c>
      <c r="BB254" t="s">
        <v>49</v>
      </c>
      <c r="BC254" t="s">
        <v>49</v>
      </c>
      <c r="BD254" t="s">
        <v>66</v>
      </c>
      <c r="BE254" t="s">
        <v>55</v>
      </c>
      <c r="BF254">
        <v>24</v>
      </c>
      <c r="BG254" t="s">
        <v>60</v>
      </c>
      <c r="BH254" t="s">
        <v>82</v>
      </c>
      <c r="BI254" t="s">
        <v>83</v>
      </c>
      <c r="BJ254" t="s">
        <v>63</v>
      </c>
      <c r="BK254">
        <v>2001</v>
      </c>
      <c r="BL254">
        <v>1</v>
      </c>
      <c r="BM254">
        <v>1</v>
      </c>
      <c r="BN254">
        <v>1</v>
      </c>
      <c r="BO254">
        <v>1</v>
      </c>
      <c r="BR254">
        <f t="shared" si="23"/>
        <v>784</v>
      </c>
      <c r="BS254">
        <v>174</v>
      </c>
      <c r="BT254">
        <f t="shared" si="22"/>
        <v>4</v>
      </c>
    </row>
    <row r="255" spans="1:72" x14ac:dyDescent="0.2">
      <c r="A255" s="19" t="s">
        <v>315</v>
      </c>
      <c r="B255" s="1">
        <v>1442</v>
      </c>
      <c r="C255">
        <v>1</v>
      </c>
      <c r="D255" t="s">
        <v>48</v>
      </c>
      <c r="E255" s="2" t="s">
        <v>49</v>
      </c>
      <c r="F255">
        <v>1442</v>
      </c>
      <c r="G255">
        <v>1442</v>
      </c>
      <c r="H255" s="2">
        <v>470</v>
      </c>
      <c r="I255" s="3">
        <v>470</v>
      </c>
      <c r="J255" s="4">
        <f>470-25</f>
        <v>445</v>
      </c>
      <c r="K255" s="4">
        <v>238</v>
      </c>
      <c r="L255">
        <v>280</v>
      </c>
      <c r="M255">
        <v>126</v>
      </c>
      <c r="N255" s="8">
        <v>98</v>
      </c>
      <c r="O255" s="21">
        <f>1442-1368</f>
        <v>74</v>
      </c>
      <c r="Q255" s="4" t="s">
        <v>51</v>
      </c>
      <c r="R255" s="4" t="s">
        <v>51</v>
      </c>
      <c r="S255" t="s">
        <v>309</v>
      </c>
      <c r="T255" t="s">
        <v>105</v>
      </c>
      <c r="U255" s="8" t="s">
        <v>264</v>
      </c>
      <c r="V255" s="21" t="s">
        <v>87</v>
      </c>
      <c r="W255" s="8">
        <v>6</v>
      </c>
      <c r="X255" s="8">
        <v>12</v>
      </c>
      <c r="Y255" s="4">
        <f>J255+K255</f>
        <v>683</v>
      </c>
      <c r="Z255" s="4">
        <v>1</v>
      </c>
      <c r="AA255" s="8"/>
      <c r="AB255" s="8"/>
      <c r="AK255" s="21">
        <f>O255</f>
        <v>74</v>
      </c>
      <c r="AL255" s="21">
        <v>1</v>
      </c>
      <c r="AM255">
        <v>36</v>
      </c>
      <c r="AN255" t="s">
        <v>52</v>
      </c>
      <c r="AO255" t="s">
        <v>53</v>
      </c>
      <c r="AP255">
        <v>-13187</v>
      </c>
      <c r="AQ255">
        <v>0</v>
      </c>
      <c r="AR255" t="s">
        <v>54</v>
      </c>
      <c r="AS255" t="s">
        <v>55</v>
      </c>
      <c r="AT255" t="s">
        <v>55</v>
      </c>
      <c r="AU255" t="s">
        <v>85</v>
      </c>
      <c r="AV255">
        <v>1105</v>
      </c>
      <c r="AW255" t="s">
        <v>57</v>
      </c>
      <c r="AX255" t="s">
        <v>55</v>
      </c>
      <c r="AY255" t="s">
        <v>58</v>
      </c>
      <c r="AZ255" t="s">
        <v>59</v>
      </c>
      <c r="BA255" t="s">
        <v>55</v>
      </c>
      <c r="BB255" t="s">
        <v>49</v>
      </c>
      <c r="BC255" t="s">
        <v>49</v>
      </c>
      <c r="BD255" t="s">
        <v>106</v>
      </c>
      <c r="BE255" t="s">
        <v>55</v>
      </c>
      <c r="BF255">
        <v>24</v>
      </c>
      <c r="BG255" t="s">
        <v>60</v>
      </c>
      <c r="BH255" t="s">
        <v>61</v>
      </c>
      <c r="BI255" t="s">
        <v>62</v>
      </c>
      <c r="BJ255" t="s">
        <v>63</v>
      </c>
      <c r="BK255">
        <v>2001</v>
      </c>
      <c r="BL255">
        <v>1</v>
      </c>
      <c r="BM255">
        <v>1</v>
      </c>
      <c r="BN255">
        <v>1</v>
      </c>
      <c r="BO255">
        <v>1</v>
      </c>
      <c r="BP255">
        <v>1</v>
      </c>
      <c r="BQ255">
        <v>1</v>
      </c>
      <c r="BR255">
        <f t="shared" si="23"/>
        <v>292</v>
      </c>
      <c r="BS255">
        <v>178</v>
      </c>
      <c r="BT255">
        <f t="shared" si="22"/>
        <v>6</v>
      </c>
    </row>
    <row r="256" spans="1:72" x14ac:dyDescent="0.2">
      <c r="A256" s="19" t="s">
        <v>316</v>
      </c>
      <c r="B256" s="1">
        <v>192</v>
      </c>
      <c r="C256">
        <v>0</v>
      </c>
      <c r="D256" t="s">
        <v>68</v>
      </c>
      <c r="E256" s="2" t="s">
        <v>49</v>
      </c>
      <c r="F256" t="s">
        <v>49</v>
      </c>
      <c r="G256">
        <v>192</v>
      </c>
      <c r="H256" s="2" t="s">
        <v>49</v>
      </c>
      <c r="I256" s="3" t="s">
        <v>69</v>
      </c>
      <c r="J256" s="4">
        <f>192-34</f>
        <v>158</v>
      </c>
      <c r="Q256" s="4" t="s">
        <v>51</v>
      </c>
      <c r="W256" s="8">
        <v>6</v>
      </c>
      <c r="X256" s="8">
        <v>12</v>
      </c>
      <c r="Y256" s="4">
        <f>J256</f>
        <v>158</v>
      </c>
      <c r="Z256" s="4">
        <v>0</v>
      </c>
      <c r="AM256">
        <v>51</v>
      </c>
      <c r="AN256" t="s">
        <v>52</v>
      </c>
      <c r="AO256" t="s">
        <v>53</v>
      </c>
      <c r="AP256">
        <v>-18845</v>
      </c>
      <c r="AQ256">
        <v>0</v>
      </c>
      <c r="AR256" t="s">
        <v>54</v>
      </c>
      <c r="AS256" t="s">
        <v>55</v>
      </c>
      <c r="AT256" t="s">
        <v>55</v>
      </c>
      <c r="AU256" t="s">
        <v>56</v>
      </c>
      <c r="AV256">
        <v>1413</v>
      </c>
      <c r="AW256" t="s">
        <v>70</v>
      </c>
      <c r="AX256" t="s">
        <v>55</v>
      </c>
      <c r="AY256" t="s">
        <v>58</v>
      </c>
      <c r="AZ256" t="s">
        <v>59</v>
      </c>
      <c r="BA256" t="s">
        <v>55</v>
      </c>
      <c r="BB256" t="s">
        <v>49</v>
      </c>
      <c r="BC256" t="s">
        <v>49</v>
      </c>
      <c r="BD256" t="s">
        <v>49</v>
      </c>
      <c r="BE256" t="s">
        <v>55</v>
      </c>
      <c r="BF256">
        <v>24</v>
      </c>
      <c r="BG256" t="s">
        <v>60</v>
      </c>
      <c r="BH256" t="s">
        <v>61</v>
      </c>
      <c r="BI256" t="s">
        <v>62</v>
      </c>
      <c r="BJ256" t="s">
        <v>63</v>
      </c>
      <c r="BK256">
        <v>2008</v>
      </c>
      <c r="BL256">
        <v>0</v>
      </c>
      <c r="BR256">
        <f>B256-BS256</f>
        <v>47</v>
      </c>
      <c r="BS256">
        <v>145</v>
      </c>
      <c r="BT256">
        <f t="shared" si="22"/>
        <v>1</v>
      </c>
    </row>
    <row r="257" spans="1:72" x14ac:dyDescent="0.2">
      <c r="A257" s="19" t="s">
        <v>317</v>
      </c>
      <c r="B257" s="1">
        <v>194</v>
      </c>
      <c r="C257">
        <v>0</v>
      </c>
      <c r="D257" t="s">
        <v>68</v>
      </c>
      <c r="E257" s="2" t="s">
        <v>49</v>
      </c>
      <c r="F257" t="s">
        <v>49</v>
      </c>
      <c r="G257">
        <v>194</v>
      </c>
      <c r="H257" s="2" t="s">
        <v>49</v>
      </c>
      <c r="I257" s="3" t="s">
        <v>69</v>
      </c>
      <c r="J257" s="4">
        <v>178</v>
      </c>
      <c r="Q257" s="4" t="s">
        <v>51</v>
      </c>
      <c r="W257" s="8">
        <v>8</v>
      </c>
      <c r="X257" s="8">
        <v>16</v>
      </c>
      <c r="Y257" s="4">
        <f>J257</f>
        <v>178</v>
      </c>
      <c r="Z257" s="4">
        <v>0</v>
      </c>
      <c r="AM257">
        <v>34</v>
      </c>
      <c r="AN257" t="s">
        <v>52</v>
      </c>
      <c r="AO257" t="s">
        <v>53</v>
      </c>
      <c r="AP257">
        <v>-12772</v>
      </c>
      <c r="AQ257">
        <v>0</v>
      </c>
      <c r="AR257" t="s">
        <v>54</v>
      </c>
      <c r="AS257" t="s">
        <v>55</v>
      </c>
      <c r="AT257" t="s">
        <v>55</v>
      </c>
      <c r="AU257" t="s">
        <v>56</v>
      </c>
      <c r="AV257">
        <v>1416</v>
      </c>
      <c r="AW257" t="s">
        <v>70</v>
      </c>
      <c r="AX257" t="s">
        <v>55</v>
      </c>
      <c r="AY257" t="s">
        <v>58</v>
      </c>
      <c r="AZ257" t="s">
        <v>59</v>
      </c>
      <c r="BA257" t="s">
        <v>55</v>
      </c>
      <c r="BB257" t="s">
        <v>49</v>
      </c>
      <c r="BC257" t="s">
        <v>49</v>
      </c>
      <c r="BD257" t="s">
        <v>49</v>
      </c>
      <c r="BE257" t="s">
        <v>55</v>
      </c>
      <c r="BF257">
        <v>24</v>
      </c>
      <c r="BG257" t="s">
        <v>60</v>
      </c>
      <c r="BH257" t="s">
        <v>61</v>
      </c>
      <c r="BI257" t="s">
        <v>83</v>
      </c>
      <c r="BJ257" t="s">
        <v>63</v>
      </c>
      <c r="BK257">
        <v>2008</v>
      </c>
      <c r="BL257">
        <v>0</v>
      </c>
      <c r="BR257">
        <f>B257-BS257</f>
        <v>24</v>
      </c>
      <c r="BS257">
        <v>170</v>
      </c>
      <c r="BT257">
        <f t="shared" si="22"/>
        <v>1</v>
      </c>
    </row>
    <row r="258" spans="1:72" x14ac:dyDescent="0.2">
      <c r="A258" s="19" t="s">
        <v>318</v>
      </c>
      <c r="B258" s="1">
        <v>238</v>
      </c>
      <c r="C258">
        <v>0</v>
      </c>
      <c r="D258" t="s">
        <v>68</v>
      </c>
      <c r="E258" s="2" t="s">
        <v>49</v>
      </c>
      <c r="F258" t="s">
        <v>49</v>
      </c>
      <c r="G258">
        <v>238</v>
      </c>
      <c r="H258" s="2" t="s">
        <v>49</v>
      </c>
      <c r="I258" s="3" t="s">
        <v>69</v>
      </c>
      <c r="J258" s="4">
        <v>213</v>
      </c>
      <c r="Q258" s="4" t="s">
        <v>51</v>
      </c>
      <c r="W258" s="8">
        <v>8</v>
      </c>
      <c r="X258" s="8">
        <v>16</v>
      </c>
      <c r="Y258" s="4">
        <f>J258</f>
        <v>213</v>
      </c>
      <c r="Z258" s="4">
        <v>0</v>
      </c>
      <c r="AM258">
        <v>54</v>
      </c>
      <c r="AN258" t="s">
        <v>101</v>
      </c>
      <c r="AO258" t="s">
        <v>53</v>
      </c>
      <c r="AP258">
        <v>-19775</v>
      </c>
      <c r="AQ258">
        <v>0</v>
      </c>
      <c r="AR258" t="s">
        <v>54</v>
      </c>
      <c r="AS258" t="s">
        <v>55</v>
      </c>
      <c r="AT258" t="s">
        <v>55</v>
      </c>
      <c r="AU258" t="s">
        <v>56</v>
      </c>
      <c r="AV258">
        <v>1417</v>
      </c>
      <c r="AW258" t="s">
        <v>70</v>
      </c>
      <c r="AX258" t="s">
        <v>55</v>
      </c>
      <c r="AY258" t="s">
        <v>58</v>
      </c>
      <c r="AZ258" t="s">
        <v>59</v>
      </c>
      <c r="BA258" t="s">
        <v>55</v>
      </c>
      <c r="BB258" t="s">
        <v>49</v>
      </c>
      <c r="BC258" t="s">
        <v>49</v>
      </c>
      <c r="BD258" t="s">
        <v>49</v>
      </c>
      <c r="BE258" t="s">
        <v>55</v>
      </c>
      <c r="BF258">
        <v>24</v>
      </c>
      <c r="BG258" t="s">
        <v>60</v>
      </c>
      <c r="BH258" t="s">
        <v>61</v>
      </c>
      <c r="BI258" t="s">
        <v>83</v>
      </c>
      <c r="BJ258" t="s">
        <v>63</v>
      </c>
      <c r="BK258">
        <v>2008</v>
      </c>
      <c r="BL258">
        <v>0</v>
      </c>
      <c r="BR258">
        <f>B258-BS258</f>
        <v>82</v>
      </c>
      <c r="BS258">
        <v>156</v>
      </c>
      <c r="BT258">
        <f t="shared" si="22"/>
        <v>1</v>
      </c>
    </row>
    <row r="259" spans="1:72" x14ac:dyDescent="0.2">
      <c r="A259" s="19" t="s">
        <v>319</v>
      </c>
      <c r="B259" s="1">
        <v>243</v>
      </c>
      <c r="C259">
        <v>0</v>
      </c>
      <c r="D259" t="s">
        <v>68</v>
      </c>
      <c r="E259" s="2" t="s">
        <v>49</v>
      </c>
      <c r="F259" t="s">
        <v>49</v>
      </c>
      <c r="G259">
        <v>243</v>
      </c>
      <c r="H259" s="2" t="s">
        <v>49</v>
      </c>
      <c r="I259" s="3" t="s">
        <v>69</v>
      </c>
      <c r="J259" s="4">
        <v>220</v>
      </c>
      <c r="P259" t="s">
        <v>801</v>
      </c>
      <c r="Q259" s="4" t="s">
        <v>51</v>
      </c>
      <c r="W259" s="8">
        <v>6</v>
      </c>
      <c r="X259" s="8">
        <v>12</v>
      </c>
      <c r="Y259" s="4">
        <f>J259</f>
        <v>220</v>
      </c>
      <c r="Z259" s="4">
        <v>0</v>
      </c>
      <c r="AM259">
        <v>68</v>
      </c>
      <c r="AN259" t="s">
        <v>52</v>
      </c>
      <c r="AO259" t="s">
        <v>53</v>
      </c>
      <c r="AP259">
        <v>-24842</v>
      </c>
      <c r="AQ259">
        <v>0</v>
      </c>
      <c r="AR259" t="s">
        <v>54</v>
      </c>
      <c r="AS259" t="s">
        <v>55</v>
      </c>
      <c r="AT259" t="s">
        <v>55</v>
      </c>
      <c r="AU259" t="s">
        <v>161</v>
      </c>
      <c r="AV259">
        <v>1418</v>
      </c>
      <c r="AW259" t="s">
        <v>70</v>
      </c>
      <c r="AX259" t="s">
        <v>55</v>
      </c>
      <c r="AY259" t="s">
        <v>58</v>
      </c>
      <c r="AZ259" t="s">
        <v>59</v>
      </c>
      <c r="BA259" t="s">
        <v>55</v>
      </c>
      <c r="BB259" t="s">
        <v>49</v>
      </c>
      <c r="BC259" t="s">
        <v>49</v>
      </c>
      <c r="BD259" t="s">
        <v>49</v>
      </c>
      <c r="BE259" t="s">
        <v>53</v>
      </c>
      <c r="BF259">
        <v>24</v>
      </c>
      <c r="BG259" t="s">
        <v>60</v>
      </c>
      <c r="BH259" t="s">
        <v>82</v>
      </c>
      <c r="BI259" t="s">
        <v>62</v>
      </c>
      <c r="BJ259" t="s">
        <v>63</v>
      </c>
      <c r="BK259">
        <v>2008</v>
      </c>
      <c r="BL259">
        <v>0</v>
      </c>
      <c r="BR259">
        <f>B259-BS259</f>
        <v>82</v>
      </c>
      <c r="BS259">
        <v>161</v>
      </c>
      <c r="BT259">
        <f t="shared" si="22"/>
        <v>1</v>
      </c>
    </row>
    <row r="260" spans="1:72" x14ac:dyDescent="0.2">
      <c r="A260" s="19" t="s">
        <v>320</v>
      </c>
      <c r="B260" s="1">
        <v>239</v>
      </c>
      <c r="C260">
        <v>0</v>
      </c>
      <c r="D260" t="s">
        <v>68</v>
      </c>
      <c r="E260" s="2" t="s">
        <v>49</v>
      </c>
      <c r="F260" t="s">
        <v>49</v>
      </c>
      <c r="G260">
        <v>239</v>
      </c>
      <c r="H260" s="2" t="s">
        <v>49</v>
      </c>
      <c r="I260" s="3" t="s">
        <v>69</v>
      </c>
      <c r="J260" s="4">
        <v>222</v>
      </c>
      <c r="Q260" s="4" t="s">
        <v>51</v>
      </c>
      <c r="W260" s="8">
        <v>8</v>
      </c>
      <c r="X260" s="8">
        <v>14</v>
      </c>
      <c r="Y260" s="4">
        <f>J260</f>
        <v>222</v>
      </c>
      <c r="Z260" s="4">
        <v>0</v>
      </c>
      <c r="AM260">
        <v>62</v>
      </c>
      <c r="AN260" t="s">
        <v>52</v>
      </c>
      <c r="AO260" t="s">
        <v>53</v>
      </c>
      <c r="AP260">
        <v>-22659</v>
      </c>
      <c r="AQ260">
        <v>0</v>
      </c>
      <c r="AR260" t="s">
        <v>54</v>
      </c>
      <c r="AS260" t="s">
        <v>55</v>
      </c>
      <c r="AT260" t="s">
        <v>55</v>
      </c>
      <c r="AU260" t="s">
        <v>56</v>
      </c>
      <c r="AV260">
        <v>1419</v>
      </c>
      <c r="AW260" t="s">
        <v>70</v>
      </c>
      <c r="AX260" t="s">
        <v>55</v>
      </c>
      <c r="AY260" t="s">
        <v>58</v>
      </c>
      <c r="AZ260" t="s">
        <v>59</v>
      </c>
      <c r="BA260" t="s">
        <v>55</v>
      </c>
      <c r="BB260" t="s">
        <v>49</v>
      </c>
      <c r="BC260" t="s">
        <v>49</v>
      </c>
      <c r="BD260" t="s">
        <v>49</v>
      </c>
      <c r="BE260" t="s">
        <v>55</v>
      </c>
      <c r="BF260">
        <v>24</v>
      </c>
      <c r="BG260" t="s">
        <v>60</v>
      </c>
      <c r="BH260" t="s">
        <v>142</v>
      </c>
      <c r="BI260" t="s">
        <v>62</v>
      </c>
      <c r="BJ260" t="s">
        <v>63</v>
      </c>
      <c r="BK260">
        <v>2008</v>
      </c>
      <c r="BL260">
        <v>0</v>
      </c>
      <c r="BR260">
        <f>B260-BS260</f>
        <v>108</v>
      </c>
      <c r="BS260">
        <v>131</v>
      </c>
      <c r="BT260">
        <f t="shared" si="22"/>
        <v>1</v>
      </c>
    </row>
    <row r="261" spans="1:72" x14ac:dyDescent="0.2">
      <c r="A261" s="19" t="s">
        <v>321</v>
      </c>
      <c r="B261" s="1">
        <v>23</v>
      </c>
      <c r="C261">
        <v>1</v>
      </c>
      <c r="D261" t="s">
        <v>48</v>
      </c>
      <c r="E261" s="2" t="s">
        <v>49</v>
      </c>
      <c r="F261">
        <v>23</v>
      </c>
      <c r="G261">
        <v>23</v>
      </c>
      <c r="H261" s="2" t="s">
        <v>49</v>
      </c>
      <c r="I261" s="3">
        <v>23</v>
      </c>
      <c r="P261" t="s">
        <v>802</v>
      </c>
      <c r="Q261" t="s">
        <v>50</v>
      </c>
      <c r="AM261">
        <v>82</v>
      </c>
      <c r="AN261" t="s">
        <v>52</v>
      </c>
      <c r="AO261" t="s">
        <v>55</v>
      </c>
      <c r="AP261">
        <v>-30233</v>
      </c>
      <c r="AQ261">
        <v>0</v>
      </c>
      <c r="AR261" t="s">
        <v>54</v>
      </c>
      <c r="AS261" t="s">
        <v>55</v>
      </c>
      <c r="AT261" t="s">
        <v>55</v>
      </c>
      <c r="AU261" t="s">
        <v>56</v>
      </c>
      <c r="AV261">
        <v>1422</v>
      </c>
      <c r="AW261" t="s">
        <v>49</v>
      </c>
      <c r="AX261" t="s">
        <v>55</v>
      </c>
      <c r="AY261" t="s">
        <v>49</v>
      </c>
      <c r="AZ261" t="s">
        <v>111</v>
      </c>
      <c r="BA261" t="s">
        <v>55</v>
      </c>
      <c r="BB261" t="s">
        <v>49</v>
      </c>
      <c r="BC261" t="s">
        <v>49</v>
      </c>
      <c r="BD261" t="s">
        <v>49</v>
      </c>
      <c r="BE261" t="s">
        <v>55</v>
      </c>
      <c r="BF261">
        <v>24</v>
      </c>
      <c r="BG261" t="s">
        <v>60</v>
      </c>
      <c r="BH261" t="s">
        <v>61</v>
      </c>
      <c r="BI261" t="s">
        <v>62</v>
      </c>
      <c r="BJ261" t="s">
        <v>63</v>
      </c>
      <c r="BK261">
        <v>2008</v>
      </c>
      <c r="BT261">
        <f t="shared" si="22"/>
        <v>0</v>
      </c>
    </row>
    <row r="262" spans="1:72" x14ac:dyDescent="0.2">
      <c r="A262" s="19" t="s">
        <v>322</v>
      </c>
      <c r="B262" s="1">
        <v>190</v>
      </c>
      <c r="C262">
        <v>0</v>
      </c>
      <c r="D262" t="s">
        <v>68</v>
      </c>
      <c r="E262" s="2" t="s">
        <v>49</v>
      </c>
      <c r="F262" t="s">
        <v>49</v>
      </c>
      <c r="G262">
        <v>190</v>
      </c>
      <c r="H262" s="2" t="s">
        <v>49</v>
      </c>
      <c r="I262" s="3" t="s">
        <v>69</v>
      </c>
      <c r="J262" s="4">
        <v>169</v>
      </c>
      <c r="Q262" s="4" t="s">
        <v>51</v>
      </c>
      <c r="W262">
        <v>7</v>
      </c>
      <c r="X262">
        <v>21</v>
      </c>
      <c r="Y262" s="4">
        <f t="shared" ref="Y262:Y267" si="24">J262</f>
        <v>169</v>
      </c>
      <c r="Z262" s="4">
        <v>0</v>
      </c>
      <c r="AM262">
        <v>61</v>
      </c>
      <c r="AN262" t="s">
        <v>52</v>
      </c>
      <c r="AO262" t="s">
        <v>53</v>
      </c>
      <c r="AP262">
        <v>-22281</v>
      </c>
      <c r="AQ262">
        <v>0</v>
      </c>
      <c r="AR262" t="s">
        <v>54</v>
      </c>
      <c r="AS262" t="s">
        <v>55</v>
      </c>
      <c r="AT262" t="s">
        <v>55</v>
      </c>
      <c r="AU262" t="s">
        <v>56</v>
      </c>
      <c r="AV262">
        <v>1423</v>
      </c>
      <c r="AW262" t="s">
        <v>70</v>
      </c>
      <c r="AX262" t="s">
        <v>55</v>
      </c>
      <c r="AY262" t="s">
        <v>58</v>
      </c>
      <c r="AZ262" t="s">
        <v>59</v>
      </c>
      <c r="BA262" t="s">
        <v>55</v>
      </c>
      <c r="BB262" t="s">
        <v>49</v>
      </c>
      <c r="BC262" t="s">
        <v>49</v>
      </c>
      <c r="BD262" t="s">
        <v>49</v>
      </c>
      <c r="BE262" t="s">
        <v>55</v>
      </c>
      <c r="BF262">
        <v>24</v>
      </c>
      <c r="BG262" t="s">
        <v>60</v>
      </c>
      <c r="BH262" t="s">
        <v>61</v>
      </c>
      <c r="BI262" t="s">
        <v>62</v>
      </c>
      <c r="BJ262" t="s">
        <v>63</v>
      </c>
      <c r="BK262">
        <v>2008</v>
      </c>
      <c r="BL262">
        <v>0</v>
      </c>
      <c r="BR262">
        <f>B262-BS262</f>
        <v>39</v>
      </c>
      <c r="BS262">
        <v>151</v>
      </c>
      <c r="BT262">
        <f t="shared" si="22"/>
        <v>1</v>
      </c>
    </row>
    <row r="263" spans="1:72" x14ac:dyDescent="0.2">
      <c r="A263" s="19" t="s">
        <v>323</v>
      </c>
      <c r="B263" s="1">
        <v>183</v>
      </c>
      <c r="C263">
        <v>0</v>
      </c>
      <c r="D263" t="s">
        <v>68</v>
      </c>
      <c r="E263" s="2" t="s">
        <v>49</v>
      </c>
      <c r="F263" t="s">
        <v>49</v>
      </c>
      <c r="G263">
        <v>183</v>
      </c>
      <c r="H263" s="2" t="s">
        <v>49</v>
      </c>
      <c r="I263" s="3" t="s">
        <v>69</v>
      </c>
      <c r="J263" s="4">
        <v>175</v>
      </c>
      <c r="Q263" s="4" t="s">
        <v>51</v>
      </c>
      <c r="W263">
        <v>6</v>
      </c>
      <c r="X263">
        <v>12</v>
      </c>
      <c r="Y263" s="4">
        <f t="shared" si="24"/>
        <v>175</v>
      </c>
      <c r="Z263" s="4">
        <v>0</v>
      </c>
      <c r="AM263">
        <v>67</v>
      </c>
      <c r="AN263" t="s">
        <v>52</v>
      </c>
      <c r="AO263" t="s">
        <v>53</v>
      </c>
      <c r="AP263">
        <v>-24545</v>
      </c>
      <c r="AQ263">
        <v>0</v>
      </c>
      <c r="AR263" t="s">
        <v>54</v>
      </c>
      <c r="AS263" t="s">
        <v>55</v>
      </c>
      <c r="AT263" t="s">
        <v>55</v>
      </c>
      <c r="AU263" t="s">
        <v>56</v>
      </c>
      <c r="AV263">
        <v>1424</v>
      </c>
      <c r="AW263" t="s">
        <v>70</v>
      </c>
      <c r="AX263" t="s">
        <v>55</v>
      </c>
      <c r="AY263" t="s">
        <v>58</v>
      </c>
      <c r="AZ263" t="s">
        <v>59</v>
      </c>
      <c r="BA263" t="s">
        <v>55</v>
      </c>
      <c r="BB263" t="s">
        <v>49</v>
      </c>
      <c r="BC263" t="s">
        <v>49</v>
      </c>
      <c r="BD263" t="s">
        <v>49</v>
      </c>
      <c r="BE263" t="s">
        <v>55</v>
      </c>
      <c r="BF263">
        <v>24</v>
      </c>
      <c r="BG263" t="s">
        <v>60</v>
      </c>
      <c r="BH263" t="s">
        <v>61</v>
      </c>
      <c r="BI263" t="s">
        <v>62</v>
      </c>
      <c r="BJ263" t="s">
        <v>63</v>
      </c>
      <c r="BK263">
        <v>2008</v>
      </c>
      <c r="BL263">
        <v>0</v>
      </c>
      <c r="BR263">
        <f>B263-BS263</f>
        <v>63</v>
      </c>
      <c r="BS263">
        <v>120</v>
      </c>
      <c r="BT263">
        <f t="shared" si="22"/>
        <v>1</v>
      </c>
    </row>
    <row r="264" spans="1:72" x14ac:dyDescent="0.2">
      <c r="A264" s="19" t="s">
        <v>324</v>
      </c>
      <c r="B264" s="1">
        <v>181</v>
      </c>
      <c r="C264">
        <v>0</v>
      </c>
      <c r="D264" t="s">
        <v>68</v>
      </c>
      <c r="E264" s="2" t="s">
        <v>49</v>
      </c>
      <c r="F264" t="s">
        <v>49</v>
      </c>
      <c r="G264">
        <v>181</v>
      </c>
      <c r="H264" s="2" t="s">
        <v>49</v>
      </c>
      <c r="I264" s="3" t="s">
        <v>69</v>
      </c>
      <c r="J264" s="4">
        <v>154</v>
      </c>
      <c r="Q264" s="4" t="s">
        <v>51</v>
      </c>
      <c r="W264">
        <v>6</v>
      </c>
      <c r="X264">
        <v>12</v>
      </c>
      <c r="Y264" s="4">
        <f t="shared" si="24"/>
        <v>154</v>
      </c>
      <c r="Z264" s="4">
        <v>0</v>
      </c>
      <c r="AM264">
        <v>45</v>
      </c>
      <c r="AN264" t="s">
        <v>52</v>
      </c>
      <c r="AO264" t="s">
        <v>53</v>
      </c>
      <c r="AP264">
        <v>-16763</v>
      </c>
      <c r="AQ264">
        <v>0</v>
      </c>
      <c r="AR264" t="s">
        <v>54</v>
      </c>
      <c r="AS264" t="s">
        <v>55</v>
      </c>
      <c r="AT264" t="s">
        <v>55</v>
      </c>
      <c r="AU264" t="s">
        <v>56</v>
      </c>
      <c r="AV264">
        <v>1425</v>
      </c>
      <c r="AW264" t="s">
        <v>70</v>
      </c>
      <c r="AX264" t="s">
        <v>55</v>
      </c>
      <c r="AY264" t="s">
        <v>58</v>
      </c>
      <c r="AZ264" t="s">
        <v>59</v>
      </c>
      <c r="BA264" t="s">
        <v>55</v>
      </c>
      <c r="BB264" t="s">
        <v>49</v>
      </c>
      <c r="BC264" t="s">
        <v>49</v>
      </c>
      <c r="BD264" t="s">
        <v>49</v>
      </c>
      <c r="BE264" t="s">
        <v>55</v>
      </c>
      <c r="BF264">
        <v>24</v>
      </c>
      <c r="BG264" t="s">
        <v>60</v>
      </c>
      <c r="BH264" t="s">
        <v>61</v>
      </c>
      <c r="BI264" t="s">
        <v>62</v>
      </c>
      <c r="BJ264" t="s">
        <v>63</v>
      </c>
      <c r="BK264">
        <v>2008</v>
      </c>
      <c r="BL264">
        <v>0</v>
      </c>
      <c r="BR264">
        <f>B264-BS264</f>
        <v>36</v>
      </c>
      <c r="BS264">
        <v>145</v>
      </c>
      <c r="BT264">
        <f t="shared" si="22"/>
        <v>1</v>
      </c>
    </row>
    <row r="265" spans="1:72" x14ac:dyDescent="0.2">
      <c r="A265" s="19" t="s">
        <v>325</v>
      </c>
      <c r="B265" s="1">
        <v>163</v>
      </c>
      <c r="C265">
        <v>0</v>
      </c>
      <c r="D265" t="s">
        <v>68</v>
      </c>
      <c r="E265" s="2" t="s">
        <v>49</v>
      </c>
      <c r="F265" t="s">
        <v>49</v>
      </c>
      <c r="G265">
        <v>163</v>
      </c>
      <c r="H265" s="2" t="s">
        <v>49</v>
      </c>
      <c r="I265" s="3" t="s">
        <v>69</v>
      </c>
      <c r="J265" s="4">
        <v>163</v>
      </c>
      <c r="Q265" s="4" t="s">
        <v>51</v>
      </c>
      <c r="W265">
        <v>6</v>
      </c>
      <c r="X265">
        <v>12</v>
      </c>
      <c r="Y265" s="4">
        <f t="shared" si="24"/>
        <v>163</v>
      </c>
      <c r="Z265" s="4">
        <v>0</v>
      </c>
      <c r="AM265">
        <v>43</v>
      </c>
      <c r="AN265" t="s">
        <v>52</v>
      </c>
      <c r="AO265" t="s">
        <v>53</v>
      </c>
      <c r="AP265">
        <v>-15948</v>
      </c>
      <c r="AQ265">
        <v>0</v>
      </c>
      <c r="AR265" t="s">
        <v>54</v>
      </c>
      <c r="AS265" t="s">
        <v>55</v>
      </c>
      <c r="AT265" t="s">
        <v>55</v>
      </c>
      <c r="AU265" t="s">
        <v>56</v>
      </c>
      <c r="AV265">
        <v>1426</v>
      </c>
      <c r="AW265" t="s">
        <v>70</v>
      </c>
      <c r="AX265" t="s">
        <v>55</v>
      </c>
      <c r="AY265" t="s">
        <v>58</v>
      </c>
      <c r="AZ265" t="s">
        <v>59</v>
      </c>
      <c r="BA265" t="s">
        <v>55</v>
      </c>
      <c r="BB265" t="s">
        <v>49</v>
      </c>
      <c r="BC265" t="s">
        <v>49</v>
      </c>
      <c r="BD265" t="s">
        <v>49</v>
      </c>
      <c r="BE265" t="s">
        <v>55</v>
      </c>
      <c r="BF265">
        <v>24</v>
      </c>
      <c r="BG265" t="s">
        <v>60</v>
      </c>
      <c r="BH265" t="s">
        <v>61</v>
      </c>
      <c r="BI265" t="s">
        <v>62</v>
      </c>
      <c r="BJ265" t="s">
        <v>63</v>
      </c>
      <c r="BK265">
        <v>2008</v>
      </c>
      <c r="BL265">
        <v>0</v>
      </c>
      <c r="BR265">
        <f>B265-BS265</f>
        <v>21</v>
      </c>
      <c r="BS265">
        <v>142</v>
      </c>
      <c r="BT265">
        <f t="shared" si="22"/>
        <v>1</v>
      </c>
    </row>
    <row r="266" spans="1:72" x14ac:dyDescent="0.2">
      <c r="A266" s="19" t="s">
        <v>326</v>
      </c>
      <c r="B266" s="1">
        <v>146</v>
      </c>
      <c r="C266">
        <v>0</v>
      </c>
      <c r="D266" t="s">
        <v>68</v>
      </c>
      <c r="E266" s="2" t="s">
        <v>49</v>
      </c>
      <c r="F266" t="s">
        <v>49</v>
      </c>
      <c r="G266">
        <v>146</v>
      </c>
      <c r="H266" s="2" t="s">
        <v>49</v>
      </c>
      <c r="I266" s="3" t="s">
        <v>69</v>
      </c>
      <c r="J266" s="4">
        <v>132</v>
      </c>
      <c r="Q266" s="4" t="s">
        <v>51</v>
      </c>
      <c r="W266">
        <v>6</v>
      </c>
      <c r="X266">
        <v>12</v>
      </c>
      <c r="Y266" s="4">
        <f t="shared" si="24"/>
        <v>132</v>
      </c>
      <c r="Z266" s="4">
        <v>0</v>
      </c>
      <c r="AM266">
        <v>58</v>
      </c>
      <c r="AN266" t="s">
        <v>52</v>
      </c>
      <c r="AO266" t="s">
        <v>53</v>
      </c>
      <c r="AP266">
        <v>-21423</v>
      </c>
      <c r="AQ266">
        <v>0</v>
      </c>
      <c r="AR266" t="s">
        <v>54</v>
      </c>
      <c r="AS266" t="s">
        <v>55</v>
      </c>
      <c r="AT266" t="s">
        <v>55</v>
      </c>
      <c r="AU266" t="s">
        <v>56</v>
      </c>
      <c r="AV266">
        <v>1427</v>
      </c>
      <c r="AW266" t="s">
        <v>57</v>
      </c>
      <c r="AX266" t="s">
        <v>55</v>
      </c>
      <c r="AY266" t="s">
        <v>114</v>
      </c>
      <c r="AZ266" t="s">
        <v>49</v>
      </c>
      <c r="BA266" t="s">
        <v>55</v>
      </c>
      <c r="BB266" t="s">
        <v>49</v>
      </c>
      <c r="BC266" t="s">
        <v>49</v>
      </c>
      <c r="BD266" t="s">
        <v>49</v>
      </c>
      <c r="BE266" t="s">
        <v>55</v>
      </c>
      <c r="BF266">
        <v>24</v>
      </c>
      <c r="BG266" t="s">
        <v>60</v>
      </c>
      <c r="BH266" t="s">
        <v>82</v>
      </c>
      <c r="BI266" t="s">
        <v>62</v>
      </c>
      <c r="BJ266" t="s">
        <v>63</v>
      </c>
      <c r="BK266">
        <v>2008</v>
      </c>
      <c r="BL266">
        <v>0</v>
      </c>
      <c r="BR266">
        <f>B266-BS266</f>
        <v>0</v>
      </c>
      <c r="BS266">
        <v>146</v>
      </c>
      <c r="BT266">
        <f t="shared" si="22"/>
        <v>1</v>
      </c>
    </row>
    <row r="267" spans="1:72" x14ac:dyDescent="0.2">
      <c r="A267" s="19" t="s">
        <v>327</v>
      </c>
      <c r="B267" s="1">
        <v>528</v>
      </c>
      <c r="C267">
        <v>0</v>
      </c>
      <c r="D267" t="s">
        <v>68</v>
      </c>
      <c r="E267" s="2" t="s">
        <v>49</v>
      </c>
      <c r="F267" t="s">
        <v>49</v>
      </c>
      <c r="G267">
        <v>528</v>
      </c>
      <c r="H267" s="2">
        <v>448</v>
      </c>
      <c r="I267" s="3">
        <v>448</v>
      </c>
      <c r="J267" s="4">
        <f>448-42</f>
        <v>406</v>
      </c>
      <c r="K267" s="11">
        <v>73</v>
      </c>
      <c r="Q267" s="4" t="s">
        <v>51</v>
      </c>
      <c r="R267" s="11" t="s">
        <v>90</v>
      </c>
      <c r="W267">
        <v>6</v>
      </c>
      <c r="X267">
        <v>18</v>
      </c>
      <c r="Y267" s="4">
        <f t="shared" si="24"/>
        <v>406</v>
      </c>
      <c r="Z267" s="4">
        <v>1</v>
      </c>
      <c r="AA267" s="11">
        <f>K267</f>
        <v>73</v>
      </c>
      <c r="AB267" s="11">
        <v>0</v>
      </c>
      <c r="AM267">
        <v>50</v>
      </c>
      <c r="AN267" t="s">
        <v>101</v>
      </c>
      <c r="AO267" t="s">
        <v>53</v>
      </c>
      <c r="AP267">
        <v>-18306</v>
      </c>
      <c r="AQ267">
        <v>0</v>
      </c>
      <c r="AR267" t="s">
        <v>54</v>
      </c>
      <c r="AS267" t="s">
        <v>55</v>
      </c>
      <c r="AT267" t="s">
        <v>55</v>
      </c>
      <c r="AU267" t="s">
        <v>56</v>
      </c>
      <c r="AV267">
        <v>1428</v>
      </c>
      <c r="AW267" t="s">
        <v>57</v>
      </c>
      <c r="AX267" t="s">
        <v>55</v>
      </c>
      <c r="AY267" t="s">
        <v>58</v>
      </c>
      <c r="AZ267" t="s">
        <v>59</v>
      </c>
      <c r="BA267" t="s">
        <v>55</v>
      </c>
      <c r="BB267" t="s">
        <v>49</v>
      </c>
      <c r="BC267" t="s">
        <v>49</v>
      </c>
      <c r="BD267" t="s">
        <v>106</v>
      </c>
      <c r="BE267" t="s">
        <v>55</v>
      </c>
      <c r="BF267">
        <v>24</v>
      </c>
      <c r="BG267" t="s">
        <v>60</v>
      </c>
      <c r="BH267" t="s">
        <v>61</v>
      </c>
      <c r="BI267" t="s">
        <v>62</v>
      </c>
      <c r="BJ267" t="s">
        <v>63</v>
      </c>
      <c r="BK267">
        <v>2008</v>
      </c>
      <c r="BL267">
        <v>1</v>
      </c>
      <c r="BM267">
        <v>0</v>
      </c>
      <c r="BR267">
        <f t="shared" ref="BR267:BR276" si="25">I267-BS267</f>
        <v>319</v>
      </c>
      <c r="BS267">
        <v>129</v>
      </c>
      <c r="BT267">
        <f t="shared" si="22"/>
        <v>2</v>
      </c>
    </row>
    <row r="268" spans="1:72" x14ac:dyDescent="0.2">
      <c r="A268" s="19" t="s">
        <v>328</v>
      </c>
      <c r="B268" s="1">
        <v>862</v>
      </c>
      <c r="C268">
        <v>1</v>
      </c>
      <c r="D268" t="s">
        <v>48</v>
      </c>
      <c r="E268" s="2" t="s">
        <v>49</v>
      </c>
      <c r="F268">
        <v>862</v>
      </c>
      <c r="G268">
        <v>862</v>
      </c>
      <c r="H268" s="2">
        <v>448</v>
      </c>
      <c r="I268" s="3">
        <v>448</v>
      </c>
      <c r="J268" s="4">
        <f>448-21</f>
        <v>427</v>
      </c>
      <c r="K268" s="9">
        <v>105</v>
      </c>
      <c r="L268" s="5">
        <v>85</v>
      </c>
      <c r="M268" s="4">
        <v>151</v>
      </c>
      <c r="N268">
        <v>59</v>
      </c>
      <c r="P268" t="s">
        <v>826</v>
      </c>
      <c r="Q268" s="4" t="s">
        <v>51</v>
      </c>
      <c r="R268" s="9" t="s">
        <v>80</v>
      </c>
      <c r="S268" s="5" t="s">
        <v>65</v>
      </c>
      <c r="T268" s="4" t="s">
        <v>51</v>
      </c>
      <c r="U268" t="s">
        <v>105</v>
      </c>
      <c r="W268">
        <v>6</v>
      </c>
      <c r="X268">
        <v>12</v>
      </c>
      <c r="Y268" s="4">
        <f>J268+M268</f>
        <v>578</v>
      </c>
      <c r="Z268" s="4">
        <v>1</v>
      </c>
      <c r="AE268" s="5">
        <f>L268</f>
        <v>85</v>
      </c>
      <c r="AF268" s="5">
        <v>1</v>
      </c>
      <c r="AG268" s="9">
        <f>K268</f>
        <v>105</v>
      </c>
      <c r="AH268" s="9">
        <v>1</v>
      </c>
      <c r="AM268">
        <v>68</v>
      </c>
      <c r="AN268" t="s">
        <v>52</v>
      </c>
      <c r="AO268" t="s">
        <v>53</v>
      </c>
      <c r="AP268">
        <v>-24939</v>
      </c>
      <c r="AQ268">
        <v>0</v>
      </c>
      <c r="AR268" t="s">
        <v>54</v>
      </c>
      <c r="AS268" t="s">
        <v>55</v>
      </c>
      <c r="AT268" t="s">
        <v>55</v>
      </c>
      <c r="AU268" t="s">
        <v>56</v>
      </c>
      <c r="AV268">
        <v>1430</v>
      </c>
      <c r="AW268" t="s">
        <v>57</v>
      </c>
      <c r="AX268" t="s">
        <v>55</v>
      </c>
      <c r="AY268" t="s">
        <v>58</v>
      </c>
      <c r="AZ268" t="s">
        <v>59</v>
      </c>
      <c r="BA268" t="s">
        <v>55</v>
      </c>
      <c r="BB268" t="s">
        <v>49</v>
      </c>
      <c r="BC268" t="s">
        <v>49</v>
      </c>
      <c r="BD268" t="s">
        <v>106</v>
      </c>
      <c r="BE268" t="s">
        <v>55</v>
      </c>
      <c r="BF268">
        <v>24</v>
      </c>
      <c r="BG268" t="s">
        <v>60</v>
      </c>
      <c r="BH268" t="s">
        <v>82</v>
      </c>
      <c r="BI268" t="s">
        <v>62</v>
      </c>
      <c r="BJ268" t="s">
        <v>63</v>
      </c>
      <c r="BK268">
        <v>2000</v>
      </c>
      <c r="BL268">
        <v>1</v>
      </c>
      <c r="BM268">
        <v>1</v>
      </c>
      <c r="BN268">
        <v>1</v>
      </c>
      <c r="BO268">
        <v>1</v>
      </c>
      <c r="BP268">
        <v>1</v>
      </c>
      <c r="BR268">
        <f t="shared" si="25"/>
        <v>343</v>
      </c>
      <c r="BS268">
        <v>105</v>
      </c>
      <c r="BT268">
        <f t="shared" si="22"/>
        <v>5</v>
      </c>
    </row>
    <row r="269" spans="1:72" x14ac:dyDescent="0.2">
      <c r="A269" s="19" t="s">
        <v>329</v>
      </c>
      <c r="B269" s="1">
        <v>583</v>
      </c>
      <c r="C269">
        <v>1</v>
      </c>
      <c r="D269" t="s">
        <v>48</v>
      </c>
      <c r="E269" s="2" t="s">
        <v>49</v>
      </c>
      <c r="F269">
        <v>583</v>
      </c>
      <c r="G269">
        <v>583</v>
      </c>
      <c r="H269" s="2">
        <v>199</v>
      </c>
      <c r="I269" s="3">
        <v>199</v>
      </c>
      <c r="J269" s="4">
        <f>199-42</f>
        <v>157</v>
      </c>
      <c r="K269" s="9">
        <v>67</v>
      </c>
      <c r="L269" s="5">
        <v>254</v>
      </c>
      <c r="Q269" s="4" t="s">
        <v>51</v>
      </c>
      <c r="R269" s="9" t="s">
        <v>80</v>
      </c>
      <c r="S269" s="5" t="s">
        <v>65</v>
      </c>
      <c r="W269">
        <v>6</v>
      </c>
      <c r="X269">
        <v>12</v>
      </c>
      <c r="Y269" s="4">
        <f>J269</f>
        <v>157</v>
      </c>
      <c r="Z269" s="4">
        <v>1</v>
      </c>
      <c r="AE269" s="5">
        <f>L269</f>
        <v>254</v>
      </c>
      <c r="AF269" s="5">
        <v>1</v>
      </c>
      <c r="AG269" s="9">
        <f>K269</f>
        <v>67</v>
      </c>
      <c r="AH269" s="9">
        <v>1</v>
      </c>
      <c r="AM269">
        <v>67</v>
      </c>
      <c r="AN269" t="s">
        <v>52</v>
      </c>
      <c r="AO269" t="s">
        <v>53</v>
      </c>
      <c r="AP269">
        <v>-24757</v>
      </c>
      <c r="AQ269">
        <v>0</v>
      </c>
      <c r="AR269" t="s">
        <v>54</v>
      </c>
      <c r="AS269" t="s">
        <v>55</v>
      </c>
      <c r="AT269" t="s">
        <v>55</v>
      </c>
      <c r="AU269" t="s">
        <v>56</v>
      </c>
      <c r="AV269">
        <v>1431</v>
      </c>
      <c r="AW269" t="s">
        <v>57</v>
      </c>
      <c r="AX269" t="s">
        <v>55</v>
      </c>
      <c r="AY269" t="s">
        <v>49</v>
      </c>
      <c r="AZ269" t="s">
        <v>59</v>
      </c>
      <c r="BA269" t="s">
        <v>55</v>
      </c>
      <c r="BB269" t="s">
        <v>49</v>
      </c>
      <c r="BC269" t="s">
        <v>49</v>
      </c>
      <c r="BD269" t="s">
        <v>106</v>
      </c>
      <c r="BE269" t="s">
        <v>55</v>
      </c>
      <c r="BF269">
        <v>24</v>
      </c>
      <c r="BG269" t="s">
        <v>60</v>
      </c>
      <c r="BH269" t="s">
        <v>61</v>
      </c>
      <c r="BI269" t="s">
        <v>62</v>
      </c>
      <c r="BJ269" t="s">
        <v>63</v>
      </c>
      <c r="BK269">
        <v>1999</v>
      </c>
      <c r="BL269">
        <v>1</v>
      </c>
      <c r="BM269">
        <v>1</v>
      </c>
      <c r="BN269">
        <v>1</v>
      </c>
      <c r="BR269">
        <f t="shared" si="25"/>
        <v>52</v>
      </c>
      <c r="BS269">
        <v>147</v>
      </c>
      <c r="BT269">
        <f t="shared" si="22"/>
        <v>3</v>
      </c>
    </row>
    <row r="270" spans="1:72" x14ac:dyDescent="0.2">
      <c r="A270" s="19" t="s">
        <v>330</v>
      </c>
      <c r="B270" s="1">
        <v>568</v>
      </c>
      <c r="C270">
        <v>1</v>
      </c>
      <c r="D270" t="s">
        <v>48</v>
      </c>
      <c r="E270" s="2" t="s">
        <v>49</v>
      </c>
      <c r="F270">
        <v>568</v>
      </c>
      <c r="G270">
        <v>568</v>
      </c>
      <c r="H270" s="2">
        <v>337</v>
      </c>
      <c r="I270" s="3">
        <v>337</v>
      </c>
      <c r="J270">
        <f>337-61</f>
        <v>276</v>
      </c>
      <c r="K270" s="9">
        <v>62</v>
      </c>
      <c r="L270" s="5">
        <v>52</v>
      </c>
      <c r="M270">
        <v>101</v>
      </c>
      <c r="N270" s="6">
        <v>72</v>
      </c>
      <c r="Q270" t="s">
        <v>78</v>
      </c>
      <c r="R270" s="9" t="s">
        <v>80</v>
      </c>
      <c r="S270" s="5" t="s">
        <v>65</v>
      </c>
      <c r="T270" t="s">
        <v>98</v>
      </c>
      <c r="U270" s="6" t="s">
        <v>74</v>
      </c>
      <c r="W270">
        <v>8</v>
      </c>
      <c r="X270">
        <v>24</v>
      </c>
      <c r="AC270" s="6">
        <f>N270</f>
        <v>72</v>
      </c>
      <c r="AD270" s="6">
        <v>1</v>
      </c>
      <c r="AE270" s="5">
        <f>L270</f>
        <v>52</v>
      </c>
      <c r="AF270" s="5">
        <v>1</v>
      </c>
      <c r="AG270" s="9">
        <f>K270</f>
        <v>62</v>
      </c>
      <c r="AH270" s="9">
        <v>1</v>
      </c>
      <c r="AM270">
        <v>59</v>
      </c>
      <c r="AN270" t="s">
        <v>52</v>
      </c>
      <c r="AO270" t="s">
        <v>53</v>
      </c>
      <c r="AP270">
        <v>-21809</v>
      </c>
      <c r="AQ270">
        <v>0</v>
      </c>
      <c r="AR270" t="s">
        <v>54</v>
      </c>
      <c r="AS270" t="s">
        <v>55</v>
      </c>
      <c r="AT270" t="s">
        <v>55</v>
      </c>
      <c r="AU270" t="s">
        <v>56</v>
      </c>
      <c r="AV270">
        <v>1434</v>
      </c>
      <c r="AW270" t="s">
        <v>57</v>
      </c>
      <c r="AX270" t="s">
        <v>55</v>
      </c>
      <c r="AY270" t="s">
        <v>114</v>
      </c>
      <c r="AZ270" t="s">
        <v>59</v>
      </c>
      <c r="BA270" t="s">
        <v>55</v>
      </c>
      <c r="BB270" t="s">
        <v>49</v>
      </c>
      <c r="BC270" t="s">
        <v>49</v>
      </c>
      <c r="BD270" t="s">
        <v>106</v>
      </c>
      <c r="BE270" t="s">
        <v>55</v>
      </c>
      <c r="BF270">
        <v>24</v>
      </c>
      <c r="BG270" t="s">
        <v>60</v>
      </c>
      <c r="BH270" t="s">
        <v>61</v>
      </c>
      <c r="BI270" t="s">
        <v>62</v>
      </c>
      <c r="BJ270" t="s">
        <v>63</v>
      </c>
      <c r="BK270">
        <v>1999</v>
      </c>
      <c r="BL270">
        <v>1</v>
      </c>
      <c r="BM270">
        <v>1</v>
      </c>
      <c r="BN270">
        <v>1</v>
      </c>
      <c r="BO270">
        <v>1</v>
      </c>
      <c r="BP270">
        <v>1</v>
      </c>
      <c r="BR270">
        <f t="shared" si="25"/>
        <v>93</v>
      </c>
      <c r="BS270">
        <v>244</v>
      </c>
      <c r="BT270">
        <f t="shared" ref="BT270:BT333" si="26">COUNT(BL270:BQ270)</f>
        <v>5</v>
      </c>
    </row>
    <row r="271" spans="1:72" x14ac:dyDescent="0.2">
      <c r="A271" s="19" t="s">
        <v>331</v>
      </c>
      <c r="B271" s="1">
        <v>1324</v>
      </c>
      <c r="C271">
        <v>1</v>
      </c>
      <c r="D271" t="s">
        <v>48</v>
      </c>
      <c r="E271" s="2" t="s">
        <v>49</v>
      </c>
      <c r="F271">
        <v>1324</v>
      </c>
      <c r="G271">
        <v>1324</v>
      </c>
      <c r="H271" s="2">
        <v>505</v>
      </c>
      <c r="I271" s="3">
        <v>505</v>
      </c>
      <c r="J271" s="4">
        <f>505-27</f>
        <v>478</v>
      </c>
      <c r="K271" s="9">
        <v>303</v>
      </c>
      <c r="L271" s="11">
        <v>130</v>
      </c>
      <c r="M271" s="5">
        <v>114</v>
      </c>
      <c r="N271" s="6">
        <v>82</v>
      </c>
      <c r="O271" s="10">
        <v>119</v>
      </c>
      <c r="P271" s="10"/>
      <c r="Q271" s="4" t="s">
        <v>51</v>
      </c>
      <c r="R271" s="9" t="s">
        <v>80</v>
      </c>
      <c r="S271" s="11" t="s">
        <v>90</v>
      </c>
      <c r="T271" s="5" t="s">
        <v>65</v>
      </c>
      <c r="U271" s="6" t="s">
        <v>74</v>
      </c>
      <c r="V271" s="10" t="s">
        <v>87</v>
      </c>
      <c r="W271" s="8">
        <v>6</v>
      </c>
      <c r="X271" s="8">
        <v>12</v>
      </c>
      <c r="Y271" s="4">
        <f>J271</f>
        <v>478</v>
      </c>
      <c r="Z271" s="4">
        <v>1</v>
      </c>
      <c r="AA271" s="11">
        <f>L271</f>
        <v>130</v>
      </c>
      <c r="AB271" s="11">
        <v>1</v>
      </c>
      <c r="AC271" s="6">
        <f>N271</f>
        <v>82</v>
      </c>
      <c r="AD271" s="6">
        <v>1</v>
      </c>
      <c r="AE271" s="5">
        <f>M271</f>
        <v>114</v>
      </c>
      <c r="AF271" s="5">
        <v>1</v>
      </c>
      <c r="AG271" s="9">
        <f>K271</f>
        <v>303</v>
      </c>
      <c r="AH271" s="9">
        <v>1</v>
      </c>
      <c r="AK271" s="10">
        <f>O271</f>
        <v>119</v>
      </c>
      <c r="AL271" s="10">
        <v>1</v>
      </c>
      <c r="AM271">
        <v>57</v>
      </c>
      <c r="AN271" t="s">
        <v>52</v>
      </c>
      <c r="AO271" t="s">
        <v>53</v>
      </c>
      <c r="AP271">
        <v>-21107</v>
      </c>
      <c r="AQ271">
        <v>0</v>
      </c>
      <c r="AR271" t="s">
        <v>54</v>
      </c>
      <c r="AS271" t="s">
        <v>55</v>
      </c>
      <c r="AT271" t="s">
        <v>55</v>
      </c>
      <c r="AU271" t="s">
        <v>56</v>
      </c>
      <c r="AV271">
        <v>1435</v>
      </c>
      <c r="AW271" t="s">
        <v>57</v>
      </c>
      <c r="AX271" t="s">
        <v>55</v>
      </c>
      <c r="AY271" t="s">
        <v>58</v>
      </c>
      <c r="AZ271" t="s">
        <v>59</v>
      </c>
      <c r="BA271" t="s">
        <v>55</v>
      </c>
      <c r="BB271" t="s">
        <v>49</v>
      </c>
      <c r="BC271" t="s">
        <v>49</v>
      </c>
      <c r="BD271" t="s">
        <v>106</v>
      </c>
      <c r="BE271" t="s">
        <v>55</v>
      </c>
      <c r="BF271">
        <v>24</v>
      </c>
      <c r="BG271" t="s">
        <v>60</v>
      </c>
      <c r="BH271" t="s">
        <v>61</v>
      </c>
      <c r="BI271" t="s">
        <v>62</v>
      </c>
      <c r="BJ271" t="s">
        <v>63</v>
      </c>
      <c r="BK271">
        <v>1999</v>
      </c>
      <c r="BL271">
        <v>1</v>
      </c>
      <c r="BM271">
        <v>1</v>
      </c>
      <c r="BN271">
        <v>1</v>
      </c>
      <c r="BO271">
        <v>1</v>
      </c>
      <c r="BP271">
        <v>1</v>
      </c>
      <c r="BQ271">
        <v>1</v>
      </c>
      <c r="BR271">
        <f t="shared" si="25"/>
        <v>356</v>
      </c>
      <c r="BS271">
        <v>149</v>
      </c>
      <c r="BT271">
        <f t="shared" si="26"/>
        <v>6</v>
      </c>
    </row>
    <row r="272" spans="1:72" x14ac:dyDescent="0.2">
      <c r="A272" s="19" t="s">
        <v>332</v>
      </c>
      <c r="B272" s="1">
        <v>260</v>
      </c>
      <c r="C272">
        <v>1</v>
      </c>
      <c r="D272" t="s">
        <v>48</v>
      </c>
      <c r="E272" s="2" t="s">
        <v>49</v>
      </c>
      <c r="F272">
        <v>260</v>
      </c>
      <c r="G272">
        <v>260</v>
      </c>
      <c r="H272" s="2" t="s">
        <v>49</v>
      </c>
      <c r="I272" s="3">
        <v>156</v>
      </c>
      <c r="J272" s="4">
        <f>156-32</f>
        <v>124</v>
      </c>
      <c r="K272" s="9">
        <v>104</v>
      </c>
      <c r="Q272" s="4" t="s">
        <v>51</v>
      </c>
      <c r="R272" s="9" t="s">
        <v>80</v>
      </c>
      <c r="W272" s="8">
        <v>5</v>
      </c>
      <c r="X272" s="8">
        <v>10</v>
      </c>
      <c r="Y272" s="4">
        <f>J272</f>
        <v>124</v>
      </c>
      <c r="Z272" s="4">
        <v>1</v>
      </c>
      <c r="AG272" s="9">
        <f>K272</f>
        <v>104</v>
      </c>
      <c r="AH272" s="9">
        <v>1</v>
      </c>
      <c r="AM272">
        <v>57</v>
      </c>
      <c r="AN272" t="s">
        <v>126</v>
      </c>
      <c r="AO272" t="s">
        <v>53</v>
      </c>
      <c r="AP272">
        <v>-20881</v>
      </c>
      <c r="AQ272">
        <v>0</v>
      </c>
      <c r="AR272" t="s">
        <v>54</v>
      </c>
      <c r="AS272" t="s">
        <v>55</v>
      </c>
      <c r="AT272" t="s">
        <v>55</v>
      </c>
      <c r="AU272" t="s">
        <v>56</v>
      </c>
      <c r="AV272">
        <v>1436</v>
      </c>
      <c r="AW272" t="s">
        <v>57</v>
      </c>
      <c r="AX272" t="s">
        <v>55</v>
      </c>
      <c r="AY272" t="s">
        <v>114</v>
      </c>
      <c r="AZ272" t="s">
        <v>59</v>
      </c>
      <c r="BA272" t="s">
        <v>55</v>
      </c>
      <c r="BB272" t="s">
        <v>49</v>
      </c>
      <c r="BC272" t="s">
        <v>49</v>
      </c>
      <c r="BD272" t="s">
        <v>106</v>
      </c>
      <c r="BE272" t="s">
        <v>55</v>
      </c>
      <c r="BF272">
        <v>24</v>
      </c>
      <c r="BG272" t="s">
        <v>60</v>
      </c>
      <c r="BH272" t="s">
        <v>61</v>
      </c>
      <c r="BI272" t="s">
        <v>62</v>
      </c>
      <c r="BJ272" t="s">
        <v>63</v>
      </c>
      <c r="BK272">
        <v>1999</v>
      </c>
      <c r="BL272">
        <v>1</v>
      </c>
      <c r="BM272">
        <v>1</v>
      </c>
      <c r="BR272">
        <f t="shared" si="25"/>
        <v>22</v>
      </c>
      <c r="BS272">
        <v>134</v>
      </c>
      <c r="BT272">
        <f t="shared" si="26"/>
        <v>2</v>
      </c>
    </row>
    <row r="273" spans="1:72" x14ac:dyDescent="0.2">
      <c r="A273" s="19" t="s">
        <v>333</v>
      </c>
      <c r="B273" s="1">
        <v>2218</v>
      </c>
      <c r="C273">
        <v>1</v>
      </c>
      <c r="D273" t="s">
        <v>48</v>
      </c>
      <c r="E273" s="2" t="s">
        <v>49</v>
      </c>
      <c r="F273">
        <v>2218</v>
      </c>
      <c r="G273">
        <v>2218</v>
      </c>
      <c r="H273" s="2">
        <v>971</v>
      </c>
      <c r="I273" s="3">
        <v>971</v>
      </c>
      <c r="J273" s="4">
        <f>971-18</f>
        <v>953</v>
      </c>
      <c r="K273" s="4">
        <v>294</v>
      </c>
      <c r="L273">
        <v>195</v>
      </c>
      <c r="M273">
        <v>135</v>
      </c>
      <c r="N273" s="6">
        <v>142</v>
      </c>
      <c r="O273" s="11">
        <v>476</v>
      </c>
      <c r="P273" s="11"/>
      <c r="Q273" s="4" t="s">
        <v>51</v>
      </c>
      <c r="R273" s="4" t="s">
        <v>51</v>
      </c>
      <c r="S273" t="s">
        <v>309</v>
      </c>
      <c r="T273" t="s">
        <v>105</v>
      </c>
      <c r="U273" s="6" t="s">
        <v>74</v>
      </c>
      <c r="V273" s="11" t="s">
        <v>90</v>
      </c>
      <c r="W273" s="8">
        <v>6</v>
      </c>
      <c r="X273" s="8">
        <v>12</v>
      </c>
      <c r="Y273" s="4">
        <f>J273+K273</f>
        <v>1247</v>
      </c>
      <c r="Z273" s="4">
        <v>1</v>
      </c>
      <c r="AA273" s="11">
        <f>O273</f>
        <v>476</v>
      </c>
      <c r="AB273" s="11">
        <v>1</v>
      </c>
      <c r="AC273" s="6">
        <f>N273</f>
        <v>142</v>
      </c>
      <c r="AD273" s="6">
        <v>1</v>
      </c>
      <c r="AM273">
        <v>70</v>
      </c>
      <c r="AN273" t="s">
        <v>52</v>
      </c>
      <c r="AO273" t="s">
        <v>53</v>
      </c>
      <c r="AP273">
        <v>-25733</v>
      </c>
      <c r="AQ273">
        <v>0</v>
      </c>
      <c r="AR273" t="s">
        <v>54</v>
      </c>
      <c r="AS273" t="s">
        <v>55</v>
      </c>
      <c r="AT273" t="s">
        <v>55</v>
      </c>
      <c r="AU273" t="s">
        <v>56</v>
      </c>
      <c r="AV273">
        <v>1463</v>
      </c>
      <c r="AW273" t="s">
        <v>57</v>
      </c>
      <c r="AX273" t="s">
        <v>55</v>
      </c>
      <c r="AY273" t="s">
        <v>58</v>
      </c>
      <c r="AZ273" t="s">
        <v>59</v>
      </c>
      <c r="BA273" t="s">
        <v>55</v>
      </c>
      <c r="BB273" t="s">
        <v>49</v>
      </c>
      <c r="BC273" t="s">
        <v>49</v>
      </c>
      <c r="BD273" t="s">
        <v>106</v>
      </c>
      <c r="BE273" t="s">
        <v>55</v>
      </c>
      <c r="BF273">
        <v>24</v>
      </c>
      <c r="BG273" t="s">
        <v>60</v>
      </c>
      <c r="BH273" t="s">
        <v>82</v>
      </c>
      <c r="BI273" t="s">
        <v>62</v>
      </c>
      <c r="BJ273" t="s">
        <v>63</v>
      </c>
      <c r="BK273">
        <v>2000</v>
      </c>
      <c r="BL273">
        <v>1</v>
      </c>
      <c r="BM273">
        <v>1</v>
      </c>
      <c r="BN273">
        <v>1</v>
      </c>
      <c r="BO273">
        <v>1</v>
      </c>
      <c r="BP273">
        <v>1</v>
      </c>
      <c r="BQ273">
        <v>1</v>
      </c>
      <c r="BR273">
        <f t="shared" si="25"/>
        <v>848</v>
      </c>
      <c r="BS273">
        <v>123</v>
      </c>
      <c r="BT273">
        <f t="shared" si="26"/>
        <v>6</v>
      </c>
    </row>
    <row r="274" spans="1:72" x14ac:dyDescent="0.2">
      <c r="A274" s="19" t="s">
        <v>334</v>
      </c>
      <c r="B274" s="1">
        <v>379</v>
      </c>
      <c r="C274">
        <v>1</v>
      </c>
      <c r="D274" t="s">
        <v>48</v>
      </c>
      <c r="E274" s="2" t="s">
        <v>49</v>
      </c>
      <c r="F274">
        <v>379</v>
      </c>
      <c r="G274">
        <v>379</v>
      </c>
      <c r="H274" s="2">
        <v>323</v>
      </c>
      <c r="I274" s="3">
        <v>323</v>
      </c>
      <c r="J274" s="4">
        <f>323-38</f>
        <v>285</v>
      </c>
      <c r="K274" s="9">
        <v>37</v>
      </c>
      <c r="Q274" s="4" t="s">
        <v>51</v>
      </c>
      <c r="R274" s="9" t="s">
        <v>80</v>
      </c>
      <c r="W274" s="8">
        <v>7</v>
      </c>
      <c r="X274" s="8">
        <v>14</v>
      </c>
      <c r="Y274" s="4">
        <f>J274</f>
        <v>285</v>
      </c>
      <c r="Z274" s="4">
        <v>1</v>
      </c>
      <c r="AG274" s="9">
        <f>K274</f>
        <v>37</v>
      </c>
      <c r="AH274" s="9">
        <v>1</v>
      </c>
      <c r="AM274">
        <v>70</v>
      </c>
      <c r="AN274" t="s">
        <v>101</v>
      </c>
      <c r="AO274" t="s">
        <v>53</v>
      </c>
      <c r="AP274">
        <v>-25874</v>
      </c>
      <c r="AQ274">
        <v>0</v>
      </c>
      <c r="AR274" t="s">
        <v>54</v>
      </c>
      <c r="AS274" t="s">
        <v>55</v>
      </c>
      <c r="AT274" t="s">
        <v>55</v>
      </c>
      <c r="AU274" t="s">
        <v>56</v>
      </c>
      <c r="AV274">
        <v>1464</v>
      </c>
      <c r="AW274" t="s">
        <v>57</v>
      </c>
      <c r="AX274" t="s">
        <v>55</v>
      </c>
      <c r="AY274" t="s">
        <v>49</v>
      </c>
      <c r="AZ274" t="s">
        <v>59</v>
      </c>
      <c r="BA274" t="s">
        <v>55</v>
      </c>
      <c r="BB274" t="s">
        <v>49</v>
      </c>
      <c r="BC274" t="s">
        <v>49</v>
      </c>
      <c r="BD274" t="s">
        <v>106</v>
      </c>
      <c r="BE274" t="s">
        <v>55</v>
      </c>
      <c r="BF274">
        <v>24</v>
      </c>
      <c r="BG274" t="s">
        <v>60</v>
      </c>
      <c r="BH274" t="s">
        <v>82</v>
      </c>
      <c r="BI274" t="s">
        <v>62</v>
      </c>
      <c r="BJ274" t="s">
        <v>63</v>
      </c>
      <c r="BK274">
        <v>1998</v>
      </c>
      <c r="BL274">
        <v>1</v>
      </c>
      <c r="BM274">
        <v>1</v>
      </c>
      <c r="BR274">
        <f t="shared" si="25"/>
        <v>160</v>
      </c>
      <c r="BS274">
        <v>163</v>
      </c>
      <c r="BT274">
        <f t="shared" si="26"/>
        <v>2</v>
      </c>
    </row>
    <row r="275" spans="1:72" x14ac:dyDescent="0.2">
      <c r="A275" s="19" t="s">
        <v>335</v>
      </c>
      <c r="B275" s="1">
        <v>1373</v>
      </c>
      <c r="C275">
        <v>1</v>
      </c>
      <c r="D275" t="s">
        <v>48</v>
      </c>
      <c r="E275" s="2" t="s">
        <v>49</v>
      </c>
      <c r="F275">
        <v>1373</v>
      </c>
      <c r="G275">
        <v>1373</v>
      </c>
      <c r="H275" s="2">
        <v>491</v>
      </c>
      <c r="I275" s="3">
        <v>491</v>
      </c>
      <c r="J275" s="4">
        <f>491-12</f>
        <v>479</v>
      </c>
      <c r="K275" s="4">
        <v>397</v>
      </c>
      <c r="L275" s="4">
        <v>201</v>
      </c>
      <c r="M275" s="9">
        <v>292</v>
      </c>
      <c r="Q275" s="4" t="s">
        <v>51</v>
      </c>
      <c r="R275" s="4" t="s">
        <v>51</v>
      </c>
      <c r="S275" s="4" t="s">
        <v>51</v>
      </c>
      <c r="T275" s="9" t="s">
        <v>80</v>
      </c>
      <c r="W275" s="8">
        <v>6</v>
      </c>
      <c r="X275" s="8">
        <v>12</v>
      </c>
      <c r="Y275" s="4">
        <f>J275+K275+L275</f>
        <v>1077</v>
      </c>
      <c r="Z275" s="4">
        <v>1</v>
      </c>
      <c r="AG275" s="9">
        <f>M275</f>
        <v>292</v>
      </c>
      <c r="AH275" s="9">
        <v>1</v>
      </c>
      <c r="AM275">
        <v>74</v>
      </c>
      <c r="AN275" t="s">
        <v>52</v>
      </c>
      <c r="AO275" t="s">
        <v>53</v>
      </c>
      <c r="AP275">
        <v>-27307</v>
      </c>
      <c r="AQ275">
        <v>0</v>
      </c>
      <c r="AR275" t="s">
        <v>54</v>
      </c>
      <c r="AS275" t="s">
        <v>55</v>
      </c>
      <c r="AT275" t="s">
        <v>55</v>
      </c>
      <c r="AU275" t="s">
        <v>56</v>
      </c>
      <c r="AV275">
        <v>1466</v>
      </c>
      <c r="AW275" t="s">
        <v>57</v>
      </c>
      <c r="AX275" t="s">
        <v>55</v>
      </c>
      <c r="AY275" t="s">
        <v>58</v>
      </c>
      <c r="AZ275" t="s">
        <v>59</v>
      </c>
      <c r="BA275" t="s">
        <v>55</v>
      </c>
      <c r="BB275" t="s">
        <v>49</v>
      </c>
      <c r="BC275" t="s">
        <v>49</v>
      </c>
      <c r="BD275" t="s">
        <v>106</v>
      </c>
      <c r="BE275" t="s">
        <v>55</v>
      </c>
      <c r="BF275">
        <v>24</v>
      </c>
      <c r="BG275" t="s">
        <v>60</v>
      </c>
      <c r="BH275" t="s">
        <v>61</v>
      </c>
      <c r="BI275" t="s">
        <v>62</v>
      </c>
      <c r="BJ275" t="s">
        <v>63</v>
      </c>
      <c r="BK275">
        <v>1998</v>
      </c>
      <c r="BL275">
        <v>1</v>
      </c>
      <c r="BM275">
        <v>1</v>
      </c>
      <c r="BN275">
        <v>1</v>
      </c>
      <c r="BO275">
        <v>1</v>
      </c>
      <c r="BR275">
        <f t="shared" si="25"/>
        <v>346</v>
      </c>
      <c r="BS275">
        <v>145</v>
      </c>
      <c r="BT275">
        <f t="shared" si="26"/>
        <v>4</v>
      </c>
    </row>
    <row r="276" spans="1:72" x14ac:dyDescent="0.2">
      <c r="A276" s="19" t="s">
        <v>336</v>
      </c>
      <c r="B276" s="1">
        <v>3224</v>
      </c>
      <c r="C276">
        <v>1</v>
      </c>
      <c r="D276" t="s">
        <v>48</v>
      </c>
      <c r="E276" s="2" t="s">
        <v>49</v>
      </c>
      <c r="F276">
        <v>3224</v>
      </c>
      <c r="G276">
        <v>3224</v>
      </c>
      <c r="H276" s="2">
        <v>1252</v>
      </c>
      <c r="I276" s="3">
        <v>1252</v>
      </c>
      <c r="J276" s="4">
        <f>1252-6</f>
        <v>1246</v>
      </c>
      <c r="K276" s="4">
        <v>528</v>
      </c>
      <c r="L276" s="4">
        <v>491</v>
      </c>
      <c r="M276">
        <v>181</v>
      </c>
      <c r="N276" s="4">
        <v>85</v>
      </c>
      <c r="O276">
        <v>257</v>
      </c>
      <c r="P276" t="s">
        <v>798</v>
      </c>
      <c r="Q276" s="4" t="s">
        <v>51</v>
      </c>
      <c r="R276" s="4" t="s">
        <v>51</v>
      </c>
      <c r="S276" s="4" t="s">
        <v>51</v>
      </c>
      <c r="T276" t="s">
        <v>309</v>
      </c>
      <c r="U276" s="4" t="s">
        <v>51</v>
      </c>
      <c r="V276" t="s">
        <v>264</v>
      </c>
      <c r="W276" s="8">
        <v>6</v>
      </c>
      <c r="X276" s="8">
        <v>12</v>
      </c>
      <c r="Y276" s="4">
        <f>SUM(J276:L276,N276)</f>
        <v>2350</v>
      </c>
      <c r="Z276" s="4">
        <v>1</v>
      </c>
      <c r="AM276">
        <v>51</v>
      </c>
      <c r="AN276" t="s">
        <v>126</v>
      </c>
      <c r="AO276" t="s">
        <v>53</v>
      </c>
      <c r="AP276">
        <v>-18652</v>
      </c>
      <c r="AQ276">
        <v>0</v>
      </c>
      <c r="AR276" t="s">
        <v>54</v>
      </c>
      <c r="AS276" t="s">
        <v>55</v>
      </c>
      <c r="AT276" t="s">
        <v>55</v>
      </c>
      <c r="AU276" t="s">
        <v>56</v>
      </c>
      <c r="AV276">
        <v>1467</v>
      </c>
      <c r="AW276" t="s">
        <v>57</v>
      </c>
      <c r="AX276" t="s">
        <v>55</v>
      </c>
      <c r="AY276" t="s">
        <v>58</v>
      </c>
      <c r="AZ276" t="s">
        <v>59</v>
      </c>
      <c r="BA276" t="s">
        <v>55</v>
      </c>
      <c r="BB276" t="s">
        <v>49</v>
      </c>
      <c r="BC276" t="s">
        <v>49</v>
      </c>
      <c r="BD276" t="s">
        <v>66</v>
      </c>
      <c r="BE276" t="s">
        <v>55</v>
      </c>
      <c r="BF276">
        <v>24</v>
      </c>
      <c r="BG276" t="s">
        <v>60</v>
      </c>
      <c r="BH276" t="s">
        <v>61</v>
      </c>
      <c r="BI276" t="s">
        <v>62</v>
      </c>
      <c r="BJ276" t="s">
        <v>63</v>
      </c>
      <c r="BK276">
        <v>1998</v>
      </c>
      <c r="BL276">
        <v>1</v>
      </c>
      <c r="BM276">
        <v>1</v>
      </c>
      <c r="BN276">
        <v>1</v>
      </c>
      <c r="BO276">
        <v>1</v>
      </c>
      <c r="BP276">
        <v>1</v>
      </c>
      <c r="BQ276">
        <v>1</v>
      </c>
      <c r="BR276">
        <f t="shared" si="25"/>
        <v>1143</v>
      </c>
      <c r="BS276">
        <v>109</v>
      </c>
      <c r="BT276">
        <f t="shared" si="26"/>
        <v>6</v>
      </c>
    </row>
    <row r="277" spans="1:72" x14ac:dyDescent="0.2">
      <c r="A277" s="19" t="s">
        <v>337</v>
      </c>
      <c r="B277" s="1">
        <v>277</v>
      </c>
      <c r="C277">
        <v>0</v>
      </c>
      <c r="D277" t="s">
        <v>68</v>
      </c>
      <c r="E277" s="2" t="s">
        <v>49</v>
      </c>
      <c r="F277" t="s">
        <v>49</v>
      </c>
      <c r="G277">
        <v>277</v>
      </c>
      <c r="H277" s="2" t="s">
        <v>49</v>
      </c>
      <c r="I277" s="3" t="s">
        <v>69</v>
      </c>
      <c r="J277" s="4">
        <v>277</v>
      </c>
      <c r="Q277" s="4" t="s">
        <v>51</v>
      </c>
      <c r="W277" s="8">
        <v>6</v>
      </c>
      <c r="X277" s="8">
        <v>12</v>
      </c>
      <c r="Y277" s="4">
        <f>J277</f>
        <v>277</v>
      </c>
      <c r="Z277" s="4">
        <v>0</v>
      </c>
      <c r="AM277">
        <v>71</v>
      </c>
      <c r="AN277" t="s">
        <v>126</v>
      </c>
      <c r="AO277" t="s">
        <v>53</v>
      </c>
      <c r="AP277">
        <v>-25937</v>
      </c>
      <c r="AQ277">
        <v>0</v>
      </c>
      <c r="AR277" t="s">
        <v>54</v>
      </c>
      <c r="AS277" t="s">
        <v>55</v>
      </c>
      <c r="AT277" t="s">
        <v>55</v>
      </c>
      <c r="AU277" t="s">
        <v>56</v>
      </c>
      <c r="AV277">
        <v>1469</v>
      </c>
      <c r="AW277" t="s">
        <v>70</v>
      </c>
      <c r="AX277" t="s">
        <v>55</v>
      </c>
      <c r="AY277" t="s">
        <v>58</v>
      </c>
      <c r="AZ277" t="s">
        <v>59</v>
      </c>
      <c r="BA277" t="s">
        <v>55</v>
      </c>
      <c r="BB277" t="s">
        <v>49</v>
      </c>
      <c r="BC277" t="s">
        <v>49</v>
      </c>
      <c r="BD277" t="s">
        <v>49</v>
      </c>
      <c r="BE277" t="s">
        <v>55</v>
      </c>
      <c r="BF277">
        <v>24</v>
      </c>
      <c r="BG277" t="s">
        <v>60</v>
      </c>
      <c r="BH277" t="s">
        <v>61</v>
      </c>
      <c r="BI277" t="s">
        <v>62</v>
      </c>
      <c r="BJ277" t="s">
        <v>63</v>
      </c>
      <c r="BK277">
        <v>2008</v>
      </c>
      <c r="BL277">
        <v>0</v>
      </c>
      <c r="BR277">
        <f>B277-BS277</f>
        <v>155</v>
      </c>
      <c r="BS277">
        <v>122</v>
      </c>
      <c r="BT277">
        <f t="shared" si="26"/>
        <v>1</v>
      </c>
    </row>
    <row r="278" spans="1:72" x14ac:dyDescent="0.2">
      <c r="A278" s="19" t="s">
        <v>338</v>
      </c>
      <c r="B278" s="1">
        <v>104</v>
      </c>
      <c r="C278">
        <v>0</v>
      </c>
      <c r="D278" t="s">
        <v>68</v>
      </c>
      <c r="E278" s="2" t="s">
        <v>49</v>
      </c>
      <c r="F278" t="s">
        <v>49</v>
      </c>
      <c r="G278">
        <v>104</v>
      </c>
      <c r="H278" s="2" t="s">
        <v>49</v>
      </c>
      <c r="I278" s="3" t="s">
        <v>69</v>
      </c>
      <c r="J278" s="4">
        <v>87</v>
      </c>
      <c r="Q278" s="4" t="s">
        <v>51</v>
      </c>
      <c r="W278" s="8">
        <v>4</v>
      </c>
      <c r="X278" s="8">
        <v>8</v>
      </c>
      <c r="Y278" s="4">
        <f>J278</f>
        <v>87</v>
      </c>
      <c r="Z278" s="4">
        <v>0</v>
      </c>
      <c r="AM278">
        <v>54</v>
      </c>
      <c r="AN278" t="s">
        <v>52</v>
      </c>
      <c r="AO278" t="s">
        <v>53</v>
      </c>
      <c r="AP278">
        <v>-20007</v>
      </c>
      <c r="AQ278">
        <v>0</v>
      </c>
      <c r="AR278" t="s">
        <v>54</v>
      </c>
      <c r="AS278" t="s">
        <v>55</v>
      </c>
      <c r="AT278" t="s">
        <v>55</v>
      </c>
      <c r="AU278" t="s">
        <v>56</v>
      </c>
      <c r="AV278">
        <v>1470</v>
      </c>
      <c r="AW278" t="s">
        <v>70</v>
      </c>
      <c r="AX278" t="s">
        <v>55</v>
      </c>
      <c r="AY278" t="s">
        <v>58</v>
      </c>
      <c r="AZ278" t="s">
        <v>59</v>
      </c>
      <c r="BA278" t="s">
        <v>55</v>
      </c>
      <c r="BB278" t="s">
        <v>49</v>
      </c>
      <c r="BC278" t="s">
        <v>49</v>
      </c>
      <c r="BD278" t="s">
        <v>49</v>
      </c>
      <c r="BE278" t="s">
        <v>55</v>
      </c>
      <c r="BF278">
        <v>24</v>
      </c>
      <c r="BG278" t="s">
        <v>60</v>
      </c>
      <c r="BH278" t="s">
        <v>61</v>
      </c>
      <c r="BI278" t="s">
        <v>72</v>
      </c>
      <c r="BJ278" t="s">
        <v>63</v>
      </c>
      <c r="BK278">
        <v>2009</v>
      </c>
      <c r="BL278">
        <v>0</v>
      </c>
      <c r="BR278">
        <f>B278-BS278</f>
        <v>22</v>
      </c>
      <c r="BS278">
        <v>82</v>
      </c>
      <c r="BT278">
        <f t="shared" si="26"/>
        <v>1</v>
      </c>
    </row>
    <row r="279" spans="1:72" x14ac:dyDescent="0.2">
      <c r="A279" s="19" t="s">
        <v>339</v>
      </c>
      <c r="B279" s="1">
        <v>36</v>
      </c>
      <c r="C279">
        <v>0</v>
      </c>
      <c r="D279" t="s">
        <v>68</v>
      </c>
      <c r="E279" s="2" t="s">
        <v>49</v>
      </c>
      <c r="F279" t="s">
        <v>49</v>
      </c>
      <c r="G279">
        <v>36</v>
      </c>
      <c r="H279" s="2" t="s">
        <v>49</v>
      </c>
      <c r="I279" s="3" t="s">
        <v>69</v>
      </c>
      <c r="Q279" t="s">
        <v>50</v>
      </c>
      <c r="AM279">
        <v>60</v>
      </c>
      <c r="AN279" t="s">
        <v>101</v>
      </c>
      <c r="AO279" t="s">
        <v>53</v>
      </c>
      <c r="AP279">
        <v>-22081</v>
      </c>
      <c r="AQ279">
        <v>0</v>
      </c>
      <c r="AR279" t="s">
        <v>54</v>
      </c>
      <c r="AS279" t="s">
        <v>55</v>
      </c>
      <c r="AT279" t="s">
        <v>55</v>
      </c>
      <c r="AU279" t="s">
        <v>56</v>
      </c>
      <c r="AV279">
        <v>1471</v>
      </c>
      <c r="AW279" t="s">
        <v>49</v>
      </c>
      <c r="AX279" t="s">
        <v>55</v>
      </c>
      <c r="AY279" t="s">
        <v>49</v>
      </c>
      <c r="AZ279" t="s">
        <v>59</v>
      </c>
      <c r="BA279" t="s">
        <v>55</v>
      </c>
      <c r="BB279" t="s">
        <v>49</v>
      </c>
      <c r="BC279" t="s">
        <v>49</v>
      </c>
      <c r="BD279" t="s">
        <v>49</v>
      </c>
      <c r="BE279" t="s">
        <v>49</v>
      </c>
      <c r="BF279">
        <v>24</v>
      </c>
      <c r="BG279" t="s">
        <v>60</v>
      </c>
      <c r="BH279" t="s">
        <v>82</v>
      </c>
      <c r="BI279" t="s">
        <v>62</v>
      </c>
      <c r="BJ279" t="s">
        <v>63</v>
      </c>
      <c r="BK279">
        <v>2009</v>
      </c>
      <c r="BT279">
        <f t="shared" si="26"/>
        <v>0</v>
      </c>
    </row>
    <row r="280" spans="1:72" x14ac:dyDescent="0.2">
      <c r="A280" s="19" t="s">
        <v>340</v>
      </c>
      <c r="B280" s="1">
        <v>675</v>
      </c>
      <c r="C280">
        <v>1</v>
      </c>
      <c r="D280" t="s">
        <v>48</v>
      </c>
      <c r="E280" s="2" t="s">
        <v>49</v>
      </c>
      <c r="F280">
        <v>675</v>
      </c>
      <c r="G280">
        <v>675</v>
      </c>
      <c r="H280" s="2">
        <v>331</v>
      </c>
      <c r="I280" s="3">
        <v>331</v>
      </c>
      <c r="J280" s="4">
        <f>331-123</f>
        <v>208</v>
      </c>
      <c r="K280" s="9">
        <f>454-349</f>
        <v>105</v>
      </c>
      <c r="L280">
        <f>675-454</f>
        <v>221</v>
      </c>
      <c r="P280" t="s">
        <v>803</v>
      </c>
      <c r="Q280" s="4" t="s">
        <v>51</v>
      </c>
      <c r="R280" s="9" t="s">
        <v>80</v>
      </c>
      <c r="S280" t="s">
        <v>105</v>
      </c>
      <c r="W280">
        <v>6</v>
      </c>
      <c r="X280">
        <v>12</v>
      </c>
      <c r="Y280" s="4">
        <f>J280</f>
        <v>208</v>
      </c>
      <c r="Z280" s="4">
        <v>1</v>
      </c>
      <c r="AG280" s="9">
        <f>K280</f>
        <v>105</v>
      </c>
      <c r="AH280" s="9">
        <v>1</v>
      </c>
      <c r="AM280">
        <v>57</v>
      </c>
      <c r="AN280" t="s">
        <v>101</v>
      </c>
      <c r="AO280" t="s">
        <v>53</v>
      </c>
      <c r="AP280">
        <v>-20902</v>
      </c>
      <c r="AQ280">
        <v>0</v>
      </c>
      <c r="AR280" t="s">
        <v>54</v>
      </c>
      <c r="AS280" t="s">
        <v>55</v>
      </c>
      <c r="AT280" t="s">
        <v>55</v>
      </c>
      <c r="AU280" t="s">
        <v>56</v>
      </c>
      <c r="AV280">
        <v>1474</v>
      </c>
      <c r="AW280" t="s">
        <v>57</v>
      </c>
      <c r="AX280" t="s">
        <v>55</v>
      </c>
      <c r="AY280" t="s">
        <v>114</v>
      </c>
      <c r="AZ280" t="s">
        <v>111</v>
      </c>
      <c r="BA280" t="s">
        <v>55</v>
      </c>
      <c r="BB280" t="s">
        <v>49</v>
      </c>
      <c r="BC280" t="s">
        <v>49</v>
      </c>
      <c r="BD280" t="s">
        <v>106</v>
      </c>
      <c r="BE280" t="s">
        <v>55</v>
      </c>
      <c r="BF280">
        <v>24</v>
      </c>
      <c r="BG280" t="s">
        <v>60</v>
      </c>
      <c r="BH280" t="s">
        <v>61</v>
      </c>
      <c r="BI280" t="s">
        <v>62</v>
      </c>
      <c r="BJ280" t="s">
        <v>63</v>
      </c>
      <c r="BK280">
        <v>2000</v>
      </c>
      <c r="BL280">
        <v>1</v>
      </c>
      <c r="BM280">
        <v>1</v>
      </c>
      <c r="BN280">
        <v>1</v>
      </c>
      <c r="BR280">
        <f t="shared" ref="BR280:BR300" si="27">I280-BS280</f>
        <v>-52</v>
      </c>
      <c r="BS280">
        <v>383</v>
      </c>
      <c r="BT280">
        <f t="shared" si="26"/>
        <v>3</v>
      </c>
    </row>
    <row r="281" spans="1:72" x14ac:dyDescent="0.2">
      <c r="A281" s="19" t="s">
        <v>341</v>
      </c>
      <c r="B281" s="1">
        <v>820</v>
      </c>
      <c r="C281">
        <v>1</v>
      </c>
      <c r="D281" t="s">
        <v>48</v>
      </c>
      <c r="E281" s="2">
        <v>643</v>
      </c>
      <c r="F281">
        <v>820</v>
      </c>
      <c r="G281">
        <v>820</v>
      </c>
      <c r="H281" s="2" t="s">
        <v>49</v>
      </c>
      <c r="I281" s="3">
        <v>243</v>
      </c>
      <c r="J281">
        <v>225</v>
      </c>
      <c r="K281" s="5">
        <v>252</v>
      </c>
      <c r="L281" s="4">
        <v>325</v>
      </c>
      <c r="P281" t="s">
        <v>804</v>
      </c>
      <c r="Q281" t="s">
        <v>342</v>
      </c>
      <c r="R281" s="5" t="s">
        <v>65</v>
      </c>
      <c r="S281" s="4" t="s">
        <v>51</v>
      </c>
      <c r="W281">
        <v>8</v>
      </c>
      <c r="X281">
        <v>24</v>
      </c>
      <c r="Y281" s="4">
        <f>L281</f>
        <v>325</v>
      </c>
      <c r="Z281" s="4">
        <v>1</v>
      </c>
      <c r="AE281" s="5">
        <f>K281</f>
        <v>252</v>
      </c>
      <c r="AF281" s="5">
        <v>1</v>
      </c>
      <c r="AM281">
        <v>71</v>
      </c>
      <c r="AN281" t="s">
        <v>52</v>
      </c>
      <c r="AO281" t="s">
        <v>53</v>
      </c>
      <c r="AP281">
        <v>-26140</v>
      </c>
      <c r="AQ281">
        <v>0</v>
      </c>
      <c r="AR281" t="s">
        <v>54</v>
      </c>
      <c r="AS281" t="s">
        <v>55</v>
      </c>
      <c r="AT281" t="s">
        <v>55</v>
      </c>
      <c r="AU281" t="s">
        <v>56</v>
      </c>
      <c r="AV281">
        <v>1544</v>
      </c>
      <c r="AW281" t="s">
        <v>57</v>
      </c>
      <c r="AX281" t="s">
        <v>55</v>
      </c>
      <c r="AY281" t="s">
        <v>114</v>
      </c>
      <c r="AZ281" t="s">
        <v>111</v>
      </c>
      <c r="BA281" t="s">
        <v>55</v>
      </c>
      <c r="BB281" t="s">
        <v>49</v>
      </c>
      <c r="BC281" t="s">
        <v>49</v>
      </c>
      <c r="BD281" t="s">
        <v>106</v>
      </c>
      <c r="BE281" t="s">
        <v>55</v>
      </c>
      <c r="BF281">
        <v>24</v>
      </c>
      <c r="BG281" t="s">
        <v>60</v>
      </c>
      <c r="BH281" t="s">
        <v>61</v>
      </c>
      <c r="BI281" t="s">
        <v>62</v>
      </c>
      <c r="BJ281" t="s">
        <v>63</v>
      </c>
      <c r="BK281">
        <v>2000</v>
      </c>
      <c r="BL281">
        <v>1</v>
      </c>
      <c r="BM281">
        <v>1</v>
      </c>
      <c r="BN281">
        <v>1</v>
      </c>
      <c r="BR281">
        <f t="shared" si="27"/>
        <v>40</v>
      </c>
      <c r="BS281">
        <v>203</v>
      </c>
      <c r="BT281">
        <f t="shared" si="26"/>
        <v>3</v>
      </c>
    </row>
    <row r="282" spans="1:72" x14ac:dyDescent="0.2">
      <c r="A282" s="19" t="s">
        <v>343</v>
      </c>
      <c r="B282" s="1">
        <v>1745</v>
      </c>
      <c r="C282">
        <v>1</v>
      </c>
      <c r="D282" t="s">
        <v>48</v>
      </c>
      <c r="E282" s="2" t="s">
        <v>49</v>
      </c>
      <c r="F282">
        <v>1745</v>
      </c>
      <c r="G282">
        <v>1745</v>
      </c>
      <c r="H282" s="2">
        <v>861</v>
      </c>
      <c r="I282" s="3">
        <v>861</v>
      </c>
      <c r="J282" s="4">
        <f>861-14</f>
        <v>847</v>
      </c>
      <c r="K282" s="9">
        <v>106</v>
      </c>
      <c r="L282" s="5">
        <v>83</v>
      </c>
      <c r="M282" s="4">
        <v>148</v>
      </c>
      <c r="N282">
        <v>542</v>
      </c>
      <c r="P282" t="s">
        <v>805</v>
      </c>
      <c r="Q282" s="4" t="s">
        <v>51</v>
      </c>
      <c r="R282" s="9" t="s">
        <v>80</v>
      </c>
      <c r="S282" s="5" t="s">
        <v>65</v>
      </c>
      <c r="T282" s="4" t="s">
        <v>51</v>
      </c>
      <c r="U282" t="s">
        <v>262</v>
      </c>
      <c r="W282">
        <v>10</v>
      </c>
      <c r="X282">
        <v>20</v>
      </c>
      <c r="Y282" s="4">
        <f>J282+M282</f>
        <v>995</v>
      </c>
      <c r="Z282" s="4">
        <v>1</v>
      </c>
      <c r="AE282" s="5">
        <f>L282</f>
        <v>83</v>
      </c>
      <c r="AF282" s="5">
        <v>1</v>
      </c>
      <c r="AG282" s="9">
        <f>K282</f>
        <v>106</v>
      </c>
      <c r="AH282" s="9">
        <v>1</v>
      </c>
      <c r="AM282">
        <v>69</v>
      </c>
      <c r="AN282" t="s">
        <v>52</v>
      </c>
      <c r="AO282" t="s">
        <v>53</v>
      </c>
      <c r="AP282">
        <v>-25460</v>
      </c>
      <c r="AQ282">
        <v>0</v>
      </c>
      <c r="AR282" t="s">
        <v>54</v>
      </c>
      <c r="AS282" t="s">
        <v>55</v>
      </c>
      <c r="AT282" t="s">
        <v>55</v>
      </c>
      <c r="AU282" t="s">
        <v>56</v>
      </c>
      <c r="AV282">
        <v>1545</v>
      </c>
      <c r="AW282" t="s">
        <v>57</v>
      </c>
      <c r="AX282" t="s">
        <v>55</v>
      </c>
      <c r="AY282" t="s">
        <v>58</v>
      </c>
      <c r="AZ282" t="s">
        <v>59</v>
      </c>
      <c r="BA282" t="s">
        <v>55</v>
      </c>
      <c r="BB282" t="s">
        <v>49</v>
      </c>
      <c r="BC282" t="s">
        <v>49</v>
      </c>
      <c r="BD282" t="s">
        <v>106</v>
      </c>
      <c r="BE282" t="s">
        <v>55</v>
      </c>
      <c r="BF282">
        <v>24</v>
      </c>
      <c r="BG282" t="s">
        <v>60</v>
      </c>
      <c r="BH282" t="s">
        <v>82</v>
      </c>
      <c r="BI282" t="s">
        <v>62</v>
      </c>
      <c r="BJ282" t="s">
        <v>63</v>
      </c>
      <c r="BK282">
        <v>1997</v>
      </c>
      <c r="BL282">
        <v>1</v>
      </c>
      <c r="BM282">
        <v>1</v>
      </c>
      <c r="BN282">
        <v>1</v>
      </c>
      <c r="BO282">
        <v>1</v>
      </c>
      <c r="BP282">
        <v>1</v>
      </c>
      <c r="BR282">
        <f t="shared" si="27"/>
        <v>577</v>
      </c>
      <c r="BS282">
        <v>284</v>
      </c>
      <c r="BT282">
        <f t="shared" si="26"/>
        <v>5</v>
      </c>
    </row>
    <row r="283" spans="1:72" x14ac:dyDescent="0.2">
      <c r="A283" s="19" t="s">
        <v>344</v>
      </c>
      <c r="B283" s="1">
        <v>1955</v>
      </c>
      <c r="C283">
        <v>1</v>
      </c>
      <c r="D283" t="s">
        <v>48</v>
      </c>
      <c r="E283" s="2" t="s">
        <v>49</v>
      </c>
      <c r="F283">
        <v>1955</v>
      </c>
      <c r="G283">
        <v>1955</v>
      </c>
      <c r="H283" s="2" t="s">
        <v>49</v>
      </c>
      <c r="I283" s="3">
        <v>1955</v>
      </c>
      <c r="J283" s="4">
        <v>1955</v>
      </c>
      <c r="P283" t="s">
        <v>806</v>
      </c>
      <c r="Q283" s="4" t="s">
        <v>51</v>
      </c>
      <c r="Y283" s="4">
        <f>J283</f>
        <v>1955</v>
      </c>
      <c r="Z283" s="4">
        <v>1</v>
      </c>
      <c r="AM283">
        <v>46</v>
      </c>
      <c r="AN283" t="s">
        <v>52</v>
      </c>
      <c r="AO283" t="s">
        <v>53</v>
      </c>
      <c r="AP283">
        <v>-17129</v>
      </c>
      <c r="AQ283">
        <v>0</v>
      </c>
      <c r="AR283" t="s">
        <v>54</v>
      </c>
      <c r="AS283" t="s">
        <v>49</v>
      </c>
      <c r="AT283" t="s">
        <v>49</v>
      </c>
      <c r="AU283" t="s">
        <v>56</v>
      </c>
      <c r="AV283">
        <v>1546</v>
      </c>
      <c r="AW283" t="s">
        <v>49</v>
      </c>
      <c r="AX283" t="s">
        <v>55</v>
      </c>
      <c r="AY283" t="s">
        <v>49</v>
      </c>
      <c r="AZ283" t="s">
        <v>59</v>
      </c>
      <c r="BA283" t="s">
        <v>49</v>
      </c>
      <c r="BB283" t="s">
        <v>49</v>
      </c>
      <c r="BC283" t="s">
        <v>49</v>
      </c>
      <c r="BD283" t="s">
        <v>49</v>
      </c>
      <c r="BE283" t="s">
        <v>49</v>
      </c>
      <c r="BF283">
        <v>24</v>
      </c>
      <c r="BG283" t="s">
        <v>60</v>
      </c>
      <c r="BH283" t="s">
        <v>61</v>
      </c>
      <c r="BI283" t="s">
        <v>62</v>
      </c>
      <c r="BJ283" t="s">
        <v>63</v>
      </c>
      <c r="BK283">
        <v>1997</v>
      </c>
      <c r="BL283">
        <v>1</v>
      </c>
      <c r="BR283">
        <f t="shared" si="27"/>
        <v>1955</v>
      </c>
      <c r="BT283">
        <f t="shared" si="26"/>
        <v>1</v>
      </c>
    </row>
    <row r="284" spans="1:72" x14ac:dyDescent="0.2">
      <c r="A284" s="19" t="s">
        <v>345</v>
      </c>
      <c r="B284" s="1">
        <v>493</v>
      </c>
      <c r="C284">
        <v>1</v>
      </c>
      <c r="D284" t="s">
        <v>48</v>
      </c>
      <c r="E284" s="2" t="s">
        <v>49</v>
      </c>
      <c r="F284">
        <v>493</v>
      </c>
      <c r="G284">
        <v>493</v>
      </c>
      <c r="H284" s="2">
        <v>207</v>
      </c>
      <c r="I284" s="3">
        <v>207</v>
      </c>
      <c r="J284" s="4">
        <f>207-6</f>
        <v>201</v>
      </c>
      <c r="K284">
        <v>51</v>
      </c>
      <c r="L284" s="5">
        <v>93</v>
      </c>
      <c r="M284">
        <v>110</v>
      </c>
      <c r="N284" s="6">
        <v>18</v>
      </c>
      <c r="Q284" s="4" t="s">
        <v>51</v>
      </c>
      <c r="R284" t="s">
        <v>346</v>
      </c>
      <c r="S284" s="5" t="s">
        <v>65</v>
      </c>
      <c r="T284" t="s">
        <v>347</v>
      </c>
      <c r="U284" s="6" t="s">
        <v>74</v>
      </c>
      <c r="W284">
        <v>6</v>
      </c>
      <c r="X284">
        <v>12</v>
      </c>
      <c r="Y284" s="4">
        <f>J284</f>
        <v>201</v>
      </c>
      <c r="Z284" s="4">
        <v>1</v>
      </c>
      <c r="AC284" s="6">
        <f>N284</f>
        <v>18</v>
      </c>
      <c r="AD284" s="6">
        <v>1</v>
      </c>
      <c r="AE284" s="5">
        <f>L284</f>
        <v>93</v>
      </c>
      <c r="AF284" s="5">
        <v>1</v>
      </c>
      <c r="AM284">
        <v>57</v>
      </c>
      <c r="AN284" t="s">
        <v>52</v>
      </c>
      <c r="AO284" t="s">
        <v>53</v>
      </c>
      <c r="AP284">
        <v>-20944</v>
      </c>
      <c r="AQ284">
        <v>0</v>
      </c>
      <c r="AR284" t="s">
        <v>54</v>
      </c>
      <c r="AS284" t="s">
        <v>55</v>
      </c>
      <c r="AT284" t="s">
        <v>55</v>
      </c>
      <c r="AU284" t="s">
        <v>56</v>
      </c>
      <c r="AV284">
        <v>1548</v>
      </c>
      <c r="AW284" t="s">
        <v>57</v>
      </c>
      <c r="AX284" t="s">
        <v>55</v>
      </c>
      <c r="AY284" t="s">
        <v>58</v>
      </c>
      <c r="AZ284" t="s">
        <v>59</v>
      </c>
      <c r="BA284" t="s">
        <v>55</v>
      </c>
      <c r="BB284" t="s">
        <v>49</v>
      </c>
      <c r="BC284" t="s">
        <v>49</v>
      </c>
      <c r="BD284" t="s">
        <v>106</v>
      </c>
      <c r="BE284" t="s">
        <v>55</v>
      </c>
      <c r="BF284">
        <v>24</v>
      </c>
      <c r="BG284" t="s">
        <v>60</v>
      </c>
      <c r="BH284" t="s">
        <v>61</v>
      </c>
      <c r="BI284" t="s">
        <v>62</v>
      </c>
      <c r="BJ284" t="s">
        <v>63</v>
      </c>
      <c r="BK284">
        <v>1997</v>
      </c>
      <c r="BL284">
        <v>1</v>
      </c>
      <c r="BM284">
        <v>1</v>
      </c>
      <c r="BN284">
        <v>1</v>
      </c>
      <c r="BO284">
        <v>1</v>
      </c>
      <c r="BP284">
        <v>1</v>
      </c>
      <c r="BR284">
        <f t="shared" si="27"/>
        <v>84</v>
      </c>
      <c r="BS284">
        <v>123</v>
      </c>
      <c r="BT284">
        <f t="shared" si="26"/>
        <v>5</v>
      </c>
    </row>
    <row r="285" spans="1:72" x14ac:dyDescent="0.2">
      <c r="A285" s="19" t="s">
        <v>348</v>
      </c>
      <c r="B285" s="1">
        <v>1721</v>
      </c>
      <c r="C285">
        <v>1</v>
      </c>
      <c r="D285" t="s">
        <v>48</v>
      </c>
      <c r="E285" s="2" t="s">
        <v>49</v>
      </c>
      <c r="F285">
        <v>1721</v>
      </c>
      <c r="G285">
        <v>1721</v>
      </c>
      <c r="H285" s="2">
        <v>1042</v>
      </c>
      <c r="I285" s="3">
        <v>1042</v>
      </c>
      <c r="J285" s="4">
        <v>1042</v>
      </c>
      <c r="P285" t="s">
        <v>800</v>
      </c>
      <c r="Q285" s="4" t="s">
        <v>51</v>
      </c>
      <c r="W285">
        <v>6</v>
      </c>
      <c r="X285">
        <v>12</v>
      </c>
      <c r="Y285" s="4">
        <f>J285</f>
        <v>1042</v>
      </c>
      <c r="Z285" s="4">
        <v>1</v>
      </c>
      <c r="AM285">
        <v>58</v>
      </c>
      <c r="AN285" t="s">
        <v>52</v>
      </c>
      <c r="AO285" t="s">
        <v>53</v>
      </c>
      <c r="AP285">
        <v>-21431</v>
      </c>
      <c r="AQ285">
        <v>0</v>
      </c>
      <c r="AR285" t="s">
        <v>54</v>
      </c>
      <c r="AS285" t="s">
        <v>55</v>
      </c>
      <c r="AT285" t="s">
        <v>55</v>
      </c>
      <c r="AU285" t="s">
        <v>56</v>
      </c>
      <c r="AV285">
        <v>1549</v>
      </c>
      <c r="AW285" t="s">
        <v>57</v>
      </c>
      <c r="AX285" t="s">
        <v>55</v>
      </c>
      <c r="AY285" t="s">
        <v>58</v>
      </c>
      <c r="AZ285" t="s">
        <v>59</v>
      </c>
      <c r="BA285" t="s">
        <v>55</v>
      </c>
      <c r="BB285" t="s">
        <v>49</v>
      </c>
      <c r="BC285" t="s">
        <v>49</v>
      </c>
      <c r="BD285" t="s">
        <v>106</v>
      </c>
      <c r="BE285" t="s">
        <v>55</v>
      </c>
      <c r="BF285">
        <v>24</v>
      </c>
      <c r="BG285" t="s">
        <v>60</v>
      </c>
      <c r="BH285" t="s">
        <v>49</v>
      </c>
      <c r="BI285" t="s">
        <v>72</v>
      </c>
      <c r="BJ285" t="s">
        <v>63</v>
      </c>
      <c r="BK285">
        <v>1997</v>
      </c>
      <c r="BL285">
        <v>1</v>
      </c>
      <c r="BR285">
        <f t="shared" si="27"/>
        <v>916</v>
      </c>
      <c r="BS285">
        <v>126</v>
      </c>
      <c r="BT285">
        <f t="shared" si="26"/>
        <v>1</v>
      </c>
    </row>
    <row r="286" spans="1:72" x14ac:dyDescent="0.2">
      <c r="A286" s="19" t="s">
        <v>349</v>
      </c>
      <c r="B286" s="1">
        <v>1249</v>
      </c>
      <c r="C286">
        <v>1</v>
      </c>
      <c r="D286" t="s">
        <v>48</v>
      </c>
      <c r="E286" s="2" t="s">
        <v>49</v>
      </c>
      <c r="F286">
        <v>1249</v>
      </c>
      <c r="G286">
        <v>1249</v>
      </c>
      <c r="H286" s="2">
        <v>892</v>
      </c>
      <c r="I286" s="3">
        <v>892</v>
      </c>
      <c r="J286" s="4">
        <f>892-8</f>
        <v>884</v>
      </c>
      <c r="K286" s="9">
        <v>84</v>
      </c>
      <c r="L286" s="11">
        <f>1164-986</f>
        <v>178</v>
      </c>
      <c r="M286" s="4">
        <f>1233-1164</f>
        <v>69</v>
      </c>
      <c r="N286" s="5">
        <v>16</v>
      </c>
      <c r="Q286" s="4" t="s">
        <v>51</v>
      </c>
      <c r="R286" s="9" t="s">
        <v>80</v>
      </c>
      <c r="S286" s="11" t="s">
        <v>90</v>
      </c>
      <c r="T286" s="4" t="s">
        <v>51</v>
      </c>
      <c r="U286" s="5" t="s">
        <v>65</v>
      </c>
      <c r="W286">
        <v>7</v>
      </c>
      <c r="X286">
        <v>14</v>
      </c>
      <c r="Y286" s="4">
        <f>J286+M286</f>
        <v>953</v>
      </c>
      <c r="Z286" s="4">
        <v>1</v>
      </c>
      <c r="AA286" s="11">
        <f>L286</f>
        <v>178</v>
      </c>
      <c r="AB286" s="11">
        <v>1</v>
      </c>
      <c r="AE286" s="5">
        <v>16</v>
      </c>
      <c r="AF286" s="5">
        <v>1</v>
      </c>
      <c r="AG286" s="9">
        <f>K286</f>
        <v>84</v>
      </c>
      <c r="AH286" s="9">
        <v>1</v>
      </c>
      <c r="AM286">
        <v>49</v>
      </c>
      <c r="AN286" t="s">
        <v>101</v>
      </c>
      <c r="AO286" t="s">
        <v>53</v>
      </c>
      <c r="AP286">
        <v>-18048</v>
      </c>
      <c r="AQ286">
        <v>0</v>
      </c>
      <c r="AR286" t="s">
        <v>54</v>
      </c>
      <c r="AS286" t="s">
        <v>55</v>
      </c>
      <c r="AT286" t="s">
        <v>55</v>
      </c>
      <c r="AU286" t="s">
        <v>56</v>
      </c>
      <c r="AV286">
        <v>1550</v>
      </c>
      <c r="AW286" t="s">
        <v>57</v>
      </c>
      <c r="AX286" t="s">
        <v>55</v>
      </c>
      <c r="AY286" t="s">
        <v>58</v>
      </c>
      <c r="AZ286" t="s">
        <v>59</v>
      </c>
      <c r="BA286" t="s">
        <v>55</v>
      </c>
      <c r="BB286" t="s">
        <v>49</v>
      </c>
      <c r="BC286" t="s">
        <v>49</v>
      </c>
      <c r="BD286" t="s">
        <v>106</v>
      </c>
      <c r="BE286" t="s">
        <v>55</v>
      </c>
      <c r="BF286">
        <v>24</v>
      </c>
      <c r="BG286" t="s">
        <v>60</v>
      </c>
      <c r="BH286" t="s">
        <v>61</v>
      </c>
      <c r="BI286" t="s">
        <v>62</v>
      </c>
      <c r="BJ286" t="s">
        <v>63</v>
      </c>
      <c r="BK286">
        <v>1997</v>
      </c>
      <c r="BL286">
        <v>1</v>
      </c>
      <c r="BM286">
        <v>1</v>
      </c>
      <c r="BN286">
        <v>1</v>
      </c>
      <c r="BO286">
        <v>1</v>
      </c>
      <c r="BP286">
        <v>1</v>
      </c>
      <c r="BR286">
        <f t="shared" si="27"/>
        <v>718</v>
      </c>
      <c r="BS286">
        <v>174</v>
      </c>
      <c r="BT286">
        <f t="shared" si="26"/>
        <v>5</v>
      </c>
    </row>
    <row r="287" spans="1:72" x14ac:dyDescent="0.2">
      <c r="A287" s="19" t="s">
        <v>350</v>
      </c>
      <c r="B287" s="1">
        <v>1579</v>
      </c>
      <c r="C287">
        <v>1</v>
      </c>
      <c r="D287" t="s">
        <v>48</v>
      </c>
      <c r="E287" s="2" t="s">
        <v>49</v>
      </c>
      <c r="F287">
        <v>1579</v>
      </c>
      <c r="G287">
        <v>1579</v>
      </c>
      <c r="H287" s="2">
        <v>764</v>
      </c>
      <c r="I287" s="3">
        <v>764</v>
      </c>
      <c r="J287" s="4">
        <f>764-10</f>
        <v>754</v>
      </c>
      <c r="K287" s="9">
        <v>52</v>
      </c>
      <c r="L287" s="11">
        <v>385</v>
      </c>
      <c r="M287" s="5">
        <v>62</v>
      </c>
      <c r="N287" s="6">
        <v>260</v>
      </c>
      <c r="O287" s="5">
        <v>30</v>
      </c>
      <c r="P287" s="8"/>
      <c r="Q287" s="4" t="s">
        <v>51</v>
      </c>
      <c r="R287" s="9" t="s">
        <v>80</v>
      </c>
      <c r="S287" s="11" t="s">
        <v>90</v>
      </c>
      <c r="T287" s="5" t="s">
        <v>65</v>
      </c>
      <c r="U287" s="6" t="s">
        <v>74</v>
      </c>
      <c r="V287" s="5" t="s">
        <v>65</v>
      </c>
      <c r="W287" s="8">
        <v>7</v>
      </c>
      <c r="X287" s="8">
        <v>14</v>
      </c>
      <c r="Y287" s="4">
        <f>J287</f>
        <v>754</v>
      </c>
      <c r="Z287" s="4">
        <v>1</v>
      </c>
      <c r="AA287" s="11">
        <f>L287</f>
        <v>385</v>
      </c>
      <c r="AB287" s="11">
        <v>1</v>
      </c>
      <c r="AC287" s="6">
        <f>N287</f>
        <v>260</v>
      </c>
      <c r="AD287" s="6">
        <v>1</v>
      </c>
      <c r="AE287" s="5">
        <f>O287+M287</f>
        <v>92</v>
      </c>
      <c r="AF287" s="5">
        <v>1</v>
      </c>
      <c r="AG287" s="9">
        <f>K287</f>
        <v>52</v>
      </c>
      <c r="AH287" s="9">
        <v>1</v>
      </c>
      <c r="AM287">
        <v>53</v>
      </c>
      <c r="AN287" t="s">
        <v>52</v>
      </c>
      <c r="AO287" t="s">
        <v>53</v>
      </c>
      <c r="AP287">
        <v>-19661</v>
      </c>
      <c r="AQ287">
        <v>0</v>
      </c>
      <c r="AR287" t="s">
        <v>54</v>
      </c>
      <c r="AS287" t="s">
        <v>55</v>
      </c>
      <c r="AT287" t="s">
        <v>55</v>
      </c>
      <c r="AU287" t="s">
        <v>56</v>
      </c>
      <c r="AV287">
        <v>1551</v>
      </c>
      <c r="AW287" t="s">
        <v>57</v>
      </c>
      <c r="AX287" t="s">
        <v>55</v>
      </c>
      <c r="AY287" t="s">
        <v>58</v>
      </c>
      <c r="AZ287" t="s">
        <v>59</v>
      </c>
      <c r="BA287" t="s">
        <v>55</v>
      </c>
      <c r="BB287" t="s">
        <v>49</v>
      </c>
      <c r="BC287" t="s">
        <v>49</v>
      </c>
      <c r="BD287" t="s">
        <v>106</v>
      </c>
      <c r="BE287" t="s">
        <v>55</v>
      </c>
      <c r="BF287">
        <v>24</v>
      </c>
      <c r="BG287" t="s">
        <v>60</v>
      </c>
      <c r="BH287" t="s">
        <v>61</v>
      </c>
      <c r="BI287" t="s">
        <v>62</v>
      </c>
      <c r="BJ287" t="s">
        <v>63</v>
      </c>
      <c r="BK287">
        <v>1997</v>
      </c>
      <c r="BL287">
        <v>1</v>
      </c>
      <c r="BM287">
        <v>1</v>
      </c>
      <c r="BN287">
        <v>1</v>
      </c>
      <c r="BO287">
        <v>1</v>
      </c>
      <c r="BP287">
        <v>1</v>
      </c>
      <c r="BQ287">
        <v>1</v>
      </c>
      <c r="BR287">
        <f t="shared" si="27"/>
        <v>629</v>
      </c>
      <c r="BS287">
        <v>135</v>
      </c>
      <c r="BT287">
        <f t="shared" si="26"/>
        <v>6</v>
      </c>
    </row>
    <row r="288" spans="1:72" x14ac:dyDescent="0.2">
      <c r="A288" s="19" t="s">
        <v>351</v>
      </c>
      <c r="B288" s="1">
        <v>1259</v>
      </c>
      <c r="C288">
        <v>1</v>
      </c>
      <c r="D288" t="s">
        <v>48</v>
      </c>
      <c r="E288" s="2" t="s">
        <v>49</v>
      </c>
      <c r="F288">
        <v>1259</v>
      </c>
      <c r="G288">
        <v>1259</v>
      </c>
      <c r="H288" s="2">
        <v>403</v>
      </c>
      <c r="I288" s="3">
        <v>403</v>
      </c>
      <c r="J288" s="4">
        <f>403-61</f>
        <v>342</v>
      </c>
      <c r="K288" s="9">
        <v>241</v>
      </c>
      <c r="L288" s="5">
        <v>148</v>
      </c>
      <c r="M288" s="6">
        <v>168</v>
      </c>
      <c r="N288" s="11">
        <v>215</v>
      </c>
      <c r="Q288" s="4" t="s">
        <v>51</v>
      </c>
      <c r="R288" s="9" t="s">
        <v>80</v>
      </c>
      <c r="S288" s="5" t="s">
        <v>65</v>
      </c>
      <c r="T288" s="6" t="s">
        <v>74</v>
      </c>
      <c r="U288" s="11" t="s">
        <v>90</v>
      </c>
      <c r="W288" s="8">
        <v>6</v>
      </c>
      <c r="X288" s="8">
        <v>12</v>
      </c>
      <c r="Y288" s="4">
        <f>J288</f>
        <v>342</v>
      </c>
      <c r="Z288" s="4">
        <v>1</v>
      </c>
      <c r="AA288" s="11">
        <f>N288</f>
        <v>215</v>
      </c>
      <c r="AB288" s="11">
        <v>1</v>
      </c>
      <c r="AC288" s="6">
        <f>M288</f>
        <v>168</v>
      </c>
      <c r="AD288" s="6">
        <v>1</v>
      </c>
      <c r="AE288" s="5">
        <f>L288</f>
        <v>148</v>
      </c>
      <c r="AF288" s="5">
        <v>1</v>
      </c>
      <c r="AG288" s="9">
        <f>K288</f>
        <v>241</v>
      </c>
      <c r="AH288" s="9">
        <v>1</v>
      </c>
      <c r="AM288">
        <v>77</v>
      </c>
      <c r="AN288" t="s">
        <v>101</v>
      </c>
      <c r="AO288" t="s">
        <v>53</v>
      </c>
      <c r="AP288">
        <v>-28129</v>
      </c>
      <c r="AQ288">
        <v>0</v>
      </c>
      <c r="AR288" t="s">
        <v>54</v>
      </c>
      <c r="AS288" t="s">
        <v>55</v>
      </c>
      <c r="AT288" t="s">
        <v>55</v>
      </c>
      <c r="AU288" t="s">
        <v>56</v>
      </c>
      <c r="AV288">
        <v>1552</v>
      </c>
      <c r="AW288" t="s">
        <v>57</v>
      </c>
      <c r="AX288" t="s">
        <v>55</v>
      </c>
      <c r="AY288" t="s">
        <v>58</v>
      </c>
      <c r="AZ288" t="s">
        <v>59</v>
      </c>
      <c r="BA288" t="s">
        <v>55</v>
      </c>
      <c r="BB288" t="s">
        <v>49</v>
      </c>
      <c r="BC288" t="s">
        <v>49</v>
      </c>
      <c r="BD288" t="s">
        <v>106</v>
      </c>
      <c r="BE288" t="s">
        <v>55</v>
      </c>
      <c r="BF288">
        <v>24</v>
      </c>
      <c r="BG288" t="s">
        <v>60</v>
      </c>
      <c r="BH288" t="s">
        <v>61</v>
      </c>
      <c r="BI288" t="s">
        <v>62</v>
      </c>
      <c r="BJ288" t="s">
        <v>63</v>
      </c>
      <c r="BK288">
        <v>1997</v>
      </c>
      <c r="BL288">
        <v>1</v>
      </c>
      <c r="BM288">
        <v>1</v>
      </c>
      <c r="BN288">
        <v>1</v>
      </c>
      <c r="BO288">
        <v>1</v>
      </c>
      <c r="BP288">
        <v>1</v>
      </c>
      <c r="BR288">
        <f t="shared" si="27"/>
        <v>130</v>
      </c>
      <c r="BS288">
        <v>273</v>
      </c>
      <c r="BT288">
        <f t="shared" si="26"/>
        <v>5</v>
      </c>
    </row>
    <row r="289" spans="1:72" x14ac:dyDescent="0.2">
      <c r="A289" s="19" t="s">
        <v>352</v>
      </c>
      <c r="B289" s="1">
        <v>1767</v>
      </c>
      <c r="C289">
        <v>1</v>
      </c>
      <c r="D289" t="s">
        <v>48</v>
      </c>
      <c r="E289" s="2" t="s">
        <v>49</v>
      </c>
      <c r="F289">
        <v>1767</v>
      </c>
      <c r="G289">
        <v>1767</v>
      </c>
      <c r="H289" s="2">
        <v>553</v>
      </c>
      <c r="I289" s="3">
        <v>553</v>
      </c>
      <c r="J289" s="4">
        <f>553-17</f>
        <v>536</v>
      </c>
      <c r="K289" s="4">
        <v>298</v>
      </c>
      <c r="L289" s="9">
        <v>80</v>
      </c>
      <c r="M289">
        <v>365</v>
      </c>
      <c r="N289" s="4">
        <v>350</v>
      </c>
      <c r="O289">
        <v>76</v>
      </c>
      <c r="Q289" s="4" t="s">
        <v>51</v>
      </c>
      <c r="R289" s="4" t="s">
        <v>51</v>
      </c>
      <c r="S289" s="9" t="s">
        <v>80</v>
      </c>
      <c r="T289" t="s">
        <v>105</v>
      </c>
      <c r="U289" s="4" t="s">
        <v>51</v>
      </c>
      <c r="V289" t="s">
        <v>279</v>
      </c>
      <c r="W289" s="8">
        <v>6</v>
      </c>
      <c r="X289" s="8">
        <v>12</v>
      </c>
      <c r="Y289" s="4">
        <f>N289+K289+J289</f>
        <v>1184</v>
      </c>
      <c r="Z289" s="4">
        <v>1</v>
      </c>
      <c r="AG289" s="9">
        <f>L289</f>
        <v>80</v>
      </c>
      <c r="AH289" s="9">
        <v>1</v>
      </c>
      <c r="AM289">
        <v>53</v>
      </c>
      <c r="AN289" t="s">
        <v>52</v>
      </c>
      <c r="AO289" t="s">
        <v>53</v>
      </c>
      <c r="AP289">
        <v>-19393</v>
      </c>
      <c r="AQ289">
        <v>0</v>
      </c>
      <c r="AR289" t="s">
        <v>54</v>
      </c>
      <c r="AS289" t="s">
        <v>55</v>
      </c>
      <c r="AT289" t="s">
        <v>55</v>
      </c>
      <c r="AU289" t="s">
        <v>56</v>
      </c>
      <c r="AV289">
        <v>1553</v>
      </c>
      <c r="AW289" t="s">
        <v>57</v>
      </c>
      <c r="AX289" t="s">
        <v>55</v>
      </c>
      <c r="AY289" t="s">
        <v>58</v>
      </c>
      <c r="AZ289" t="s">
        <v>59</v>
      </c>
      <c r="BA289" t="s">
        <v>55</v>
      </c>
      <c r="BB289" t="s">
        <v>49</v>
      </c>
      <c r="BC289" t="s">
        <v>49</v>
      </c>
      <c r="BD289" t="s">
        <v>106</v>
      </c>
      <c r="BE289" t="s">
        <v>55</v>
      </c>
      <c r="BF289">
        <v>24</v>
      </c>
      <c r="BG289" t="s">
        <v>60</v>
      </c>
      <c r="BH289" t="s">
        <v>61</v>
      </c>
      <c r="BI289" t="s">
        <v>72</v>
      </c>
      <c r="BJ289" t="s">
        <v>63</v>
      </c>
      <c r="BK289">
        <v>1997</v>
      </c>
      <c r="BL289">
        <v>1</v>
      </c>
      <c r="BM289">
        <v>1</v>
      </c>
      <c r="BN289">
        <v>1</v>
      </c>
      <c r="BO289">
        <v>1</v>
      </c>
      <c r="BP289">
        <v>1</v>
      </c>
      <c r="BQ289">
        <v>1</v>
      </c>
      <c r="BR289">
        <f t="shared" si="27"/>
        <v>399</v>
      </c>
      <c r="BS289">
        <v>154</v>
      </c>
      <c r="BT289">
        <f t="shared" si="26"/>
        <v>6</v>
      </c>
    </row>
    <row r="290" spans="1:72" x14ac:dyDescent="0.2">
      <c r="A290" s="19" t="s">
        <v>353</v>
      </c>
      <c r="B290" s="1">
        <v>2692</v>
      </c>
      <c r="C290">
        <v>1</v>
      </c>
      <c r="D290" t="s">
        <v>48</v>
      </c>
      <c r="E290" s="2" t="s">
        <v>49</v>
      </c>
      <c r="F290">
        <v>2692</v>
      </c>
      <c r="G290">
        <v>2692</v>
      </c>
      <c r="H290" s="2">
        <v>1577</v>
      </c>
      <c r="I290" s="3">
        <v>1577</v>
      </c>
      <c r="J290" s="4">
        <v>1577</v>
      </c>
      <c r="K290" s="9">
        <v>396</v>
      </c>
      <c r="L290" s="4">
        <v>303</v>
      </c>
      <c r="M290" s="4">
        <v>244</v>
      </c>
      <c r="N290">
        <v>139</v>
      </c>
      <c r="O290" s="4">
        <v>57</v>
      </c>
      <c r="P290" s="8"/>
      <c r="Q290" s="4" t="s">
        <v>51</v>
      </c>
      <c r="R290" s="9" t="s">
        <v>80</v>
      </c>
      <c r="S290" s="4" t="s">
        <v>51</v>
      </c>
      <c r="T290" s="4" t="s">
        <v>51</v>
      </c>
      <c r="U290" t="s">
        <v>105</v>
      </c>
      <c r="V290" s="4" t="s">
        <v>51</v>
      </c>
      <c r="W290" s="8">
        <v>6</v>
      </c>
      <c r="X290" s="8">
        <v>12</v>
      </c>
      <c r="Y290" s="4">
        <f>SUM(J290,L290:M290,O290)</f>
        <v>2181</v>
      </c>
      <c r="Z290" s="4">
        <v>1</v>
      </c>
      <c r="AG290" s="9">
        <f>K290</f>
        <v>396</v>
      </c>
      <c r="AH290" s="9">
        <v>1</v>
      </c>
      <c r="AM290">
        <v>50</v>
      </c>
      <c r="AN290" t="s">
        <v>52</v>
      </c>
      <c r="AO290" t="s">
        <v>53</v>
      </c>
      <c r="AP290">
        <v>-18403</v>
      </c>
      <c r="AQ290">
        <v>0</v>
      </c>
      <c r="AR290" t="s">
        <v>54</v>
      </c>
      <c r="AS290" t="s">
        <v>55</v>
      </c>
      <c r="AT290" t="s">
        <v>55</v>
      </c>
      <c r="AU290" t="s">
        <v>56</v>
      </c>
      <c r="AV290">
        <v>1555</v>
      </c>
      <c r="AW290" t="s">
        <v>57</v>
      </c>
      <c r="AX290" t="s">
        <v>55</v>
      </c>
      <c r="AY290" t="s">
        <v>58</v>
      </c>
      <c r="AZ290" t="s">
        <v>59</v>
      </c>
      <c r="BA290" t="s">
        <v>55</v>
      </c>
      <c r="BB290" t="s">
        <v>49</v>
      </c>
      <c r="BC290" t="s">
        <v>49</v>
      </c>
      <c r="BD290" t="s">
        <v>106</v>
      </c>
      <c r="BE290" t="s">
        <v>55</v>
      </c>
      <c r="BF290">
        <v>24</v>
      </c>
      <c r="BG290" t="s">
        <v>60</v>
      </c>
      <c r="BH290" t="s">
        <v>49</v>
      </c>
      <c r="BI290" t="s">
        <v>62</v>
      </c>
      <c r="BJ290" t="s">
        <v>63</v>
      </c>
      <c r="BK290">
        <v>1997</v>
      </c>
      <c r="BL290">
        <v>1</v>
      </c>
      <c r="BM290">
        <v>1</v>
      </c>
      <c r="BN290">
        <v>1</v>
      </c>
      <c r="BO290">
        <v>1</v>
      </c>
      <c r="BP290">
        <v>1</v>
      </c>
      <c r="BQ290">
        <v>1</v>
      </c>
      <c r="BR290">
        <f t="shared" si="27"/>
        <v>1577</v>
      </c>
      <c r="BT290">
        <f t="shared" si="26"/>
        <v>6</v>
      </c>
    </row>
    <row r="291" spans="1:72" x14ac:dyDescent="0.2">
      <c r="A291" s="19" t="s">
        <v>607</v>
      </c>
      <c r="B291" s="1">
        <v>2148</v>
      </c>
      <c r="C291">
        <v>1</v>
      </c>
      <c r="D291" s="8" t="s">
        <v>48</v>
      </c>
      <c r="E291" s="12" t="s">
        <v>49</v>
      </c>
      <c r="F291" s="8">
        <v>2148</v>
      </c>
      <c r="G291" s="8">
        <v>2148</v>
      </c>
      <c r="H291" s="12">
        <v>549</v>
      </c>
      <c r="I291" s="3">
        <v>549</v>
      </c>
      <c r="J291" s="8">
        <v>549</v>
      </c>
      <c r="K291" s="23">
        <v>1185</v>
      </c>
      <c r="L291" s="4">
        <v>414</v>
      </c>
      <c r="M291" s="8"/>
      <c r="N291" s="8"/>
      <c r="O291" s="8"/>
      <c r="P291" s="8"/>
      <c r="Q291" s="8" t="s">
        <v>608</v>
      </c>
      <c r="R291" s="23" t="s">
        <v>80</v>
      </c>
      <c r="S291" s="4" t="s">
        <v>51</v>
      </c>
      <c r="T291" s="8"/>
      <c r="U291" s="8"/>
      <c r="V291" s="8"/>
      <c r="W291" s="8">
        <v>6</v>
      </c>
      <c r="X291" s="8">
        <v>12</v>
      </c>
      <c r="Y291" s="4">
        <f>L291</f>
        <v>414</v>
      </c>
      <c r="Z291" s="4">
        <v>1</v>
      </c>
      <c r="AA291" s="8"/>
      <c r="AB291" s="8"/>
      <c r="AC291" s="8"/>
      <c r="AD291" s="8"/>
      <c r="AE291" s="8"/>
      <c r="AF291" s="8"/>
      <c r="AG291" s="23">
        <v>1185</v>
      </c>
      <c r="AH291" s="9">
        <v>1</v>
      </c>
      <c r="AI291" s="8"/>
      <c r="AJ291" s="8"/>
      <c r="AK291" s="8"/>
      <c r="AL291" s="8"/>
      <c r="AM291" s="8">
        <v>50</v>
      </c>
      <c r="AN291" s="8" t="s">
        <v>101</v>
      </c>
      <c r="AO291" s="8" t="s">
        <v>53</v>
      </c>
      <c r="AP291" s="8">
        <v>-18516</v>
      </c>
      <c r="AQ291" s="8">
        <v>0</v>
      </c>
      <c r="AR291" s="8" t="s">
        <v>54</v>
      </c>
      <c r="AS291" s="8" t="s">
        <v>55</v>
      </c>
      <c r="AT291" s="8" t="s">
        <v>55</v>
      </c>
      <c r="AU291" s="8" t="s">
        <v>56</v>
      </c>
      <c r="AV291" s="8">
        <v>1556</v>
      </c>
      <c r="AW291" s="8" t="s">
        <v>57</v>
      </c>
      <c r="AX291" s="8" t="s">
        <v>55</v>
      </c>
      <c r="AY291" s="8" t="s">
        <v>58</v>
      </c>
      <c r="AZ291" s="8" t="s">
        <v>59</v>
      </c>
      <c r="BA291" s="8" t="s">
        <v>55</v>
      </c>
      <c r="BB291" s="8" t="s">
        <v>49</v>
      </c>
      <c r="BC291" s="8" t="s">
        <v>49</v>
      </c>
      <c r="BD291" s="8" t="s">
        <v>106</v>
      </c>
      <c r="BE291" s="8" t="s">
        <v>55</v>
      </c>
      <c r="BF291" s="8">
        <v>24</v>
      </c>
      <c r="BG291" s="8" t="s">
        <v>60</v>
      </c>
      <c r="BH291" s="8" t="s">
        <v>61</v>
      </c>
      <c r="BI291" s="8" t="s">
        <v>559</v>
      </c>
      <c r="BJ291" s="8" t="s">
        <v>63</v>
      </c>
      <c r="BK291" s="8">
        <v>2000</v>
      </c>
      <c r="BL291">
        <v>1</v>
      </c>
      <c r="BM291">
        <v>1</v>
      </c>
      <c r="BN291">
        <v>1</v>
      </c>
      <c r="BR291">
        <f t="shared" si="27"/>
        <v>549</v>
      </c>
      <c r="BT291">
        <f t="shared" si="26"/>
        <v>3</v>
      </c>
    </row>
    <row r="292" spans="1:72" x14ac:dyDescent="0.2">
      <c r="A292" s="19" t="s">
        <v>354</v>
      </c>
      <c r="B292" s="1">
        <v>1213</v>
      </c>
      <c r="C292">
        <v>1</v>
      </c>
      <c r="D292" t="s">
        <v>48</v>
      </c>
      <c r="E292" s="2">
        <v>447</v>
      </c>
      <c r="F292">
        <v>1213</v>
      </c>
      <c r="G292">
        <v>1213</v>
      </c>
      <c r="H292" s="2" t="s">
        <v>49</v>
      </c>
      <c r="I292" s="3">
        <v>368</v>
      </c>
      <c r="J292">
        <f>368-27</f>
        <v>341</v>
      </c>
      <c r="K292" s="8">
        <v>94</v>
      </c>
      <c r="L292" s="4">
        <f>754-462</f>
        <v>292</v>
      </c>
      <c r="M292" s="23">
        <v>121</v>
      </c>
      <c r="N292" s="21">
        <v>152</v>
      </c>
      <c r="O292" s="4">
        <f>G292-1027</f>
        <v>186</v>
      </c>
      <c r="P292" s="8" t="s">
        <v>807</v>
      </c>
      <c r="Q292" t="s">
        <v>342</v>
      </c>
      <c r="R292" t="s">
        <v>105</v>
      </c>
      <c r="S292" s="4" t="s">
        <v>51</v>
      </c>
      <c r="T292" s="23" t="s">
        <v>80</v>
      </c>
      <c r="U292" s="21" t="s">
        <v>87</v>
      </c>
      <c r="V292" s="4" t="s">
        <v>51</v>
      </c>
      <c r="W292" s="8">
        <v>12</v>
      </c>
      <c r="X292" s="8">
        <v>24</v>
      </c>
      <c r="Y292" s="4">
        <f>O292+L292</f>
        <v>478</v>
      </c>
      <c r="Z292" s="4">
        <v>1</v>
      </c>
      <c r="AG292" s="9">
        <f>M292</f>
        <v>121</v>
      </c>
      <c r="AH292" s="9">
        <v>1</v>
      </c>
      <c r="AK292" s="10">
        <f>N292</f>
        <v>152</v>
      </c>
      <c r="AL292" s="10">
        <v>1</v>
      </c>
      <c r="AM292">
        <v>49</v>
      </c>
      <c r="AN292" t="s">
        <v>52</v>
      </c>
      <c r="AO292" t="s">
        <v>53</v>
      </c>
      <c r="AP292">
        <v>-17943</v>
      </c>
      <c r="AQ292">
        <v>0</v>
      </c>
      <c r="AR292" t="s">
        <v>54</v>
      </c>
      <c r="AS292" t="s">
        <v>55</v>
      </c>
      <c r="AT292" t="s">
        <v>55</v>
      </c>
      <c r="AU292" t="s">
        <v>56</v>
      </c>
      <c r="AV292">
        <v>1557</v>
      </c>
      <c r="AW292" t="s">
        <v>57</v>
      </c>
      <c r="AX292" t="s">
        <v>55</v>
      </c>
      <c r="AY292" t="s">
        <v>114</v>
      </c>
      <c r="AZ292" t="s">
        <v>59</v>
      </c>
      <c r="BA292" t="s">
        <v>55</v>
      </c>
      <c r="BB292" t="s">
        <v>49</v>
      </c>
      <c r="BC292" t="s">
        <v>49</v>
      </c>
      <c r="BD292" t="s">
        <v>106</v>
      </c>
      <c r="BE292" t="s">
        <v>55</v>
      </c>
      <c r="BF292">
        <v>24</v>
      </c>
      <c r="BG292" t="s">
        <v>60</v>
      </c>
      <c r="BH292" t="s">
        <v>82</v>
      </c>
      <c r="BI292" t="s">
        <v>62</v>
      </c>
      <c r="BJ292" t="s">
        <v>63</v>
      </c>
      <c r="BK292">
        <v>2000</v>
      </c>
      <c r="BL292">
        <v>1</v>
      </c>
      <c r="BM292">
        <v>1</v>
      </c>
      <c r="BN292">
        <v>1</v>
      </c>
      <c r="BO292">
        <v>1</v>
      </c>
      <c r="BP292">
        <v>1</v>
      </c>
      <c r="BQ292">
        <v>1</v>
      </c>
      <c r="BR292">
        <f t="shared" si="27"/>
        <v>87</v>
      </c>
      <c r="BS292">
        <v>281</v>
      </c>
      <c r="BT292">
        <f t="shared" si="26"/>
        <v>6</v>
      </c>
    </row>
    <row r="293" spans="1:72" x14ac:dyDescent="0.2">
      <c r="A293" s="19" t="s">
        <v>355</v>
      </c>
      <c r="B293" s="1">
        <v>594</v>
      </c>
      <c r="C293">
        <v>1</v>
      </c>
      <c r="D293" t="s">
        <v>48</v>
      </c>
      <c r="E293" s="2" t="s">
        <v>49</v>
      </c>
      <c r="F293">
        <v>594</v>
      </c>
      <c r="G293">
        <v>594</v>
      </c>
      <c r="H293" s="2">
        <v>273</v>
      </c>
      <c r="I293" s="3">
        <v>273</v>
      </c>
      <c r="J293">
        <f>273-37</f>
        <v>236</v>
      </c>
      <c r="K293" s="6">
        <v>87</v>
      </c>
      <c r="L293" s="5">
        <v>112</v>
      </c>
      <c r="M293" s="7">
        <v>79</v>
      </c>
      <c r="Q293" t="s">
        <v>342</v>
      </c>
      <c r="R293" s="6" t="s">
        <v>74</v>
      </c>
      <c r="S293" s="5" t="s">
        <v>65</v>
      </c>
      <c r="T293" s="7" t="s">
        <v>75</v>
      </c>
      <c r="W293" s="8">
        <v>10</v>
      </c>
      <c r="X293" s="8">
        <v>30</v>
      </c>
      <c r="AC293" s="6">
        <f>K293</f>
        <v>87</v>
      </c>
      <c r="AD293" s="6">
        <v>1</v>
      </c>
      <c r="AE293" s="5">
        <f>L293</f>
        <v>112</v>
      </c>
      <c r="AF293" s="5">
        <v>1</v>
      </c>
      <c r="AI293" s="7">
        <f>M293</f>
        <v>79</v>
      </c>
      <c r="AJ293" s="7">
        <v>1</v>
      </c>
      <c r="AK293" s="8"/>
      <c r="AL293" s="8"/>
      <c r="AM293">
        <v>73</v>
      </c>
      <c r="AN293" t="s">
        <v>52</v>
      </c>
      <c r="AO293" t="s">
        <v>53</v>
      </c>
      <c r="AP293">
        <v>-27004</v>
      </c>
      <c r="AQ293">
        <v>0</v>
      </c>
      <c r="AR293" t="s">
        <v>54</v>
      </c>
      <c r="AS293" t="s">
        <v>55</v>
      </c>
      <c r="AT293" t="s">
        <v>55</v>
      </c>
      <c r="AU293" t="s">
        <v>56</v>
      </c>
      <c r="AV293">
        <v>1558</v>
      </c>
      <c r="AW293" t="s">
        <v>57</v>
      </c>
      <c r="AX293" t="s">
        <v>55</v>
      </c>
      <c r="AY293" t="s">
        <v>114</v>
      </c>
      <c r="AZ293" t="s">
        <v>59</v>
      </c>
      <c r="BA293" t="s">
        <v>55</v>
      </c>
      <c r="BB293" t="s">
        <v>49</v>
      </c>
      <c r="BC293" t="s">
        <v>49</v>
      </c>
      <c r="BD293" t="s">
        <v>106</v>
      </c>
      <c r="BE293" t="s">
        <v>55</v>
      </c>
      <c r="BF293">
        <v>24</v>
      </c>
      <c r="BG293" t="s">
        <v>60</v>
      </c>
      <c r="BH293" t="s">
        <v>61</v>
      </c>
      <c r="BI293" t="s">
        <v>62</v>
      </c>
      <c r="BJ293" t="s">
        <v>63</v>
      </c>
      <c r="BK293">
        <v>2000</v>
      </c>
      <c r="BL293">
        <v>1</v>
      </c>
      <c r="BM293">
        <v>1</v>
      </c>
      <c r="BN293">
        <v>1</v>
      </c>
      <c r="BO293">
        <v>1</v>
      </c>
      <c r="BR293">
        <f t="shared" si="27"/>
        <v>26</v>
      </c>
      <c r="BS293">
        <v>247</v>
      </c>
      <c r="BT293">
        <f t="shared" si="26"/>
        <v>4</v>
      </c>
    </row>
    <row r="294" spans="1:72" x14ac:dyDescent="0.2">
      <c r="A294" s="19" t="s">
        <v>356</v>
      </c>
      <c r="B294" s="1">
        <v>1341</v>
      </c>
      <c r="C294">
        <v>1</v>
      </c>
      <c r="D294" t="s">
        <v>48</v>
      </c>
      <c r="E294" s="2" t="s">
        <v>49</v>
      </c>
      <c r="F294">
        <v>1341</v>
      </c>
      <c r="G294">
        <v>1341</v>
      </c>
      <c r="H294" s="2">
        <v>143</v>
      </c>
      <c r="I294" s="3">
        <v>398</v>
      </c>
      <c r="J294" s="4">
        <f>398-15</f>
        <v>383</v>
      </c>
      <c r="K294" s="9">
        <v>111</v>
      </c>
      <c r="L294" s="4">
        <v>126</v>
      </c>
      <c r="M294">
        <v>122</v>
      </c>
      <c r="N294">
        <v>174</v>
      </c>
      <c r="O294">
        <v>112</v>
      </c>
      <c r="P294" t="s">
        <v>808</v>
      </c>
      <c r="Q294" s="4" t="s">
        <v>51</v>
      </c>
      <c r="R294" s="9" t="s">
        <v>80</v>
      </c>
      <c r="S294" s="4" t="s">
        <v>51</v>
      </c>
      <c r="T294" t="s">
        <v>105</v>
      </c>
      <c r="U294" t="s">
        <v>357</v>
      </c>
      <c r="V294" t="s">
        <v>279</v>
      </c>
      <c r="W294" s="8">
        <v>6</v>
      </c>
      <c r="X294" s="8">
        <v>12</v>
      </c>
      <c r="Y294" s="4">
        <f>J294+L294</f>
        <v>509</v>
      </c>
      <c r="Z294" s="4">
        <v>1</v>
      </c>
      <c r="AG294" s="9">
        <f>K294</f>
        <v>111</v>
      </c>
      <c r="AH294" s="9">
        <v>1</v>
      </c>
      <c r="AM294">
        <v>51</v>
      </c>
      <c r="AN294" t="s">
        <v>101</v>
      </c>
      <c r="AO294" t="s">
        <v>53</v>
      </c>
      <c r="AP294">
        <v>-18670</v>
      </c>
      <c r="AQ294">
        <v>0</v>
      </c>
      <c r="AR294" t="s">
        <v>54</v>
      </c>
      <c r="AS294" t="s">
        <v>55</v>
      </c>
      <c r="AT294" t="s">
        <v>55</v>
      </c>
      <c r="AU294" t="s">
        <v>56</v>
      </c>
      <c r="AV294">
        <v>1560</v>
      </c>
      <c r="AW294" t="s">
        <v>57</v>
      </c>
      <c r="AX294" t="s">
        <v>55</v>
      </c>
      <c r="AY294" t="s">
        <v>58</v>
      </c>
      <c r="AZ294" t="s">
        <v>59</v>
      </c>
      <c r="BA294" t="s">
        <v>55</v>
      </c>
      <c r="BB294" t="s">
        <v>49</v>
      </c>
      <c r="BC294" t="s">
        <v>49</v>
      </c>
      <c r="BD294" t="s">
        <v>106</v>
      </c>
      <c r="BE294" t="s">
        <v>55</v>
      </c>
      <c r="BF294">
        <v>24</v>
      </c>
      <c r="BG294" t="s">
        <v>60</v>
      </c>
      <c r="BH294" t="s">
        <v>61</v>
      </c>
      <c r="BI294" t="s">
        <v>62</v>
      </c>
      <c r="BJ294" t="s">
        <v>63</v>
      </c>
      <c r="BK294">
        <v>1999</v>
      </c>
      <c r="BL294">
        <v>1</v>
      </c>
      <c r="BM294">
        <v>1</v>
      </c>
      <c r="BN294">
        <v>1</v>
      </c>
      <c r="BO294">
        <v>1</v>
      </c>
      <c r="BP294">
        <v>1</v>
      </c>
      <c r="BQ294">
        <v>1</v>
      </c>
      <c r="BR294">
        <f t="shared" si="27"/>
        <v>281</v>
      </c>
      <c r="BS294">
        <v>117</v>
      </c>
      <c r="BT294">
        <f t="shared" si="26"/>
        <v>6</v>
      </c>
    </row>
    <row r="295" spans="1:72" x14ac:dyDescent="0.2">
      <c r="A295" s="19" t="s">
        <v>358</v>
      </c>
      <c r="B295" s="1">
        <v>1384</v>
      </c>
      <c r="C295">
        <v>1</v>
      </c>
      <c r="D295" t="s">
        <v>48</v>
      </c>
      <c r="E295" s="2" t="s">
        <v>49</v>
      </c>
      <c r="F295">
        <v>1384</v>
      </c>
      <c r="G295">
        <v>1384</v>
      </c>
      <c r="H295" s="2">
        <v>228</v>
      </c>
      <c r="I295" s="3">
        <v>228</v>
      </c>
      <c r="J295" s="4">
        <f>228-21</f>
        <v>207</v>
      </c>
      <c r="K295" s="9">
        <v>273</v>
      </c>
      <c r="L295" s="5">
        <v>147</v>
      </c>
      <c r="M295" s="4">
        <v>173</v>
      </c>
      <c r="N295" s="4">
        <v>534</v>
      </c>
      <c r="Q295" s="4" t="s">
        <v>51</v>
      </c>
      <c r="R295" s="9" t="s">
        <v>80</v>
      </c>
      <c r="S295" s="5" t="s">
        <v>65</v>
      </c>
      <c r="T295" s="4" t="s">
        <v>51</v>
      </c>
      <c r="U295" s="4" t="s">
        <v>51</v>
      </c>
      <c r="W295" s="8">
        <v>6</v>
      </c>
      <c r="X295" s="8">
        <v>12</v>
      </c>
      <c r="Y295" s="4">
        <f>SUM(J295,M295:N295)</f>
        <v>914</v>
      </c>
      <c r="Z295" s="4">
        <v>1</v>
      </c>
      <c r="AE295" s="5">
        <f>L295</f>
        <v>147</v>
      </c>
      <c r="AF295" s="5">
        <v>1</v>
      </c>
      <c r="AG295" s="9">
        <f>K295</f>
        <v>273</v>
      </c>
      <c r="AH295" s="9">
        <v>1</v>
      </c>
      <c r="AM295">
        <v>67</v>
      </c>
      <c r="AN295" t="s">
        <v>52</v>
      </c>
      <c r="AO295" t="s">
        <v>53</v>
      </c>
      <c r="AP295">
        <v>-24747</v>
      </c>
      <c r="AQ295">
        <v>0</v>
      </c>
      <c r="AR295" t="s">
        <v>54</v>
      </c>
      <c r="AS295" t="s">
        <v>55</v>
      </c>
      <c r="AT295" t="s">
        <v>55</v>
      </c>
      <c r="AU295" t="s">
        <v>56</v>
      </c>
      <c r="AV295">
        <v>1562</v>
      </c>
      <c r="AW295" t="s">
        <v>57</v>
      </c>
      <c r="AX295" t="s">
        <v>55</v>
      </c>
      <c r="AY295" t="s">
        <v>58</v>
      </c>
      <c r="AZ295" t="s">
        <v>59</v>
      </c>
      <c r="BA295" t="s">
        <v>55</v>
      </c>
      <c r="BB295" t="s">
        <v>49</v>
      </c>
      <c r="BC295" t="s">
        <v>49</v>
      </c>
      <c r="BD295" t="s">
        <v>106</v>
      </c>
      <c r="BE295" t="s">
        <v>55</v>
      </c>
      <c r="BF295">
        <v>24</v>
      </c>
      <c r="BG295" t="s">
        <v>60</v>
      </c>
      <c r="BH295" t="s">
        <v>61</v>
      </c>
      <c r="BI295" t="s">
        <v>62</v>
      </c>
      <c r="BJ295" t="s">
        <v>63</v>
      </c>
      <c r="BK295">
        <v>1999</v>
      </c>
      <c r="BL295">
        <v>1</v>
      </c>
      <c r="BM295">
        <v>1</v>
      </c>
      <c r="BN295">
        <v>1</v>
      </c>
      <c r="BO295">
        <v>1</v>
      </c>
      <c r="BP295">
        <v>1</v>
      </c>
      <c r="BR295">
        <f t="shared" si="27"/>
        <v>77</v>
      </c>
      <c r="BS295">
        <v>151</v>
      </c>
      <c r="BT295">
        <f t="shared" si="26"/>
        <v>5</v>
      </c>
    </row>
    <row r="296" spans="1:72" x14ac:dyDescent="0.2">
      <c r="A296" s="19" t="s">
        <v>359</v>
      </c>
      <c r="B296" s="1">
        <v>1451</v>
      </c>
      <c r="C296">
        <v>1</v>
      </c>
      <c r="D296" t="s">
        <v>48</v>
      </c>
      <c r="E296" s="2" t="s">
        <v>49</v>
      </c>
      <c r="F296">
        <v>1451</v>
      </c>
      <c r="G296">
        <v>1451</v>
      </c>
      <c r="H296" s="2">
        <v>396</v>
      </c>
      <c r="I296" s="3">
        <v>396</v>
      </c>
      <c r="J296" s="4">
        <f>396-22</f>
        <v>374</v>
      </c>
      <c r="K296" s="9">
        <v>320</v>
      </c>
      <c r="L296" s="6">
        <v>83</v>
      </c>
      <c r="M296">
        <v>83</v>
      </c>
      <c r="N296" s="11">
        <v>77</v>
      </c>
      <c r="O296" s="9">
        <v>294</v>
      </c>
      <c r="P296" s="8" t="s">
        <v>798</v>
      </c>
      <c r="Q296" s="4" t="s">
        <v>51</v>
      </c>
      <c r="R296" s="9" t="s">
        <v>80</v>
      </c>
      <c r="S296" s="6" t="s">
        <v>74</v>
      </c>
      <c r="T296" t="s">
        <v>105</v>
      </c>
      <c r="U296" s="11" t="s">
        <v>90</v>
      </c>
      <c r="V296" s="9" t="s">
        <v>80</v>
      </c>
      <c r="W296" s="8">
        <v>6</v>
      </c>
      <c r="X296" s="8">
        <v>12</v>
      </c>
      <c r="Y296" s="4">
        <f>J296</f>
        <v>374</v>
      </c>
      <c r="Z296" s="4">
        <v>1</v>
      </c>
      <c r="AA296" s="11">
        <f>N296</f>
        <v>77</v>
      </c>
      <c r="AB296" s="11">
        <v>1</v>
      </c>
      <c r="AC296" s="6">
        <f>L296</f>
        <v>83</v>
      </c>
      <c r="AD296" s="6">
        <v>1</v>
      </c>
      <c r="AG296" s="9">
        <f>O296+K296</f>
        <v>614</v>
      </c>
      <c r="AH296" s="9">
        <v>1</v>
      </c>
      <c r="AM296">
        <v>66</v>
      </c>
      <c r="AN296" t="s">
        <v>101</v>
      </c>
      <c r="AO296" t="s">
        <v>53</v>
      </c>
      <c r="AP296">
        <v>-24274</v>
      </c>
      <c r="AQ296">
        <v>0</v>
      </c>
      <c r="AR296" t="s">
        <v>54</v>
      </c>
      <c r="AS296" t="s">
        <v>55</v>
      </c>
      <c r="AT296" t="s">
        <v>55</v>
      </c>
      <c r="AU296" t="s">
        <v>56</v>
      </c>
      <c r="AV296">
        <v>1563</v>
      </c>
      <c r="AW296" t="s">
        <v>57</v>
      </c>
      <c r="AX296" t="s">
        <v>55</v>
      </c>
      <c r="AY296" t="s">
        <v>58</v>
      </c>
      <c r="AZ296" t="s">
        <v>111</v>
      </c>
      <c r="BA296" t="s">
        <v>55</v>
      </c>
      <c r="BB296" t="s">
        <v>49</v>
      </c>
      <c r="BC296" t="s">
        <v>49</v>
      </c>
      <c r="BD296" t="s">
        <v>106</v>
      </c>
      <c r="BE296" t="s">
        <v>55</v>
      </c>
      <c r="BF296">
        <v>24</v>
      </c>
      <c r="BG296" t="s">
        <v>60</v>
      </c>
      <c r="BH296" t="s">
        <v>61</v>
      </c>
      <c r="BI296" t="s">
        <v>62</v>
      </c>
      <c r="BJ296" t="s">
        <v>63</v>
      </c>
      <c r="BK296">
        <v>1999</v>
      </c>
      <c r="BL296">
        <v>1</v>
      </c>
      <c r="BM296">
        <v>1</v>
      </c>
      <c r="BN296">
        <v>1</v>
      </c>
      <c r="BO296">
        <v>1</v>
      </c>
      <c r="BP296">
        <v>1</v>
      </c>
      <c r="BQ296">
        <v>1</v>
      </c>
      <c r="BR296">
        <f t="shared" si="27"/>
        <v>253</v>
      </c>
      <c r="BS296">
        <v>143</v>
      </c>
      <c r="BT296">
        <f t="shared" si="26"/>
        <v>6</v>
      </c>
    </row>
    <row r="297" spans="1:72" x14ac:dyDescent="0.2">
      <c r="A297" s="19" t="s">
        <v>360</v>
      </c>
      <c r="B297" s="1">
        <v>787</v>
      </c>
      <c r="C297">
        <v>1</v>
      </c>
      <c r="D297" t="s">
        <v>48</v>
      </c>
      <c r="E297" s="2" t="s">
        <v>49</v>
      </c>
      <c r="F297">
        <v>787</v>
      </c>
      <c r="G297">
        <v>787</v>
      </c>
      <c r="H297" s="2">
        <v>221</v>
      </c>
      <c r="I297" s="3">
        <v>221</v>
      </c>
      <c r="J297" s="4">
        <f>221-8</f>
        <v>213</v>
      </c>
      <c r="K297" s="8">
        <v>85</v>
      </c>
      <c r="L297" s="9">
        <v>102</v>
      </c>
      <c r="M297" s="5">
        <v>64</v>
      </c>
      <c r="N297" s="6">
        <v>90</v>
      </c>
      <c r="O297">
        <v>198</v>
      </c>
      <c r="Q297" s="4" t="s">
        <v>51</v>
      </c>
      <c r="R297" s="8" t="s">
        <v>809</v>
      </c>
      <c r="S297" s="9" t="s">
        <v>80</v>
      </c>
      <c r="T297" s="5" t="s">
        <v>65</v>
      </c>
      <c r="U297" s="6" t="s">
        <v>74</v>
      </c>
      <c r="V297" t="s">
        <v>361</v>
      </c>
      <c r="W297" s="8">
        <v>6</v>
      </c>
      <c r="X297" s="8">
        <v>12</v>
      </c>
      <c r="Y297" s="4">
        <f>J297</f>
        <v>213</v>
      </c>
      <c r="Z297" s="4">
        <v>1</v>
      </c>
      <c r="AC297" s="6">
        <f>N297</f>
        <v>90</v>
      </c>
      <c r="AD297" s="6">
        <v>1</v>
      </c>
      <c r="AE297" s="5">
        <f>M297</f>
        <v>64</v>
      </c>
      <c r="AF297" s="5">
        <v>1</v>
      </c>
      <c r="AG297" s="9">
        <f>L297</f>
        <v>102</v>
      </c>
      <c r="AH297" s="9">
        <v>1</v>
      </c>
      <c r="AM297">
        <v>67</v>
      </c>
      <c r="AN297" t="s">
        <v>52</v>
      </c>
      <c r="AO297" t="s">
        <v>53</v>
      </c>
      <c r="AP297">
        <v>-24667</v>
      </c>
      <c r="AQ297">
        <v>0</v>
      </c>
      <c r="AR297" t="s">
        <v>54</v>
      </c>
      <c r="AS297" t="s">
        <v>55</v>
      </c>
      <c r="AT297" t="s">
        <v>55</v>
      </c>
      <c r="AU297" t="s">
        <v>56</v>
      </c>
      <c r="AV297">
        <v>1564</v>
      </c>
      <c r="AW297" t="s">
        <v>57</v>
      </c>
      <c r="AX297" t="s">
        <v>55</v>
      </c>
      <c r="AY297" t="s">
        <v>58</v>
      </c>
      <c r="AZ297" t="s">
        <v>59</v>
      </c>
      <c r="BA297" t="s">
        <v>55</v>
      </c>
      <c r="BB297" t="s">
        <v>49</v>
      </c>
      <c r="BC297" t="s">
        <v>49</v>
      </c>
      <c r="BD297" t="s">
        <v>66</v>
      </c>
      <c r="BE297" t="s">
        <v>55</v>
      </c>
      <c r="BF297">
        <v>24</v>
      </c>
      <c r="BG297" t="s">
        <v>60</v>
      </c>
      <c r="BH297" t="s">
        <v>61</v>
      </c>
      <c r="BI297" t="s">
        <v>62</v>
      </c>
      <c r="BJ297" t="s">
        <v>63</v>
      </c>
      <c r="BK297">
        <v>1997</v>
      </c>
      <c r="BL297">
        <v>1</v>
      </c>
      <c r="BM297">
        <v>1</v>
      </c>
      <c r="BN297">
        <v>1</v>
      </c>
      <c r="BO297">
        <v>1</v>
      </c>
      <c r="BP297">
        <v>1</v>
      </c>
      <c r="BQ297">
        <v>1</v>
      </c>
      <c r="BR297">
        <f t="shared" si="27"/>
        <v>105</v>
      </c>
      <c r="BS297">
        <v>116</v>
      </c>
      <c r="BT297">
        <f t="shared" si="26"/>
        <v>6</v>
      </c>
    </row>
    <row r="298" spans="1:72" x14ac:dyDescent="0.2">
      <c r="A298" s="19" t="s">
        <v>362</v>
      </c>
      <c r="B298" s="1">
        <v>312</v>
      </c>
      <c r="C298">
        <v>1</v>
      </c>
      <c r="D298" t="s">
        <v>48</v>
      </c>
      <c r="E298" s="2" t="s">
        <v>49</v>
      </c>
      <c r="F298">
        <v>312</v>
      </c>
      <c r="G298">
        <v>312</v>
      </c>
      <c r="H298" s="2">
        <v>145</v>
      </c>
      <c r="I298" s="3">
        <v>145</v>
      </c>
      <c r="J298" s="4">
        <f>145-39</f>
        <v>106</v>
      </c>
      <c r="K298" s="9">
        <v>134</v>
      </c>
      <c r="Q298" s="4" t="s">
        <v>51</v>
      </c>
      <c r="R298" s="9" t="s">
        <v>80</v>
      </c>
      <c r="W298" s="8">
        <v>6</v>
      </c>
      <c r="X298" s="8">
        <v>12</v>
      </c>
      <c r="Y298" s="4">
        <f>J298</f>
        <v>106</v>
      </c>
      <c r="Z298" s="4">
        <v>1</v>
      </c>
      <c r="AG298" s="9">
        <f>K298</f>
        <v>134</v>
      </c>
      <c r="AH298" s="9">
        <v>1</v>
      </c>
      <c r="AM298">
        <v>74</v>
      </c>
      <c r="AN298" t="s">
        <v>52</v>
      </c>
      <c r="AO298" t="s">
        <v>53</v>
      </c>
      <c r="AP298">
        <v>-27048</v>
      </c>
      <c r="AQ298">
        <v>0</v>
      </c>
      <c r="AR298" t="s">
        <v>54</v>
      </c>
      <c r="AS298" t="s">
        <v>55</v>
      </c>
      <c r="AT298" t="s">
        <v>55</v>
      </c>
      <c r="AU298" t="s">
        <v>56</v>
      </c>
      <c r="AV298">
        <v>1565</v>
      </c>
      <c r="AW298" t="s">
        <v>57</v>
      </c>
      <c r="AX298" t="s">
        <v>55</v>
      </c>
      <c r="AY298" t="s">
        <v>114</v>
      </c>
      <c r="AZ298" t="s">
        <v>59</v>
      </c>
      <c r="BA298" t="s">
        <v>55</v>
      </c>
      <c r="BB298" t="s">
        <v>49</v>
      </c>
      <c r="BC298" t="s">
        <v>49</v>
      </c>
      <c r="BD298" t="s">
        <v>66</v>
      </c>
      <c r="BE298" t="s">
        <v>55</v>
      </c>
      <c r="BF298">
        <v>24</v>
      </c>
      <c r="BG298" t="s">
        <v>60</v>
      </c>
      <c r="BH298" t="s">
        <v>61</v>
      </c>
      <c r="BI298" t="s">
        <v>62</v>
      </c>
      <c r="BJ298" t="s">
        <v>63</v>
      </c>
      <c r="BK298">
        <v>1997</v>
      </c>
      <c r="BL298">
        <v>1</v>
      </c>
      <c r="BM298">
        <v>1</v>
      </c>
      <c r="BR298">
        <f t="shared" si="27"/>
        <v>22</v>
      </c>
      <c r="BS298">
        <v>123</v>
      </c>
      <c r="BT298">
        <f t="shared" si="26"/>
        <v>2</v>
      </c>
    </row>
    <row r="299" spans="1:72" x14ac:dyDescent="0.2">
      <c r="A299" s="19" t="s">
        <v>363</v>
      </c>
      <c r="B299" s="1">
        <v>524</v>
      </c>
      <c r="C299">
        <v>1</v>
      </c>
      <c r="D299" t="s">
        <v>48</v>
      </c>
      <c r="E299" s="2" t="s">
        <v>49</v>
      </c>
      <c r="F299">
        <v>524</v>
      </c>
      <c r="G299">
        <v>524</v>
      </c>
      <c r="H299" s="2">
        <v>335</v>
      </c>
      <c r="I299" s="3">
        <v>335</v>
      </c>
      <c r="J299" s="4">
        <f>I299-41</f>
        <v>294</v>
      </c>
      <c r="K299" s="9">
        <v>230</v>
      </c>
      <c r="Q299" s="4" t="s">
        <v>51</v>
      </c>
      <c r="R299" s="9" t="s">
        <v>80</v>
      </c>
      <c r="W299" s="8">
        <v>6</v>
      </c>
      <c r="X299" s="8">
        <v>12</v>
      </c>
      <c r="Y299" s="4">
        <f>J299</f>
        <v>294</v>
      </c>
      <c r="Z299" s="4">
        <v>1</v>
      </c>
      <c r="AG299" s="9">
        <f>K299</f>
        <v>230</v>
      </c>
      <c r="AH299" s="9">
        <v>1</v>
      </c>
      <c r="AM299">
        <v>54</v>
      </c>
      <c r="AN299" t="s">
        <v>52</v>
      </c>
      <c r="AO299" t="s">
        <v>53</v>
      </c>
      <c r="AP299">
        <v>-19843</v>
      </c>
      <c r="AQ299">
        <v>0</v>
      </c>
      <c r="AR299" t="s">
        <v>54</v>
      </c>
      <c r="AS299" t="s">
        <v>55</v>
      </c>
      <c r="AT299" t="s">
        <v>55</v>
      </c>
      <c r="AU299" t="s">
        <v>56</v>
      </c>
      <c r="AV299">
        <v>1567</v>
      </c>
      <c r="AW299" t="s">
        <v>57</v>
      </c>
      <c r="AX299" t="s">
        <v>55</v>
      </c>
      <c r="AY299" t="s">
        <v>49</v>
      </c>
      <c r="AZ299" t="s">
        <v>59</v>
      </c>
      <c r="BA299" t="s">
        <v>55</v>
      </c>
      <c r="BB299" t="s">
        <v>49</v>
      </c>
      <c r="BC299" t="s">
        <v>49</v>
      </c>
      <c r="BD299" t="s">
        <v>49</v>
      </c>
      <c r="BE299" t="s">
        <v>55</v>
      </c>
      <c r="BF299">
        <v>24</v>
      </c>
      <c r="BG299" t="s">
        <v>60</v>
      </c>
      <c r="BH299" t="s">
        <v>61</v>
      </c>
      <c r="BI299" t="s">
        <v>72</v>
      </c>
      <c r="BJ299" t="s">
        <v>63</v>
      </c>
      <c r="BK299">
        <v>1999</v>
      </c>
      <c r="BL299">
        <v>1</v>
      </c>
      <c r="BM299">
        <v>1</v>
      </c>
      <c r="BR299">
        <f t="shared" si="27"/>
        <v>182</v>
      </c>
      <c r="BS299">
        <v>153</v>
      </c>
      <c r="BT299">
        <f t="shared" si="26"/>
        <v>2</v>
      </c>
    </row>
    <row r="300" spans="1:72" x14ac:dyDescent="0.2">
      <c r="A300" s="19" t="s">
        <v>364</v>
      </c>
      <c r="B300" s="1">
        <v>2742</v>
      </c>
      <c r="C300">
        <v>1</v>
      </c>
      <c r="D300" t="s">
        <v>48</v>
      </c>
      <c r="E300" s="2" t="s">
        <v>49</v>
      </c>
      <c r="F300">
        <v>2742</v>
      </c>
      <c r="G300">
        <v>2742</v>
      </c>
      <c r="H300" s="2">
        <v>992</v>
      </c>
      <c r="I300" s="3">
        <v>992</v>
      </c>
      <c r="J300" s="4">
        <v>992</v>
      </c>
      <c r="K300" s="4">
        <v>261</v>
      </c>
      <c r="L300" s="4">
        <v>174</v>
      </c>
      <c r="M300" s="9">
        <v>357</v>
      </c>
      <c r="N300">
        <v>123</v>
      </c>
      <c r="O300" s="6">
        <v>212</v>
      </c>
      <c r="P300" s="8" t="s">
        <v>798</v>
      </c>
      <c r="Q300" s="4" t="s">
        <v>51</v>
      </c>
      <c r="R300" s="4" t="s">
        <v>51</v>
      </c>
      <c r="S300" s="4" t="s">
        <v>51</v>
      </c>
      <c r="T300" s="9" t="s">
        <v>80</v>
      </c>
      <c r="U300" t="s">
        <v>105</v>
      </c>
      <c r="V300" s="6" t="s">
        <v>74</v>
      </c>
      <c r="W300" s="8">
        <v>6</v>
      </c>
      <c r="X300" s="8">
        <v>12</v>
      </c>
      <c r="Y300" s="4">
        <f>J300+K300+L300</f>
        <v>1427</v>
      </c>
      <c r="Z300" s="4">
        <v>1</v>
      </c>
      <c r="AC300" s="6">
        <f>O300</f>
        <v>212</v>
      </c>
      <c r="AD300" s="6">
        <v>1</v>
      </c>
      <c r="AG300" s="9">
        <f>M300</f>
        <v>357</v>
      </c>
      <c r="AH300" s="9">
        <v>1</v>
      </c>
      <c r="AM300">
        <v>53</v>
      </c>
      <c r="AN300" t="s">
        <v>52</v>
      </c>
      <c r="AO300" t="s">
        <v>53</v>
      </c>
      <c r="AP300">
        <v>-19681</v>
      </c>
      <c r="AQ300">
        <v>0</v>
      </c>
      <c r="AR300" t="s">
        <v>54</v>
      </c>
      <c r="AS300" t="s">
        <v>55</v>
      </c>
      <c r="AT300" t="s">
        <v>55</v>
      </c>
      <c r="AU300" t="s">
        <v>56</v>
      </c>
      <c r="AV300">
        <v>1603</v>
      </c>
      <c r="AW300" t="s">
        <v>57</v>
      </c>
      <c r="AX300" t="s">
        <v>55</v>
      </c>
      <c r="AY300" t="s">
        <v>58</v>
      </c>
      <c r="AZ300" t="s">
        <v>59</v>
      </c>
      <c r="BA300" t="s">
        <v>55</v>
      </c>
      <c r="BB300" t="s">
        <v>49</v>
      </c>
      <c r="BC300" t="s">
        <v>49</v>
      </c>
      <c r="BD300" t="s">
        <v>106</v>
      </c>
      <c r="BE300" t="s">
        <v>55</v>
      </c>
      <c r="BF300">
        <v>24</v>
      </c>
      <c r="BG300" t="s">
        <v>60</v>
      </c>
      <c r="BH300" t="s">
        <v>49</v>
      </c>
      <c r="BI300" t="s">
        <v>72</v>
      </c>
      <c r="BJ300" t="s">
        <v>63</v>
      </c>
      <c r="BK300">
        <v>1996</v>
      </c>
      <c r="BL300">
        <v>1</v>
      </c>
      <c r="BM300">
        <v>1</v>
      </c>
      <c r="BN300">
        <v>1</v>
      </c>
      <c r="BO300">
        <v>1</v>
      </c>
      <c r="BP300">
        <v>1</v>
      </c>
      <c r="BQ300">
        <v>1</v>
      </c>
      <c r="BR300">
        <f t="shared" si="27"/>
        <v>992</v>
      </c>
      <c r="BT300">
        <f t="shared" si="26"/>
        <v>6</v>
      </c>
    </row>
    <row r="301" spans="1:72" x14ac:dyDescent="0.2">
      <c r="A301" s="19" t="s">
        <v>365</v>
      </c>
      <c r="B301" s="1">
        <v>2687</v>
      </c>
      <c r="C301">
        <v>1</v>
      </c>
      <c r="D301" t="s">
        <v>48</v>
      </c>
      <c r="E301" s="2" t="s">
        <v>49</v>
      </c>
      <c r="F301">
        <v>2687</v>
      </c>
      <c r="G301">
        <v>2687</v>
      </c>
      <c r="H301" s="2" t="s">
        <v>49</v>
      </c>
      <c r="I301" s="3" t="s">
        <v>50</v>
      </c>
      <c r="J301" s="4" t="s">
        <v>50</v>
      </c>
      <c r="K301" s="5"/>
      <c r="Q301" s="4" t="s">
        <v>51</v>
      </c>
      <c r="R301" s="5" t="s">
        <v>65</v>
      </c>
      <c r="Y301" s="4" t="str">
        <f>J301</f>
        <v>cannot assess</v>
      </c>
      <c r="Z301" s="4">
        <v>1</v>
      </c>
      <c r="AE301" s="5" t="s">
        <v>50</v>
      </c>
      <c r="AF301" s="5">
        <v>1</v>
      </c>
      <c r="AM301">
        <v>67</v>
      </c>
      <c r="AN301" t="s">
        <v>52</v>
      </c>
      <c r="AO301" t="s">
        <v>53</v>
      </c>
      <c r="AP301">
        <v>-24471</v>
      </c>
      <c r="AQ301">
        <v>0</v>
      </c>
      <c r="AR301" t="s">
        <v>54</v>
      </c>
      <c r="AS301" t="s">
        <v>55</v>
      </c>
      <c r="AT301" t="s">
        <v>55</v>
      </c>
      <c r="AU301" t="s">
        <v>56</v>
      </c>
      <c r="AV301">
        <v>1604</v>
      </c>
      <c r="AW301" t="s">
        <v>57</v>
      </c>
      <c r="AX301" t="s">
        <v>55</v>
      </c>
      <c r="AY301" t="s">
        <v>58</v>
      </c>
      <c r="AZ301" t="s">
        <v>59</v>
      </c>
      <c r="BA301" t="s">
        <v>55</v>
      </c>
      <c r="BB301" t="s">
        <v>49</v>
      </c>
      <c r="BC301" t="s">
        <v>49</v>
      </c>
      <c r="BD301" t="s">
        <v>66</v>
      </c>
      <c r="BE301" t="s">
        <v>55</v>
      </c>
      <c r="BF301">
        <v>24</v>
      </c>
      <c r="BG301" t="s">
        <v>60</v>
      </c>
      <c r="BH301" t="s">
        <v>49</v>
      </c>
      <c r="BI301" t="s">
        <v>62</v>
      </c>
      <c r="BJ301" t="s">
        <v>63</v>
      </c>
      <c r="BK301">
        <v>1996</v>
      </c>
      <c r="BT301">
        <f t="shared" si="26"/>
        <v>0</v>
      </c>
    </row>
    <row r="302" spans="1:72" x14ac:dyDescent="0.2">
      <c r="A302" s="19" t="s">
        <v>366</v>
      </c>
      <c r="B302" s="1">
        <v>1470</v>
      </c>
      <c r="C302">
        <v>1</v>
      </c>
      <c r="D302" t="s">
        <v>48</v>
      </c>
      <c r="E302" s="2" t="s">
        <v>49</v>
      </c>
      <c r="F302">
        <v>1470</v>
      </c>
      <c r="G302">
        <v>1470</v>
      </c>
      <c r="H302" s="2">
        <v>644</v>
      </c>
      <c r="I302" s="3">
        <v>644</v>
      </c>
      <c r="J302" s="4">
        <f>644-22</f>
        <v>622</v>
      </c>
      <c r="K302">
        <v>366</v>
      </c>
      <c r="L302" s="4">
        <v>274</v>
      </c>
      <c r="M302" s="5">
        <v>192</v>
      </c>
      <c r="Q302" s="4" t="s">
        <v>51</v>
      </c>
      <c r="R302" t="s">
        <v>309</v>
      </c>
      <c r="S302" s="4" t="s">
        <v>51</v>
      </c>
      <c r="T302" s="5" t="s">
        <v>65</v>
      </c>
      <c r="W302">
        <v>8</v>
      </c>
      <c r="X302">
        <v>16</v>
      </c>
      <c r="Y302" s="4">
        <f>J302+L302</f>
        <v>896</v>
      </c>
      <c r="Z302" s="4">
        <v>1</v>
      </c>
      <c r="AE302" s="5">
        <f>M302</f>
        <v>192</v>
      </c>
      <c r="AF302" s="5">
        <v>1</v>
      </c>
      <c r="AM302">
        <v>57</v>
      </c>
      <c r="AN302" t="s">
        <v>126</v>
      </c>
      <c r="AO302" t="s">
        <v>53</v>
      </c>
      <c r="AP302">
        <v>-20993</v>
      </c>
      <c r="AQ302">
        <v>0</v>
      </c>
      <c r="AR302" t="s">
        <v>54</v>
      </c>
      <c r="AS302" t="s">
        <v>55</v>
      </c>
      <c r="AT302" t="s">
        <v>55</v>
      </c>
      <c r="AU302" t="s">
        <v>56</v>
      </c>
      <c r="AV302">
        <v>1614</v>
      </c>
      <c r="AW302" t="s">
        <v>57</v>
      </c>
      <c r="AX302" t="s">
        <v>55</v>
      </c>
      <c r="AY302" t="s">
        <v>58</v>
      </c>
      <c r="AZ302" t="s">
        <v>59</v>
      </c>
      <c r="BA302" t="s">
        <v>55</v>
      </c>
      <c r="BB302" t="s">
        <v>49</v>
      </c>
      <c r="BC302" t="s">
        <v>49</v>
      </c>
      <c r="BD302" t="s">
        <v>106</v>
      </c>
      <c r="BE302" t="s">
        <v>55</v>
      </c>
      <c r="BF302">
        <v>24</v>
      </c>
      <c r="BG302" t="s">
        <v>60</v>
      </c>
      <c r="BH302" t="s">
        <v>61</v>
      </c>
      <c r="BI302" t="s">
        <v>62</v>
      </c>
      <c r="BJ302" t="s">
        <v>63</v>
      </c>
      <c r="BK302">
        <v>2001</v>
      </c>
      <c r="BL302">
        <v>1</v>
      </c>
      <c r="BM302">
        <v>1</v>
      </c>
      <c r="BN302">
        <v>1</v>
      </c>
      <c r="BO302">
        <v>1</v>
      </c>
      <c r="BR302">
        <f>I302-BS302</f>
        <v>462</v>
      </c>
      <c r="BS302">
        <v>182</v>
      </c>
      <c r="BT302">
        <f t="shared" si="26"/>
        <v>4</v>
      </c>
    </row>
    <row r="303" spans="1:72" x14ac:dyDescent="0.2">
      <c r="A303" s="19" t="s">
        <v>367</v>
      </c>
      <c r="B303" s="1">
        <v>1163</v>
      </c>
      <c r="C303">
        <v>1</v>
      </c>
      <c r="D303" t="s">
        <v>48</v>
      </c>
      <c r="E303" s="2" t="s">
        <v>49</v>
      </c>
      <c r="F303">
        <v>1163</v>
      </c>
      <c r="G303">
        <v>1163</v>
      </c>
      <c r="H303" s="2">
        <v>405</v>
      </c>
      <c r="I303" s="3">
        <v>405</v>
      </c>
      <c r="J303" s="4">
        <f>405-18</f>
        <v>387</v>
      </c>
      <c r="P303" t="s">
        <v>810</v>
      </c>
      <c r="Q303" s="4" t="s">
        <v>51</v>
      </c>
      <c r="W303">
        <v>8</v>
      </c>
      <c r="X303">
        <v>16</v>
      </c>
      <c r="Y303" s="4">
        <f t="shared" ref="Y303:Y311" si="28">J303</f>
        <v>387</v>
      </c>
      <c r="Z303" s="4">
        <v>1</v>
      </c>
      <c r="AM303">
        <v>56</v>
      </c>
      <c r="AN303" t="s">
        <v>52</v>
      </c>
      <c r="AO303" t="s">
        <v>53</v>
      </c>
      <c r="AP303">
        <v>-20785</v>
      </c>
      <c r="AQ303">
        <v>0</v>
      </c>
      <c r="AR303" t="s">
        <v>54</v>
      </c>
      <c r="AS303" t="s">
        <v>55</v>
      </c>
      <c r="AT303" t="s">
        <v>55</v>
      </c>
      <c r="AU303" t="s">
        <v>56</v>
      </c>
      <c r="AV303">
        <v>1616</v>
      </c>
      <c r="AW303" t="s">
        <v>57</v>
      </c>
      <c r="AX303" t="s">
        <v>55</v>
      </c>
      <c r="AY303" t="s">
        <v>58</v>
      </c>
      <c r="AZ303" t="s">
        <v>59</v>
      </c>
      <c r="BA303" t="s">
        <v>55</v>
      </c>
      <c r="BB303" t="s">
        <v>49</v>
      </c>
      <c r="BC303" t="s">
        <v>49</v>
      </c>
      <c r="BD303" t="s">
        <v>106</v>
      </c>
      <c r="BE303" t="s">
        <v>55</v>
      </c>
      <c r="BF303">
        <v>24</v>
      </c>
      <c r="BG303" t="s">
        <v>60</v>
      </c>
      <c r="BH303" t="s">
        <v>61</v>
      </c>
      <c r="BI303" t="s">
        <v>62</v>
      </c>
      <c r="BJ303" t="s">
        <v>63</v>
      </c>
      <c r="BK303">
        <v>2001</v>
      </c>
      <c r="BL303">
        <v>1</v>
      </c>
      <c r="BR303">
        <f>I303-BS303</f>
        <v>252</v>
      </c>
      <c r="BS303">
        <v>153</v>
      </c>
      <c r="BT303">
        <f t="shared" si="26"/>
        <v>1</v>
      </c>
    </row>
    <row r="304" spans="1:72" x14ac:dyDescent="0.2">
      <c r="A304" s="19" t="s">
        <v>368</v>
      </c>
      <c r="B304" s="1">
        <v>253</v>
      </c>
      <c r="C304">
        <v>0</v>
      </c>
      <c r="D304" t="s">
        <v>68</v>
      </c>
      <c r="E304" s="2" t="s">
        <v>49</v>
      </c>
      <c r="F304" t="s">
        <v>49</v>
      </c>
      <c r="G304">
        <v>253</v>
      </c>
      <c r="H304" s="2" t="s">
        <v>49</v>
      </c>
      <c r="I304" s="3" t="s">
        <v>69</v>
      </c>
      <c r="J304" s="4">
        <f>253-24</f>
        <v>229</v>
      </c>
      <c r="P304" t="s">
        <v>811</v>
      </c>
      <c r="Q304" s="4" t="s">
        <v>51</v>
      </c>
      <c r="W304">
        <v>6</v>
      </c>
      <c r="X304">
        <v>12</v>
      </c>
      <c r="Y304" s="4">
        <f t="shared" si="28"/>
        <v>229</v>
      </c>
      <c r="Z304" s="4">
        <v>0</v>
      </c>
      <c r="AM304">
        <v>49</v>
      </c>
      <c r="AN304" t="s">
        <v>52</v>
      </c>
      <c r="AO304" t="s">
        <v>53</v>
      </c>
      <c r="AP304">
        <v>-18227</v>
      </c>
      <c r="AQ304">
        <v>0</v>
      </c>
      <c r="AR304" t="s">
        <v>54</v>
      </c>
      <c r="AS304" t="s">
        <v>55</v>
      </c>
      <c r="AT304" t="s">
        <v>55</v>
      </c>
      <c r="AU304" t="s">
        <v>56</v>
      </c>
      <c r="AV304">
        <v>1842</v>
      </c>
      <c r="AW304" t="s">
        <v>70</v>
      </c>
      <c r="AX304" t="s">
        <v>55</v>
      </c>
      <c r="AY304" t="s">
        <v>58</v>
      </c>
      <c r="AZ304" t="s">
        <v>59</v>
      </c>
      <c r="BA304" t="s">
        <v>55</v>
      </c>
      <c r="BB304" t="s">
        <v>49</v>
      </c>
      <c r="BC304" t="s">
        <v>49</v>
      </c>
      <c r="BD304" t="s">
        <v>49</v>
      </c>
      <c r="BE304" t="s">
        <v>53</v>
      </c>
      <c r="BF304">
        <v>24</v>
      </c>
      <c r="BG304" t="s">
        <v>60</v>
      </c>
      <c r="BH304" t="s">
        <v>61</v>
      </c>
      <c r="BI304" t="s">
        <v>62</v>
      </c>
      <c r="BJ304" t="s">
        <v>63</v>
      </c>
      <c r="BK304">
        <v>2009</v>
      </c>
      <c r="BL304">
        <v>0</v>
      </c>
      <c r="BR304">
        <f t="shared" ref="BR304:BR311" si="29">B304-BS304</f>
        <v>0</v>
      </c>
      <c r="BS304">
        <v>253</v>
      </c>
      <c r="BT304">
        <f t="shared" si="26"/>
        <v>1</v>
      </c>
    </row>
    <row r="305" spans="1:72" x14ac:dyDescent="0.2">
      <c r="A305" s="19" t="s">
        <v>369</v>
      </c>
      <c r="B305" s="1">
        <v>134</v>
      </c>
      <c r="C305">
        <v>0</v>
      </c>
      <c r="D305" t="s">
        <v>68</v>
      </c>
      <c r="E305" s="2" t="s">
        <v>49</v>
      </c>
      <c r="F305" t="s">
        <v>49</v>
      </c>
      <c r="G305">
        <v>106</v>
      </c>
      <c r="H305" s="2" t="s">
        <v>49</v>
      </c>
      <c r="I305" s="3" t="s">
        <v>69</v>
      </c>
      <c r="J305" s="4">
        <v>114</v>
      </c>
      <c r="Q305" s="4" t="s">
        <v>51</v>
      </c>
      <c r="W305">
        <v>5</v>
      </c>
      <c r="X305">
        <v>10</v>
      </c>
      <c r="Y305" s="4">
        <f t="shared" si="28"/>
        <v>114</v>
      </c>
      <c r="Z305" s="4">
        <v>0</v>
      </c>
      <c r="AM305">
        <v>67</v>
      </c>
      <c r="AN305" t="s">
        <v>126</v>
      </c>
      <c r="AO305" t="s">
        <v>53</v>
      </c>
      <c r="AP305">
        <v>-24469</v>
      </c>
      <c r="AQ305">
        <v>0</v>
      </c>
      <c r="AR305" t="s">
        <v>54</v>
      </c>
      <c r="AS305" t="s">
        <v>55</v>
      </c>
      <c r="AT305" t="s">
        <v>55</v>
      </c>
      <c r="AU305" t="s">
        <v>56</v>
      </c>
      <c r="AV305">
        <v>1843</v>
      </c>
      <c r="AW305" t="s">
        <v>49</v>
      </c>
      <c r="AX305" t="s">
        <v>55</v>
      </c>
      <c r="AY305" t="s">
        <v>58</v>
      </c>
      <c r="AZ305" t="s">
        <v>59</v>
      </c>
      <c r="BA305" t="s">
        <v>55</v>
      </c>
      <c r="BB305" t="s">
        <v>49</v>
      </c>
      <c r="BC305" t="s">
        <v>49</v>
      </c>
      <c r="BD305" t="s">
        <v>49</v>
      </c>
      <c r="BE305" t="s">
        <v>55</v>
      </c>
      <c r="BF305">
        <v>24</v>
      </c>
      <c r="BG305" t="s">
        <v>60</v>
      </c>
      <c r="BH305" t="s">
        <v>61</v>
      </c>
      <c r="BI305" t="s">
        <v>62</v>
      </c>
      <c r="BJ305" t="s">
        <v>63</v>
      </c>
      <c r="BK305">
        <v>2009</v>
      </c>
      <c r="BL305">
        <v>0</v>
      </c>
      <c r="BR305">
        <f t="shared" si="29"/>
        <v>0</v>
      </c>
      <c r="BS305">
        <v>134</v>
      </c>
      <c r="BT305">
        <f t="shared" si="26"/>
        <v>1</v>
      </c>
    </row>
    <row r="306" spans="1:72" x14ac:dyDescent="0.2">
      <c r="A306" s="19" t="s">
        <v>370</v>
      </c>
      <c r="B306" s="1">
        <v>134</v>
      </c>
      <c r="C306">
        <v>0</v>
      </c>
      <c r="D306" t="s">
        <v>68</v>
      </c>
      <c r="E306" s="2" t="s">
        <v>49</v>
      </c>
      <c r="F306" t="s">
        <v>49</v>
      </c>
      <c r="G306">
        <v>113</v>
      </c>
      <c r="H306" s="2" t="s">
        <v>49</v>
      </c>
      <c r="I306" s="3" t="s">
        <v>69</v>
      </c>
      <c r="J306" s="4">
        <v>110</v>
      </c>
      <c r="Q306" s="4" t="s">
        <v>51</v>
      </c>
      <c r="W306">
        <v>5</v>
      </c>
      <c r="X306">
        <v>10</v>
      </c>
      <c r="Y306" s="4">
        <f t="shared" si="28"/>
        <v>110</v>
      </c>
      <c r="Z306" s="4">
        <v>0</v>
      </c>
      <c r="AM306">
        <v>64</v>
      </c>
      <c r="AN306" t="s">
        <v>52</v>
      </c>
      <c r="AO306" t="s">
        <v>53</v>
      </c>
      <c r="AP306">
        <v>-23542</v>
      </c>
      <c r="AQ306">
        <v>0</v>
      </c>
      <c r="AR306" t="s">
        <v>54</v>
      </c>
      <c r="AS306" t="s">
        <v>55</v>
      </c>
      <c r="AT306" t="s">
        <v>55</v>
      </c>
      <c r="AU306" t="s">
        <v>56</v>
      </c>
      <c r="AV306">
        <v>1844</v>
      </c>
      <c r="AW306" t="s">
        <v>49</v>
      </c>
      <c r="AX306" t="s">
        <v>55</v>
      </c>
      <c r="AY306" t="s">
        <v>49</v>
      </c>
      <c r="AZ306" t="s">
        <v>59</v>
      </c>
      <c r="BA306" t="s">
        <v>55</v>
      </c>
      <c r="BB306" t="s">
        <v>49</v>
      </c>
      <c r="BC306" t="s">
        <v>49</v>
      </c>
      <c r="BD306" t="s">
        <v>49</v>
      </c>
      <c r="BE306" t="s">
        <v>55</v>
      </c>
      <c r="BF306">
        <v>24</v>
      </c>
      <c r="BG306" t="s">
        <v>60</v>
      </c>
      <c r="BH306" t="s">
        <v>61</v>
      </c>
      <c r="BI306" t="s">
        <v>62</v>
      </c>
      <c r="BJ306" t="s">
        <v>63</v>
      </c>
      <c r="BK306">
        <v>2009</v>
      </c>
      <c r="BL306">
        <v>0</v>
      </c>
      <c r="BR306">
        <f t="shared" si="29"/>
        <v>0</v>
      </c>
      <c r="BS306">
        <v>134</v>
      </c>
      <c r="BT306">
        <f t="shared" si="26"/>
        <v>1</v>
      </c>
    </row>
    <row r="307" spans="1:72" x14ac:dyDescent="0.2">
      <c r="A307" s="19" t="s">
        <v>371</v>
      </c>
      <c r="B307" s="1">
        <v>123</v>
      </c>
      <c r="C307">
        <v>0</v>
      </c>
      <c r="D307" t="s">
        <v>68</v>
      </c>
      <c r="E307" s="2" t="s">
        <v>49</v>
      </c>
      <c r="F307" t="s">
        <v>49</v>
      </c>
      <c r="G307">
        <v>116</v>
      </c>
      <c r="H307" s="2" t="s">
        <v>49</v>
      </c>
      <c r="I307" s="3" t="s">
        <v>69</v>
      </c>
      <c r="J307" s="4">
        <v>51</v>
      </c>
      <c r="Q307" s="4" t="s">
        <v>51</v>
      </c>
      <c r="W307">
        <v>6</v>
      </c>
      <c r="X307">
        <v>12</v>
      </c>
      <c r="Y307" s="4">
        <f t="shared" si="28"/>
        <v>51</v>
      </c>
      <c r="Z307" s="4">
        <v>0</v>
      </c>
      <c r="AM307">
        <v>42</v>
      </c>
      <c r="AN307" t="s">
        <v>52</v>
      </c>
      <c r="AO307" t="s">
        <v>53</v>
      </c>
      <c r="AP307">
        <v>-15599</v>
      </c>
      <c r="AQ307">
        <v>0</v>
      </c>
      <c r="AR307" t="s">
        <v>54</v>
      </c>
      <c r="AS307" t="s">
        <v>55</v>
      </c>
      <c r="AT307" t="s">
        <v>55</v>
      </c>
      <c r="AU307" t="s">
        <v>56</v>
      </c>
      <c r="AV307">
        <v>1845</v>
      </c>
      <c r="AW307" t="s">
        <v>49</v>
      </c>
      <c r="AX307" t="s">
        <v>55</v>
      </c>
      <c r="AY307" t="s">
        <v>49</v>
      </c>
      <c r="AZ307" t="s">
        <v>59</v>
      </c>
      <c r="BA307" t="s">
        <v>55</v>
      </c>
      <c r="BB307" t="s">
        <v>49</v>
      </c>
      <c r="BC307" t="s">
        <v>49</v>
      </c>
      <c r="BD307" t="s">
        <v>49</v>
      </c>
      <c r="BE307" t="s">
        <v>55</v>
      </c>
      <c r="BF307">
        <v>24</v>
      </c>
      <c r="BG307" t="s">
        <v>60</v>
      </c>
      <c r="BH307" t="s">
        <v>61</v>
      </c>
      <c r="BI307" t="s">
        <v>62</v>
      </c>
      <c r="BJ307" t="s">
        <v>63</v>
      </c>
      <c r="BK307">
        <v>2009</v>
      </c>
      <c r="BL307">
        <v>0</v>
      </c>
      <c r="BR307">
        <f t="shared" si="29"/>
        <v>0</v>
      </c>
      <c r="BS307">
        <v>123</v>
      </c>
      <c r="BT307">
        <f t="shared" si="26"/>
        <v>1</v>
      </c>
    </row>
    <row r="308" spans="1:72" x14ac:dyDescent="0.2">
      <c r="A308" s="19" t="s">
        <v>372</v>
      </c>
      <c r="B308" s="1">
        <v>175</v>
      </c>
      <c r="C308">
        <v>0</v>
      </c>
      <c r="D308" t="s">
        <v>68</v>
      </c>
      <c r="E308" s="2" t="s">
        <v>49</v>
      </c>
      <c r="F308" t="s">
        <v>49</v>
      </c>
      <c r="G308">
        <v>133</v>
      </c>
      <c r="H308" s="2" t="s">
        <v>49</v>
      </c>
      <c r="I308" s="3" t="s">
        <v>69</v>
      </c>
      <c r="J308" s="4">
        <v>132</v>
      </c>
      <c r="Q308" s="4" t="s">
        <v>51</v>
      </c>
      <c r="W308">
        <v>5</v>
      </c>
      <c r="X308">
        <v>10</v>
      </c>
      <c r="Y308" s="4">
        <f t="shared" si="28"/>
        <v>132</v>
      </c>
      <c r="Z308" s="4">
        <v>0</v>
      </c>
      <c r="AM308">
        <v>45</v>
      </c>
      <c r="AN308" t="s">
        <v>52</v>
      </c>
      <c r="AO308" t="s">
        <v>53</v>
      </c>
      <c r="AP308">
        <v>-16533</v>
      </c>
      <c r="AQ308">
        <v>0</v>
      </c>
      <c r="AR308" t="s">
        <v>54</v>
      </c>
      <c r="AS308" t="s">
        <v>55</v>
      </c>
      <c r="AT308" t="s">
        <v>55</v>
      </c>
      <c r="AU308" t="s">
        <v>56</v>
      </c>
      <c r="AV308">
        <v>1846</v>
      </c>
      <c r="AW308" t="s">
        <v>49</v>
      </c>
      <c r="AX308" t="s">
        <v>55</v>
      </c>
      <c r="AY308" t="s">
        <v>49</v>
      </c>
      <c r="AZ308" t="s">
        <v>49</v>
      </c>
      <c r="BA308" t="s">
        <v>55</v>
      </c>
      <c r="BB308" t="s">
        <v>49</v>
      </c>
      <c r="BC308" t="s">
        <v>49</v>
      </c>
      <c r="BD308" t="s">
        <v>49</v>
      </c>
      <c r="BE308" t="s">
        <v>55</v>
      </c>
      <c r="BF308">
        <v>24</v>
      </c>
      <c r="BG308" t="s">
        <v>60</v>
      </c>
      <c r="BH308" t="s">
        <v>61</v>
      </c>
      <c r="BI308" t="s">
        <v>62</v>
      </c>
      <c r="BJ308" t="s">
        <v>63</v>
      </c>
      <c r="BK308">
        <v>2009</v>
      </c>
      <c r="BL308">
        <v>0</v>
      </c>
      <c r="BR308">
        <f t="shared" si="29"/>
        <v>0</v>
      </c>
      <c r="BS308">
        <v>175</v>
      </c>
      <c r="BT308">
        <f t="shared" si="26"/>
        <v>1</v>
      </c>
    </row>
    <row r="309" spans="1:72" x14ac:dyDescent="0.2">
      <c r="A309" s="19" t="s">
        <v>373</v>
      </c>
      <c r="B309" s="1">
        <v>343</v>
      </c>
      <c r="C309">
        <v>0</v>
      </c>
      <c r="D309" t="s">
        <v>68</v>
      </c>
      <c r="E309" s="2" t="s">
        <v>49</v>
      </c>
      <c r="F309" t="s">
        <v>49</v>
      </c>
      <c r="G309">
        <v>343</v>
      </c>
      <c r="H309" s="2" t="s">
        <v>49</v>
      </c>
      <c r="I309" s="3" t="s">
        <v>69</v>
      </c>
      <c r="J309" s="4">
        <v>316</v>
      </c>
      <c r="Q309" s="4" t="s">
        <v>51</v>
      </c>
      <c r="W309">
        <v>6</v>
      </c>
      <c r="X309">
        <v>12</v>
      </c>
      <c r="Y309" s="4">
        <f t="shared" si="28"/>
        <v>316</v>
      </c>
      <c r="Z309" s="4">
        <v>0</v>
      </c>
      <c r="AM309">
        <v>45</v>
      </c>
      <c r="AN309" t="s">
        <v>52</v>
      </c>
      <c r="AO309" t="s">
        <v>53</v>
      </c>
      <c r="AP309">
        <v>-16529</v>
      </c>
      <c r="AQ309">
        <v>0</v>
      </c>
      <c r="AR309" t="s">
        <v>54</v>
      </c>
      <c r="AS309" t="s">
        <v>55</v>
      </c>
      <c r="AT309" t="s">
        <v>55</v>
      </c>
      <c r="AU309" t="s">
        <v>157</v>
      </c>
      <c r="AV309">
        <v>1847</v>
      </c>
      <c r="AW309" t="s">
        <v>70</v>
      </c>
      <c r="AX309" t="s">
        <v>55</v>
      </c>
      <c r="AY309" t="s">
        <v>58</v>
      </c>
      <c r="AZ309" t="s">
        <v>59</v>
      </c>
      <c r="BA309" t="s">
        <v>55</v>
      </c>
      <c r="BB309" t="s">
        <v>49</v>
      </c>
      <c r="BC309" t="s">
        <v>49</v>
      </c>
      <c r="BD309" t="s">
        <v>49</v>
      </c>
      <c r="BE309" t="s">
        <v>55</v>
      </c>
      <c r="BF309">
        <v>24</v>
      </c>
      <c r="BG309" t="s">
        <v>60</v>
      </c>
      <c r="BH309" t="s">
        <v>61</v>
      </c>
      <c r="BI309" t="s">
        <v>83</v>
      </c>
      <c r="BJ309" t="s">
        <v>63</v>
      </c>
      <c r="BK309">
        <v>2009</v>
      </c>
      <c r="BL309">
        <v>0</v>
      </c>
      <c r="BR309">
        <f t="shared" si="29"/>
        <v>201</v>
      </c>
      <c r="BS309">
        <v>142</v>
      </c>
      <c r="BT309">
        <f t="shared" si="26"/>
        <v>1</v>
      </c>
    </row>
    <row r="310" spans="1:72" x14ac:dyDescent="0.2">
      <c r="A310" s="19" t="s">
        <v>374</v>
      </c>
      <c r="B310" s="1">
        <v>175</v>
      </c>
      <c r="C310">
        <v>0</v>
      </c>
      <c r="D310" t="s">
        <v>68</v>
      </c>
      <c r="E310" s="2" t="s">
        <v>49</v>
      </c>
      <c r="F310" t="s">
        <v>49</v>
      </c>
      <c r="G310">
        <v>175</v>
      </c>
      <c r="H310" s="2" t="s">
        <v>49</v>
      </c>
      <c r="I310" s="3" t="s">
        <v>69</v>
      </c>
      <c r="J310" s="4">
        <v>140</v>
      </c>
      <c r="Q310" s="4" t="s">
        <v>51</v>
      </c>
      <c r="W310">
        <v>6</v>
      </c>
      <c r="X310">
        <v>12</v>
      </c>
      <c r="Y310" s="4">
        <f t="shared" si="28"/>
        <v>140</v>
      </c>
      <c r="Z310" s="4">
        <v>0</v>
      </c>
      <c r="AM310">
        <v>80</v>
      </c>
      <c r="AN310" t="s">
        <v>52</v>
      </c>
      <c r="AO310" t="s">
        <v>53</v>
      </c>
      <c r="AP310">
        <v>-29555</v>
      </c>
      <c r="AQ310">
        <v>0</v>
      </c>
      <c r="AR310" t="s">
        <v>54</v>
      </c>
      <c r="AS310" t="s">
        <v>55</v>
      </c>
      <c r="AT310" t="s">
        <v>55</v>
      </c>
      <c r="AU310" t="s">
        <v>56</v>
      </c>
      <c r="AV310">
        <v>1849</v>
      </c>
      <c r="AW310" t="s">
        <v>70</v>
      </c>
      <c r="AX310" t="s">
        <v>55</v>
      </c>
      <c r="AY310" t="s">
        <v>58</v>
      </c>
      <c r="AZ310" t="s">
        <v>59</v>
      </c>
      <c r="BA310" t="s">
        <v>55</v>
      </c>
      <c r="BB310" t="s">
        <v>49</v>
      </c>
      <c r="BC310" t="s">
        <v>49</v>
      </c>
      <c r="BD310" t="s">
        <v>49</v>
      </c>
      <c r="BE310" t="s">
        <v>55</v>
      </c>
      <c r="BF310">
        <v>24</v>
      </c>
      <c r="BG310" t="s">
        <v>60</v>
      </c>
      <c r="BH310" t="s">
        <v>61</v>
      </c>
      <c r="BI310" t="s">
        <v>62</v>
      </c>
      <c r="BJ310" t="s">
        <v>63</v>
      </c>
      <c r="BK310">
        <v>2009</v>
      </c>
      <c r="BL310">
        <v>0</v>
      </c>
      <c r="BR310">
        <f t="shared" si="29"/>
        <v>35</v>
      </c>
      <c r="BS310">
        <v>140</v>
      </c>
      <c r="BT310">
        <f t="shared" si="26"/>
        <v>1</v>
      </c>
    </row>
    <row r="311" spans="1:72" x14ac:dyDescent="0.2">
      <c r="A311" s="19" t="s">
        <v>375</v>
      </c>
      <c r="B311" s="1">
        <v>167</v>
      </c>
      <c r="C311">
        <v>0</v>
      </c>
      <c r="D311" t="s">
        <v>68</v>
      </c>
      <c r="E311" s="2" t="s">
        <v>49</v>
      </c>
      <c r="F311" t="s">
        <v>49</v>
      </c>
      <c r="G311">
        <v>167</v>
      </c>
      <c r="H311" s="2" t="s">
        <v>49</v>
      </c>
      <c r="I311" s="3" t="s">
        <v>69</v>
      </c>
      <c r="J311" s="4">
        <v>133</v>
      </c>
      <c r="Q311" s="4" t="s">
        <v>51</v>
      </c>
      <c r="W311">
        <v>6</v>
      </c>
      <c r="X311">
        <v>12</v>
      </c>
      <c r="Y311" s="4">
        <f t="shared" si="28"/>
        <v>133</v>
      </c>
      <c r="Z311" s="4">
        <v>0</v>
      </c>
      <c r="AM311">
        <v>72</v>
      </c>
      <c r="AN311" t="s">
        <v>52</v>
      </c>
      <c r="AO311" t="s">
        <v>53</v>
      </c>
      <c r="AP311">
        <v>-26369</v>
      </c>
      <c r="AQ311">
        <v>0</v>
      </c>
      <c r="AR311" t="s">
        <v>54</v>
      </c>
      <c r="AS311" t="s">
        <v>55</v>
      </c>
      <c r="AT311" t="s">
        <v>55</v>
      </c>
      <c r="AU311" t="s">
        <v>56</v>
      </c>
      <c r="AV311">
        <v>1850</v>
      </c>
      <c r="AW311" t="s">
        <v>70</v>
      </c>
      <c r="AX311" t="s">
        <v>55</v>
      </c>
      <c r="AY311" t="s">
        <v>58</v>
      </c>
      <c r="AZ311" t="s">
        <v>59</v>
      </c>
      <c r="BA311" t="s">
        <v>55</v>
      </c>
      <c r="BB311" t="s">
        <v>49</v>
      </c>
      <c r="BC311" t="s">
        <v>49</v>
      </c>
      <c r="BD311" t="s">
        <v>49</v>
      </c>
      <c r="BE311" t="s">
        <v>55</v>
      </c>
      <c r="BF311">
        <v>24</v>
      </c>
      <c r="BG311" t="s">
        <v>60</v>
      </c>
      <c r="BH311" t="s">
        <v>61</v>
      </c>
      <c r="BI311" t="s">
        <v>62</v>
      </c>
      <c r="BJ311" t="s">
        <v>63</v>
      </c>
      <c r="BK311">
        <v>2009</v>
      </c>
      <c r="BL311">
        <v>0</v>
      </c>
      <c r="BR311">
        <f t="shared" si="29"/>
        <v>30</v>
      </c>
      <c r="BS311">
        <v>137</v>
      </c>
      <c r="BT311">
        <f t="shared" si="26"/>
        <v>1</v>
      </c>
    </row>
    <row r="312" spans="1:72" x14ac:dyDescent="0.2">
      <c r="A312" s="19" t="s">
        <v>376</v>
      </c>
      <c r="B312" s="1">
        <v>2201</v>
      </c>
      <c r="C312">
        <v>1</v>
      </c>
      <c r="D312" t="s">
        <v>48</v>
      </c>
      <c r="E312" s="2" t="s">
        <v>49</v>
      </c>
      <c r="F312">
        <v>2201</v>
      </c>
      <c r="G312">
        <v>2201</v>
      </c>
      <c r="H312" s="2">
        <v>1009</v>
      </c>
      <c r="I312" s="3">
        <v>1009</v>
      </c>
      <c r="J312" s="4">
        <v>1009</v>
      </c>
      <c r="K312" s="9">
        <f>1065-1004</f>
        <v>61</v>
      </c>
      <c r="L312" s="4">
        <f>1491-1065</f>
        <v>426</v>
      </c>
      <c r="M312" s="6">
        <f>1703-1491</f>
        <v>212</v>
      </c>
      <c r="N312">
        <f>2201-1703</f>
        <v>498</v>
      </c>
      <c r="Q312" s="4" t="s">
        <v>51</v>
      </c>
      <c r="R312" s="9" t="s">
        <v>80</v>
      </c>
      <c r="S312" s="4" t="s">
        <v>51</v>
      </c>
      <c r="T312" s="6" t="s">
        <v>74</v>
      </c>
      <c r="U312" t="s">
        <v>105</v>
      </c>
      <c r="W312">
        <v>6</v>
      </c>
      <c r="X312">
        <v>12</v>
      </c>
      <c r="Y312" s="4">
        <f>J312+L312</f>
        <v>1435</v>
      </c>
      <c r="Z312" s="4">
        <v>1</v>
      </c>
      <c r="AC312" s="6">
        <f>M312</f>
        <v>212</v>
      </c>
      <c r="AD312" s="6">
        <v>1</v>
      </c>
      <c r="AG312" s="9">
        <f>K312</f>
        <v>61</v>
      </c>
      <c r="AH312" s="9">
        <v>1</v>
      </c>
      <c r="AM312">
        <v>55</v>
      </c>
      <c r="AN312" t="s">
        <v>52</v>
      </c>
      <c r="AO312" t="s">
        <v>53</v>
      </c>
      <c r="AP312">
        <v>-20389</v>
      </c>
      <c r="AQ312">
        <v>0</v>
      </c>
      <c r="AR312" t="s">
        <v>54</v>
      </c>
      <c r="AS312" t="s">
        <v>55</v>
      </c>
      <c r="AT312" t="s">
        <v>55</v>
      </c>
      <c r="AU312" t="s">
        <v>56</v>
      </c>
      <c r="AV312">
        <v>1852</v>
      </c>
      <c r="AW312" t="s">
        <v>57</v>
      </c>
      <c r="AX312" t="s">
        <v>55</v>
      </c>
      <c r="AY312" t="s">
        <v>58</v>
      </c>
      <c r="AZ312" t="s">
        <v>59</v>
      </c>
      <c r="BA312" t="s">
        <v>55</v>
      </c>
      <c r="BB312" t="s">
        <v>49</v>
      </c>
      <c r="BC312" t="s">
        <v>49</v>
      </c>
      <c r="BD312" t="s">
        <v>106</v>
      </c>
      <c r="BE312" t="s">
        <v>55</v>
      </c>
      <c r="BF312">
        <v>24</v>
      </c>
      <c r="BG312" t="s">
        <v>60</v>
      </c>
      <c r="BH312" t="s">
        <v>61</v>
      </c>
      <c r="BI312" t="s">
        <v>62</v>
      </c>
      <c r="BJ312" t="s">
        <v>63</v>
      </c>
      <c r="BK312">
        <v>1997</v>
      </c>
      <c r="BL312">
        <v>1</v>
      </c>
      <c r="BM312">
        <v>1</v>
      </c>
      <c r="BN312">
        <v>1</v>
      </c>
      <c r="BO312">
        <v>1</v>
      </c>
      <c r="BP312">
        <v>1</v>
      </c>
      <c r="BR312">
        <f>I312-BS312</f>
        <v>887</v>
      </c>
      <c r="BS312">
        <v>122</v>
      </c>
      <c r="BT312">
        <f t="shared" si="26"/>
        <v>5</v>
      </c>
    </row>
    <row r="313" spans="1:72" x14ac:dyDescent="0.2">
      <c r="A313" s="19" t="s">
        <v>377</v>
      </c>
      <c r="B313" s="1">
        <v>298</v>
      </c>
      <c r="C313">
        <v>0</v>
      </c>
      <c r="D313" t="s">
        <v>68</v>
      </c>
      <c r="E313" s="2" t="s">
        <v>49</v>
      </c>
      <c r="F313" t="s">
        <v>49</v>
      </c>
      <c r="G313">
        <v>298</v>
      </c>
      <c r="H313" s="2" t="s">
        <v>49</v>
      </c>
      <c r="I313" s="3" t="s">
        <v>69</v>
      </c>
      <c r="J313" s="4">
        <v>275</v>
      </c>
      <c r="Q313" s="4" t="s">
        <v>51</v>
      </c>
      <c r="W313">
        <v>6</v>
      </c>
      <c r="X313">
        <v>12</v>
      </c>
      <c r="Y313" s="4">
        <f>J313</f>
        <v>275</v>
      </c>
      <c r="Z313" s="4">
        <v>0</v>
      </c>
      <c r="AM313">
        <v>74</v>
      </c>
      <c r="AN313" t="s">
        <v>126</v>
      </c>
      <c r="AO313" t="s">
        <v>53</v>
      </c>
      <c r="AP313">
        <v>-27042</v>
      </c>
      <c r="AQ313">
        <v>0</v>
      </c>
      <c r="AR313" t="s">
        <v>54</v>
      </c>
      <c r="AS313" t="s">
        <v>55</v>
      </c>
      <c r="AT313" t="s">
        <v>55</v>
      </c>
      <c r="AU313" t="s">
        <v>56</v>
      </c>
      <c r="AV313">
        <v>1920</v>
      </c>
      <c r="AW313" t="s">
        <v>70</v>
      </c>
      <c r="AX313" t="s">
        <v>55</v>
      </c>
      <c r="AY313" t="s">
        <v>58</v>
      </c>
      <c r="AZ313" t="s">
        <v>59</v>
      </c>
      <c r="BA313" t="s">
        <v>55</v>
      </c>
      <c r="BB313" t="s">
        <v>49</v>
      </c>
      <c r="BC313" t="s">
        <v>49</v>
      </c>
      <c r="BD313" t="s">
        <v>49</v>
      </c>
      <c r="BE313" t="s">
        <v>55</v>
      </c>
      <c r="BF313">
        <v>24</v>
      </c>
      <c r="BG313" t="s">
        <v>60</v>
      </c>
      <c r="BH313" t="s">
        <v>61</v>
      </c>
      <c r="BI313" t="s">
        <v>62</v>
      </c>
      <c r="BJ313" t="s">
        <v>63</v>
      </c>
      <c r="BK313">
        <v>2009</v>
      </c>
      <c r="BL313">
        <v>0</v>
      </c>
      <c r="BR313">
        <f>B313-BS313</f>
        <v>155</v>
      </c>
      <c r="BS313">
        <v>143</v>
      </c>
      <c r="BT313">
        <f t="shared" si="26"/>
        <v>1</v>
      </c>
    </row>
    <row r="314" spans="1:72" x14ac:dyDescent="0.2">
      <c r="A314" s="19" t="s">
        <v>378</v>
      </c>
      <c r="B314" s="1">
        <v>689</v>
      </c>
      <c r="C314">
        <v>1</v>
      </c>
      <c r="D314" t="s">
        <v>48</v>
      </c>
      <c r="E314" s="2" t="s">
        <v>49</v>
      </c>
      <c r="F314">
        <v>689</v>
      </c>
      <c r="G314">
        <v>689</v>
      </c>
      <c r="H314" s="2">
        <v>343</v>
      </c>
      <c r="I314" s="3">
        <v>343</v>
      </c>
      <c r="J314">
        <f>343-35</f>
        <v>308</v>
      </c>
      <c r="K314" s="9">
        <v>306</v>
      </c>
      <c r="Q314" t="s">
        <v>96</v>
      </c>
      <c r="R314" s="9" t="s">
        <v>80</v>
      </c>
      <c r="W314">
        <v>8</v>
      </c>
      <c r="X314">
        <v>15</v>
      </c>
      <c r="AG314" s="9">
        <f>K314</f>
        <v>306</v>
      </c>
      <c r="AH314" s="9">
        <v>1</v>
      </c>
      <c r="AM314">
        <v>51</v>
      </c>
      <c r="AN314" t="s">
        <v>52</v>
      </c>
      <c r="AO314" t="s">
        <v>53</v>
      </c>
      <c r="AP314">
        <v>-18628</v>
      </c>
      <c r="AQ314">
        <v>0</v>
      </c>
      <c r="AR314" t="s">
        <v>54</v>
      </c>
      <c r="AS314" t="s">
        <v>55</v>
      </c>
      <c r="AT314" t="s">
        <v>55</v>
      </c>
      <c r="AU314" t="s">
        <v>166</v>
      </c>
      <c r="AV314">
        <v>1923</v>
      </c>
      <c r="AW314" t="s">
        <v>57</v>
      </c>
      <c r="AX314" t="s">
        <v>55</v>
      </c>
      <c r="AY314" t="s">
        <v>58</v>
      </c>
      <c r="AZ314" t="s">
        <v>59</v>
      </c>
      <c r="BA314" t="s">
        <v>55</v>
      </c>
      <c r="BB314" t="s">
        <v>49</v>
      </c>
      <c r="BC314" t="s">
        <v>49</v>
      </c>
      <c r="BD314" t="s">
        <v>106</v>
      </c>
      <c r="BE314" t="s">
        <v>55</v>
      </c>
      <c r="BF314">
        <v>24</v>
      </c>
      <c r="BG314" t="s">
        <v>60</v>
      </c>
      <c r="BH314" t="s">
        <v>61</v>
      </c>
      <c r="BI314" t="s">
        <v>62</v>
      </c>
      <c r="BJ314" t="s">
        <v>63</v>
      </c>
      <c r="BK314">
        <v>2001</v>
      </c>
      <c r="BL314">
        <v>1</v>
      </c>
      <c r="BM314">
        <v>1</v>
      </c>
      <c r="BR314">
        <f>I314-BS314</f>
        <v>111</v>
      </c>
      <c r="BS314">
        <v>232</v>
      </c>
      <c r="BT314">
        <f t="shared" si="26"/>
        <v>2</v>
      </c>
    </row>
    <row r="315" spans="1:72" x14ac:dyDescent="0.2">
      <c r="A315" s="19" t="s">
        <v>379</v>
      </c>
      <c r="B315" s="1">
        <v>919</v>
      </c>
      <c r="C315">
        <v>1</v>
      </c>
      <c r="D315" t="s">
        <v>48</v>
      </c>
      <c r="E315" s="2" t="s">
        <v>49</v>
      </c>
      <c r="F315">
        <v>919</v>
      </c>
      <c r="G315">
        <v>919</v>
      </c>
      <c r="H315" s="2">
        <v>320</v>
      </c>
      <c r="I315" s="3">
        <v>320</v>
      </c>
      <c r="J315" s="4">
        <v>299</v>
      </c>
      <c r="K315" s="5">
        <v>224</v>
      </c>
      <c r="L315">
        <v>44</v>
      </c>
      <c r="M315" s="10">
        <v>109</v>
      </c>
      <c r="N315">
        <v>213</v>
      </c>
      <c r="Q315" s="4" t="s">
        <v>51</v>
      </c>
      <c r="R315" s="5" t="s">
        <v>65</v>
      </c>
      <c r="S315" t="s">
        <v>309</v>
      </c>
      <c r="T315" s="10" t="s">
        <v>87</v>
      </c>
      <c r="U315" t="s">
        <v>97</v>
      </c>
      <c r="W315">
        <v>6</v>
      </c>
      <c r="X315">
        <v>12</v>
      </c>
      <c r="Y315" s="4">
        <f>J315</f>
        <v>299</v>
      </c>
      <c r="Z315" s="4">
        <v>1</v>
      </c>
      <c r="AE315" s="5">
        <f>K315</f>
        <v>224</v>
      </c>
      <c r="AF315" s="5">
        <v>1</v>
      </c>
      <c r="AK315" s="10">
        <f>M315</f>
        <v>109</v>
      </c>
      <c r="AL315" s="10">
        <v>1</v>
      </c>
      <c r="AM315">
        <v>65</v>
      </c>
      <c r="AN315" t="s">
        <v>52</v>
      </c>
      <c r="AO315" t="s">
        <v>53</v>
      </c>
      <c r="AP315">
        <v>-23801</v>
      </c>
      <c r="AQ315">
        <v>0</v>
      </c>
      <c r="AR315" t="s">
        <v>54</v>
      </c>
      <c r="AS315" t="s">
        <v>55</v>
      </c>
      <c r="AT315" t="s">
        <v>55</v>
      </c>
      <c r="AU315" t="s">
        <v>56</v>
      </c>
      <c r="AV315">
        <v>1924</v>
      </c>
      <c r="AW315" t="s">
        <v>57</v>
      </c>
      <c r="AX315" t="s">
        <v>55</v>
      </c>
      <c r="AY315" t="s">
        <v>58</v>
      </c>
      <c r="AZ315" t="s">
        <v>59</v>
      </c>
      <c r="BA315" t="s">
        <v>55</v>
      </c>
      <c r="BB315" t="s">
        <v>49</v>
      </c>
      <c r="BC315" t="s">
        <v>49</v>
      </c>
      <c r="BD315" t="s">
        <v>106</v>
      </c>
      <c r="BE315" t="s">
        <v>55</v>
      </c>
      <c r="BF315">
        <v>24</v>
      </c>
      <c r="BG315" t="s">
        <v>60</v>
      </c>
      <c r="BH315" t="s">
        <v>61</v>
      </c>
      <c r="BI315" t="s">
        <v>62</v>
      </c>
      <c r="BJ315" t="s">
        <v>63</v>
      </c>
      <c r="BK315">
        <v>2001</v>
      </c>
      <c r="BL315">
        <v>1</v>
      </c>
      <c r="BM315">
        <v>1</v>
      </c>
      <c r="BN315">
        <v>1</v>
      </c>
      <c r="BO315">
        <v>1</v>
      </c>
      <c r="BP315">
        <v>1</v>
      </c>
      <c r="BR315">
        <f>I315-BS315</f>
        <v>159</v>
      </c>
      <c r="BS315">
        <v>161</v>
      </c>
      <c r="BT315">
        <f t="shared" si="26"/>
        <v>5</v>
      </c>
    </row>
    <row r="316" spans="1:72" x14ac:dyDescent="0.2">
      <c r="A316" s="19" t="s">
        <v>380</v>
      </c>
      <c r="B316" s="1">
        <v>499</v>
      </c>
      <c r="C316">
        <v>1</v>
      </c>
      <c r="D316" t="s">
        <v>48</v>
      </c>
      <c r="E316" s="2" t="s">
        <v>49</v>
      </c>
      <c r="F316">
        <v>499</v>
      </c>
      <c r="G316">
        <v>499</v>
      </c>
      <c r="H316" s="2">
        <v>289</v>
      </c>
      <c r="I316" s="3">
        <v>289</v>
      </c>
      <c r="J316" s="4">
        <f>289-15</f>
        <v>274</v>
      </c>
      <c r="K316">
        <v>80</v>
      </c>
      <c r="L316">
        <v>127</v>
      </c>
      <c r="P316" t="s">
        <v>812</v>
      </c>
      <c r="Q316" s="4" t="s">
        <v>51</v>
      </c>
      <c r="R316" t="s">
        <v>381</v>
      </c>
      <c r="W316">
        <v>6</v>
      </c>
      <c r="X316">
        <v>12</v>
      </c>
      <c r="Y316" s="4">
        <f>J316</f>
        <v>274</v>
      </c>
      <c r="Z316" s="4">
        <v>1</v>
      </c>
      <c r="AM316">
        <v>59</v>
      </c>
      <c r="AN316" t="s">
        <v>52</v>
      </c>
      <c r="AO316" t="s">
        <v>53</v>
      </c>
      <c r="AP316">
        <v>-21719</v>
      </c>
      <c r="AQ316">
        <v>0</v>
      </c>
      <c r="AR316" t="s">
        <v>54</v>
      </c>
      <c r="AS316" t="s">
        <v>55</v>
      </c>
      <c r="AT316" t="s">
        <v>55</v>
      </c>
      <c r="AU316" t="s">
        <v>56</v>
      </c>
      <c r="AV316">
        <v>1927</v>
      </c>
      <c r="AW316" t="s">
        <v>57</v>
      </c>
      <c r="AX316" t="s">
        <v>55</v>
      </c>
      <c r="AY316" t="s">
        <v>58</v>
      </c>
      <c r="AZ316" t="s">
        <v>59</v>
      </c>
      <c r="BA316" t="s">
        <v>55</v>
      </c>
      <c r="BB316" t="s">
        <v>49</v>
      </c>
      <c r="BC316" t="s">
        <v>49</v>
      </c>
      <c r="BD316" t="s">
        <v>106</v>
      </c>
      <c r="BE316" t="s">
        <v>53</v>
      </c>
      <c r="BF316">
        <v>24</v>
      </c>
      <c r="BG316" t="s">
        <v>60</v>
      </c>
      <c r="BH316" t="s">
        <v>61</v>
      </c>
      <c r="BI316" t="s">
        <v>62</v>
      </c>
      <c r="BJ316" t="s">
        <v>63</v>
      </c>
      <c r="BK316">
        <v>1999</v>
      </c>
      <c r="BL316">
        <v>1</v>
      </c>
      <c r="BM316">
        <v>1</v>
      </c>
      <c r="BN316">
        <v>1</v>
      </c>
      <c r="BR316">
        <f>I316-BS316</f>
        <v>158</v>
      </c>
      <c r="BS316">
        <v>131</v>
      </c>
      <c r="BT316">
        <f t="shared" si="26"/>
        <v>3</v>
      </c>
    </row>
    <row r="317" spans="1:72" x14ac:dyDescent="0.2">
      <c r="A317" s="19" t="s">
        <v>382</v>
      </c>
      <c r="B317" s="1">
        <v>336</v>
      </c>
      <c r="C317">
        <v>1</v>
      </c>
      <c r="D317" t="s">
        <v>48</v>
      </c>
      <c r="E317" s="2" t="s">
        <v>49</v>
      </c>
      <c r="F317">
        <v>336</v>
      </c>
      <c r="G317">
        <v>336</v>
      </c>
      <c r="H317" s="2">
        <v>70</v>
      </c>
      <c r="I317" s="3">
        <v>142</v>
      </c>
      <c r="J317" s="4">
        <f>156-14</f>
        <v>142</v>
      </c>
      <c r="K317" s="6">
        <v>98</v>
      </c>
      <c r="L317" s="5">
        <f>327-254</f>
        <v>73</v>
      </c>
      <c r="M317">
        <v>8</v>
      </c>
      <c r="P317" t="s">
        <v>813</v>
      </c>
      <c r="Q317" s="4" t="s">
        <v>51</v>
      </c>
      <c r="R317" s="6" t="s">
        <v>74</v>
      </c>
      <c r="S317" s="5" t="s">
        <v>65</v>
      </c>
      <c r="T317" t="s">
        <v>98</v>
      </c>
      <c r="W317">
        <v>6</v>
      </c>
      <c r="X317">
        <v>12</v>
      </c>
      <c r="Y317" s="4">
        <f>J317</f>
        <v>142</v>
      </c>
      <c r="Z317" s="4">
        <v>1</v>
      </c>
      <c r="AC317" s="6">
        <f>K317</f>
        <v>98</v>
      </c>
      <c r="AD317" s="6">
        <v>1</v>
      </c>
      <c r="AE317" s="5">
        <v>73</v>
      </c>
      <c r="AF317" s="5">
        <v>1</v>
      </c>
      <c r="AM317">
        <v>77</v>
      </c>
      <c r="AN317" t="s">
        <v>52</v>
      </c>
      <c r="AO317" t="s">
        <v>53</v>
      </c>
      <c r="AP317">
        <v>-28125</v>
      </c>
      <c r="AQ317">
        <v>0</v>
      </c>
      <c r="AR317" t="s">
        <v>54</v>
      </c>
      <c r="AS317" t="s">
        <v>55</v>
      </c>
      <c r="AT317" t="s">
        <v>55</v>
      </c>
      <c r="AU317" t="s">
        <v>85</v>
      </c>
      <c r="AV317">
        <v>1928</v>
      </c>
      <c r="AW317" t="s">
        <v>57</v>
      </c>
      <c r="AX317" t="s">
        <v>55</v>
      </c>
      <c r="AY317" t="s">
        <v>81</v>
      </c>
      <c r="AZ317" t="s">
        <v>59</v>
      </c>
      <c r="BA317" t="s">
        <v>55</v>
      </c>
      <c r="BB317" t="s">
        <v>49</v>
      </c>
      <c r="BC317" t="s">
        <v>49</v>
      </c>
      <c r="BD317" t="s">
        <v>106</v>
      </c>
      <c r="BE317" t="s">
        <v>55</v>
      </c>
      <c r="BF317">
        <v>24</v>
      </c>
      <c r="BG317" t="s">
        <v>60</v>
      </c>
      <c r="BH317" t="s">
        <v>142</v>
      </c>
      <c r="BI317" t="s">
        <v>62</v>
      </c>
      <c r="BJ317" t="s">
        <v>63</v>
      </c>
      <c r="BK317">
        <v>1998</v>
      </c>
      <c r="BL317">
        <v>1</v>
      </c>
      <c r="BM317">
        <v>1</v>
      </c>
      <c r="BN317">
        <v>1</v>
      </c>
      <c r="BO317">
        <v>1</v>
      </c>
      <c r="BR317">
        <f>I317-BS317</f>
        <v>16</v>
      </c>
      <c r="BS317">
        <v>126</v>
      </c>
      <c r="BT317">
        <f t="shared" si="26"/>
        <v>4</v>
      </c>
    </row>
    <row r="318" spans="1:72" x14ac:dyDescent="0.2">
      <c r="A318" s="19" t="s">
        <v>383</v>
      </c>
      <c r="B318" s="1">
        <v>2467</v>
      </c>
      <c r="C318">
        <v>1</v>
      </c>
      <c r="D318" t="s">
        <v>48</v>
      </c>
      <c r="E318" s="2" t="s">
        <v>49</v>
      </c>
      <c r="F318">
        <v>2467</v>
      </c>
      <c r="G318">
        <v>2467</v>
      </c>
      <c r="H318" s="2">
        <v>543</v>
      </c>
      <c r="I318" s="3">
        <v>543</v>
      </c>
      <c r="J318" s="4">
        <f>543-14</f>
        <v>529</v>
      </c>
      <c r="K318" s="9">
        <f>1112-726</f>
        <v>386</v>
      </c>
      <c r="L318" s="4">
        <v>218</v>
      </c>
      <c r="M318" s="5">
        <v>92</v>
      </c>
      <c r="N318" s="7">
        <v>721</v>
      </c>
      <c r="O318">
        <v>113</v>
      </c>
      <c r="P318" t="s">
        <v>814</v>
      </c>
      <c r="Q318" s="4" t="s">
        <v>51</v>
      </c>
      <c r="R318" s="9" t="s">
        <v>80</v>
      </c>
      <c r="S318" s="4" t="s">
        <v>51</v>
      </c>
      <c r="T318" s="5" t="s">
        <v>65</v>
      </c>
      <c r="U318" s="7" t="s">
        <v>75</v>
      </c>
      <c r="V318" t="s">
        <v>309</v>
      </c>
      <c r="W318">
        <v>13</v>
      </c>
      <c r="X318">
        <v>26</v>
      </c>
      <c r="Y318" s="4">
        <f>J318+L318</f>
        <v>747</v>
      </c>
      <c r="Z318" s="4">
        <v>1</v>
      </c>
      <c r="AE318" s="5">
        <f>M318</f>
        <v>92</v>
      </c>
      <c r="AF318" s="5">
        <v>1</v>
      </c>
      <c r="AG318" s="9">
        <f>K318</f>
        <v>386</v>
      </c>
      <c r="AH318" s="9">
        <v>1</v>
      </c>
      <c r="AI318" s="7">
        <f>N318</f>
        <v>721</v>
      </c>
      <c r="AJ318" s="7">
        <v>1</v>
      </c>
      <c r="AK318" s="8"/>
      <c r="AL318" s="8"/>
      <c r="AM318">
        <v>53</v>
      </c>
      <c r="AN318" t="s">
        <v>52</v>
      </c>
      <c r="AO318" t="s">
        <v>53</v>
      </c>
      <c r="AP318">
        <v>-19387</v>
      </c>
      <c r="AQ318">
        <v>0</v>
      </c>
      <c r="AR318" t="s">
        <v>54</v>
      </c>
      <c r="AS318" t="s">
        <v>55</v>
      </c>
      <c r="AT318" t="s">
        <v>55</v>
      </c>
      <c r="AU318" t="s">
        <v>56</v>
      </c>
      <c r="AV318">
        <v>1930</v>
      </c>
      <c r="AW318" t="s">
        <v>57</v>
      </c>
      <c r="AX318" t="s">
        <v>55</v>
      </c>
      <c r="AY318" t="s">
        <v>58</v>
      </c>
      <c r="AZ318" t="s">
        <v>59</v>
      </c>
      <c r="BA318" t="s">
        <v>55</v>
      </c>
      <c r="BB318" t="s">
        <v>49</v>
      </c>
      <c r="BC318" t="s">
        <v>49</v>
      </c>
      <c r="BD318" t="s">
        <v>66</v>
      </c>
      <c r="BE318" t="s">
        <v>55</v>
      </c>
      <c r="BF318">
        <v>24</v>
      </c>
      <c r="BG318" t="s">
        <v>60</v>
      </c>
      <c r="BH318" t="s">
        <v>61</v>
      </c>
      <c r="BI318" t="s">
        <v>62</v>
      </c>
      <c r="BJ318" t="s">
        <v>63</v>
      </c>
      <c r="BK318">
        <v>1998</v>
      </c>
      <c r="BL318">
        <v>1</v>
      </c>
      <c r="BM318">
        <v>1</v>
      </c>
      <c r="BN318">
        <v>1</v>
      </c>
      <c r="BO318">
        <v>1</v>
      </c>
      <c r="BP318">
        <v>1</v>
      </c>
      <c r="BQ318">
        <v>1</v>
      </c>
      <c r="BR318">
        <f>I318-BS318</f>
        <v>269</v>
      </c>
      <c r="BS318">
        <v>274</v>
      </c>
      <c r="BT318">
        <f t="shared" si="26"/>
        <v>6</v>
      </c>
    </row>
    <row r="319" spans="1:72" x14ac:dyDescent="0.2">
      <c r="A319" s="19" t="s">
        <v>384</v>
      </c>
      <c r="B319" s="1">
        <v>148</v>
      </c>
      <c r="C319">
        <v>0</v>
      </c>
      <c r="D319" t="s">
        <v>68</v>
      </c>
      <c r="E319" s="2" t="s">
        <v>49</v>
      </c>
      <c r="F319" t="s">
        <v>49</v>
      </c>
      <c r="G319">
        <v>148</v>
      </c>
      <c r="H319" s="2" t="s">
        <v>49</v>
      </c>
      <c r="I319" s="3" t="s">
        <v>69</v>
      </c>
      <c r="Q319" t="s">
        <v>50</v>
      </c>
      <c r="AM319">
        <v>46</v>
      </c>
      <c r="AN319" t="s">
        <v>52</v>
      </c>
      <c r="AO319" t="s">
        <v>53</v>
      </c>
      <c r="AP319">
        <v>-17009</v>
      </c>
      <c r="AQ319">
        <v>0</v>
      </c>
      <c r="AR319" t="s">
        <v>54</v>
      </c>
      <c r="AS319" t="s">
        <v>55</v>
      </c>
      <c r="AT319" t="s">
        <v>55</v>
      </c>
      <c r="AU319" t="s">
        <v>56</v>
      </c>
      <c r="AV319">
        <v>2019</v>
      </c>
      <c r="AW319" t="s">
        <v>49</v>
      </c>
      <c r="AX319" t="s">
        <v>55</v>
      </c>
      <c r="AY319" t="s">
        <v>49</v>
      </c>
      <c r="AZ319" t="s">
        <v>59</v>
      </c>
      <c r="BA319" t="s">
        <v>55</v>
      </c>
      <c r="BB319" t="s">
        <v>49</v>
      </c>
      <c r="BC319" t="s">
        <v>49</v>
      </c>
      <c r="BD319" t="s">
        <v>49</v>
      </c>
      <c r="BE319" t="s">
        <v>55</v>
      </c>
      <c r="BF319">
        <v>24</v>
      </c>
      <c r="BG319" t="s">
        <v>60</v>
      </c>
      <c r="BH319" t="s">
        <v>61</v>
      </c>
      <c r="BI319" t="s">
        <v>62</v>
      </c>
      <c r="BJ319" t="s">
        <v>63</v>
      </c>
      <c r="BK319">
        <v>2009</v>
      </c>
      <c r="BT319">
        <f t="shared" si="26"/>
        <v>0</v>
      </c>
    </row>
    <row r="320" spans="1:72" x14ac:dyDescent="0.2">
      <c r="A320" s="19" t="s">
        <v>385</v>
      </c>
      <c r="B320" s="1">
        <v>4623</v>
      </c>
      <c r="C320">
        <v>1</v>
      </c>
      <c r="D320" t="s">
        <v>48</v>
      </c>
      <c r="E320" s="2" t="s">
        <v>49</v>
      </c>
      <c r="F320">
        <v>4623</v>
      </c>
      <c r="G320">
        <v>4623</v>
      </c>
      <c r="H320" s="2">
        <v>723</v>
      </c>
      <c r="I320" s="3">
        <v>723</v>
      </c>
      <c r="J320" s="4">
        <f>723-44</f>
        <v>679</v>
      </c>
      <c r="K320" s="4">
        <v>636</v>
      </c>
      <c r="L320" s="9">
        <v>523</v>
      </c>
      <c r="M320" s="5">
        <v>331</v>
      </c>
      <c r="N320" s="6">
        <v>358</v>
      </c>
      <c r="O320" s="11">
        <v>2030</v>
      </c>
      <c r="P320" s="8" t="s">
        <v>815</v>
      </c>
      <c r="Q320" s="4" t="s">
        <v>51</v>
      </c>
      <c r="R320" s="4" t="s">
        <v>51</v>
      </c>
      <c r="S320" s="9" t="s">
        <v>80</v>
      </c>
      <c r="T320" s="5" t="s">
        <v>65</v>
      </c>
      <c r="U320" s="6" t="s">
        <v>74</v>
      </c>
      <c r="V320" s="11" t="s">
        <v>90</v>
      </c>
      <c r="W320" s="8">
        <v>13</v>
      </c>
      <c r="X320" s="8">
        <v>20</v>
      </c>
      <c r="Y320" s="4">
        <f>J320+K320</f>
        <v>1315</v>
      </c>
      <c r="Z320" s="4">
        <v>1</v>
      </c>
      <c r="AA320" s="11">
        <f>O320</f>
        <v>2030</v>
      </c>
      <c r="AB320" s="11">
        <v>1</v>
      </c>
      <c r="AC320" s="6">
        <f>N320</f>
        <v>358</v>
      </c>
      <c r="AD320" s="6">
        <v>1</v>
      </c>
      <c r="AE320" s="5">
        <f>M320</f>
        <v>331</v>
      </c>
      <c r="AF320" s="5">
        <v>1</v>
      </c>
      <c r="AG320" s="9">
        <f>L320</f>
        <v>523</v>
      </c>
      <c r="AH320" s="9">
        <v>1</v>
      </c>
      <c r="AM320">
        <v>67</v>
      </c>
      <c r="AN320" t="s">
        <v>52</v>
      </c>
      <c r="AO320" t="s">
        <v>53</v>
      </c>
      <c r="AP320">
        <v>-24682</v>
      </c>
      <c r="AQ320">
        <v>0</v>
      </c>
      <c r="AR320" t="s">
        <v>54</v>
      </c>
      <c r="AS320" t="s">
        <v>55</v>
      </c>
      <c r="AT320" t="s">
        <v>55</v>
      </c>
      <c r="AU320" t="s">
        <v>56</v>
      </c>
      <c r="AV320">
        <v>2020</v>
      </c>
      <c r="AW320" t="s">
        <v>57</v>
      </c>
      <c r="AX320" t="s">
        <v>55</v>
      </c>
      <c r="AY320" t="s">
        <v>58</v>
      </c>
      <c r="AZ320" t="s">
        <v>59</v>
      </c>
      <c r="BA320" t="s">
        <v>55</v>
      </c>
      <c r="BB320" t="s">
        <v>49</v>
      </c>
      <c r="BC320" t="s">
        <v>49</v>
      </c>
      <c r="BD320" t="s">
        <v>106</v>
      </c>
      <c r="BE320" t="s">
        <v>55</v>
      </c>
      <c r="BF320">
        <v>24</v>
      </c>
      <c r="BG320" t="s">
        <v>60</v>
      </c>
      <c r="BH320" t="s">
        <v>61</v>
      </c>
      <c r="BI320" t="s">
        <v>62</v>
      </c>
      <c r="BJ320" t="s">
        <v>63</v>
      </c>
      <c r="BK320">
        <v>1994</v>
      </c>
      <c r="BL320">
        <v>1</v>
      </c>
      <c r="BM320">
        <v>1</v>
      </c>
      <c r="BN320">
        <v>1</v>
      </c>
      <c r="BO320">
        <v>1</v>
      </c>
      <c r="BP320">
        <v>1</v>
      </c>
      <c r="BQ320">
        <v>1</v>
      </c>
      <c r="BR320">
        <f t="shared" ref="BR320:BR329" si="30">I320-BS320</f>
        <v>309</v>
      </c>
      <c r="BS320">
        <v>414</v>
      </c>
      <c r="BT320">
        <f t="shared" si="26"/>
        <v>6</v>
      </c>
    </row>
    <row r="321" spans="1:72" x14ac:dyDescent="0.2">
      <c r="A321" s="19" t="s">
        <v>386</v>
      </c>
      <c r="B321" s="1">
        <v>1364</v>
      </c>
      <c r="C321">
        <v>1</v>
      </c>
      <c r="D321" t="s">
        <v>48</v>
      </c>
      <c r="E321" s="2" t="s">
        <v>49</v>
      </c>
      <c r="F321">
        <v>1364</v>
      </c>
      <c r="G321">
        <v>1364</v>
      </c>
      <c r="H321" s="2">
        <v>1069</v>
      </c>
      <c r="I321" s="3">
        <v>1069</v>
      </c>
      <c r="J321" s="8">
        <v>1126</v>
      </c>
      <c r="K321" s="4">
        <v>238</v>
      </c>
      <c r="Q321" s="8" t="s">
        <v>608</v>
      </c>
      <c r="R321" s="4" t="s">
        <v>51</v>
      </c>
      <c r="W321" s="8">
        <v>16</v>
      </c>
      <c r="X321" s="8">
        <v>32</v>
      </c>
      <c r="Y321" s="4">
        <f>K321</f>
        <v>238</v>
      </c>
      <c r="Z321" s="4">
        <v>1</v>
      </c>
      <c r="AM321">
        <v>54</v>
      </c>
      <c r="AN321" t="s">
        <v>52</v>
      </c>
      <c r="AO321" t="s">
        <v>53</v>
      </c>
      <c r="AP321">
        <v>-19900</v>
      </c>
      <c r="AQ321">
        <v>0</v>
      </c>
      <c r="AR321" t="s">
        <v>54</v>
      </c>
      <c r="AS321" t="s">
        <v>55</v>
      </c>
      <c r="AT321" t="s">
        <v>55</v>
      </c>
      <c r="AU321" t="s">
        <v>56</v>
      </c>
      <c r="AV321">
        <v>2023</v>
      </c>
      <c r="AW321" t="s">
        <v>57</v>
      </c>
      <c r="AX321" t="s">
        <v>55</v>
      </c>
      <c r="AY321" t="s">
        <v>58</v>
      </c>
      <c r="AZ321" t="s">
        <v>59</v>
      </c>
      <c r="BA321" t="s">
        <v>55</v>
      </c>
      <c r="BB321" t="s">
        <v>49</v>
      </c>
      <c r="BC321" t="s">
        <v>49</v>
      </c>
      <c r="BD321" t="s">
        <v>106</v>
      </c>
      <c r="BE321" t="s">
        <v>55</v>
      </c>
      <c r="BF321">
        <v>24</v>
      </c>
      <c r="BG321" t="s">
        <v>60</v>
      </c>
      <c r="BH321" t="s">
        <v>61</v>
      </c>
      <c r="BI321" t="s">
        <v>131</v>
      </c>
      <c r="BJ321" t="s">
        <v>63</v>
      </c>
      <c r="BK321">
        <v>1994</v>
      </c>
      <c r="BL321">
        <v>1</v>
      </c>
      <c r="BM321">
        <v>1</v>
      </c>
      <c r="BR321">
        <f t="shared" si="30"/>
        <v>567</v>
      </c>
      <c r="BS321">
        <v>502</v>
      </c>
      <c r="BT321">
        <f t="shared" si="26"/>
        <v>2</v>
      </c>
    </row>
    <row r="322" spans="1:72" x14ac:dyDescent="0.2">
      <c r="A322" s="19" t="s">
        <v>387</v>
      </c>
      <c r="B322" s="1">
        <v>1769</v>
      </c>
      <c r="C322">
        <v>1</v>
      </c>
      <c r="D322" t="s">
        <v>48</v>
      </c>
      <c r="E322" s="2" t="s">
        <v>49</v>
      </c>
      <c r="F322">
        <v>1769</v>
      </c>
      <c r="G322">
        <v>1769</v>
      </c>
      <c r="H322" s="2">
        <v>421</v>
      </c>
      <c r="I322" s="3">
        <v>421</v>
      </c>
      <c r="J322" s="4">
        <f>411</f>
        <v>411</v>
      </c>
      <c r="K322" s="4">
        <v>1313</v>
      </c>
      <c r="Q322" s="4" t="s">
        <v>51</v>
      </c>
      <c r="R322" s="4" t="s">
        <v>51</v>
      </c>
      <c r="W322" s="8">
        <v>6</v>
      </c>
      <c r="X322" s="8">
        <v>12</v>
      </c>
      <c r="Y322" s="4">
        <f>J322+K322</f>
        <v>1724</v>
      </c>
      <c r="Z322" s="4">
        <v>1</v>
      </c>
      <c r="AM322">
        <v>72</v>
      </c>
      <c r="AN322" t="s">
        <v>52</v>
      </c>
      <c r="AO322" t="s">
        <v>53</v>
      </c>
      <c r="AP322">
        <v>-26475</v>
      </c>
      <c r="AQ322">
        <v>0</v>
      </c>
      <c r="AR322" t="s">
        <v>54</v>
      </c>
      <c r="AS322" t="s">
        <v>55</v>
      </c>
      <c r="AT322" t="s">
        <v>55</v>
      </c>
      <c r="AU322" t="s">
        <v>56</v>
      </c>
      <c r="AV322">
        <v>2024</v>
      </c>
      <c r="AW322" t="s">
        <v>57</v>
      </c>
      <c r="AX322" t="s">
        <v>55</v>
      </c>
      <c r="AY322" t="s">
        <v>58</v>
      </c>
      <c r="AZ322" t="s">
        <v>111</v>
      </c>
      <c r="BA322" t="s">
        <v>55</v>
      </c>
      <c r="BB322" t="s">
        <v>49</v>
      </c>
      <c r="BC322" t="s">
        <v>49</v>
      </c>
      <c r="BD322" t="s">
        <v>106</v>
      </c>
      <c r="BE322" t="s">
        <v>55</v>
      </c>
      <c r="BF322">
        <v>24</v>
      </c>
      <c r="BG322" t="s">
        <v>60</v>
      </c>
      <c r="BH322" t="s">
        <v>61</v>
      </c>
      <c r="BI322" t="s">
        <v>62</v>
      </c>
      <c r="BJ322" t="s">
        <v>63</v>
      </c>
      <c r="BK322">
        <v>1994</v>
      </c>
      <c r="BL322">
        <v>1</v>
      </c>
      <c r="BM322">
        <v>1</v>
      </c>
      <c r="BR322">
        <f t="shared" si="30"/>
        <v>301</v>
      </c>
      <c r="BS322">
        <v>120</v>
      </c>
      <c r="BT322">
        <f t="shared" si="26"/>
        <v>2</v>
      </c>
    </row>
    <row r="323" spans="1:72" x14ac:dyDescent="0.2">
      <c r="A323" s="19" t="s">
        <v>388</v>
      </c>
      <c r="B323" s="1">
        <v>1059</v>
      </c>
      <c r="C323">
        <v>1</v>
      </c>
      <c r="D323" t="s">
        <v>48</v>
      </c>
      <c r="E323" s="2" t="s">
        <v>49</v>
      </c>
      <c r="F323">
        <v>1059</v>
      </c>
      <c r="G323">
        <v>1059</v>
      </c>
      <c r="H323" s="2" t="s">
        <v>49</v>
      </c>
      <c r="I323" s="3">
        <v>1059</v>
      </c>
      <c r="J323" s="4">
        <f>1059-31</f>
        <v>1028</v>
      </c>
      <c r="Q323" s="4" t="s">
        <v>51</v>
      </c>
      <c r="Y323" s="4">
        <f>J323</f>
        <v>1028</v>
      </c>
      <c r="Z323" s="4">
        <v>1</v>
      </c>
      <c r="AM323">
        <v>79</v>
      </c>
      <c r="AN323" t="s">
        <v>52</v>
      </c>
      <c r="AO323" t="s">
        <v>53</v>
      </c>
      <c r="AP323">
        <v>-29050</v>
      </c>
      <c r="AQ323">
        <v>0</v>
      </c>
      <c r="AR323" t="s">
        <v>54</v>
      </c>
      <c r="AS323" t="s">
        <v>55</v>
      </c>
      <c r="AT323" t="s">
        <v>55</v>
      </c>
      <c r="AU323" t="s">
        <v>56</v>
      </c>
      <c r="AV323">
        <v>2026</v>
      </c>
      <c r="AW323" t="s">
        <v>49</v>
      </c>
      <c r="AX323" t="s">
        <v>55</v>
      </c>
      <c r="AY323" t="s">
        <v>49</v>
      </c>
      <c r="AZ323" t="s">
        <v>59</v>
      </c>
      <c r="BA323" t="s">
        <v>55</v>
      </c>
      <c r="BB323" t="s">
        <v>49</v>
      </c>
      <c r="BC323" t="s">
        <v>49</v>
      </c>
      <c r="BD323" t="s">
        <v>49</v>
      </c>
      <c r="BE323" t="s">
        <v>55</v>
      </c>
      <c r="BF323">
        <v>24</v>
      </c>
      <c r="BG323" t="s">
        <v>60</v>
      </c>
      <c r="BH323" t="s">
        <v>82</v>
      </c>
      <c r="BI323" t="s">
        <v>62</v>
      </c>
      <c r="BJ323" t="s">
        <v>63</v>
      </c>
      <c r="BK323">
        <v>1995</v>
      </c>
      <c r="BL323">
        <v>1</v>
      </c>
      <c r="BR323">
        <f t="shared" si="30"/>
        <v>902</v>
      </c>
      <c r="BS323">
        <v>157</v>
      </c>
      <c r="BT323">
        <f t="shared" si="26"/>
        <v>1</v>
      </c>
    </row>
    <row r="324" spans="1:72" x14ac:dyDescent="0.2">
      <c r="A324" s="19" t="s">
        <v>389</v>
      </c>
      <c r="B324" s="1">
        <v>3336</v>
      </c>
      <c r="C324">
        <v>1</v>
      </c>
      <c r="D324" t="s">
        <v>48</v>
      </c>
      <c r="E324" s="2" t="s">
        <v>49</v>
      </c>
      <c r="F324">
        <v>3336</v>
      </c>
      <c r="G324">
        <v>3336</v>
      </c>
      <c r="H324" s="2">
        <v>617</v>
      </c>
      <c r="I324" s="3">
        <v>617</v>
      </c>
      <c r="J324" s="4">
        <f>617-6</f>
        <v>611</v>
      </c>
      <c r="K324" s="4">
        <v>989</v>
      </c>
      <c r="L324" s="9">
        <v>435</v>
      </c>
      <c r="M324" s="6">
        <v>351</v>
      </c>
      <c r="N324" s="5">
        <v>177</v>
      </c>
      <c r="O324" s="10">
        <v>25</v>
      </c>
      <c r="P324" s="8"/>
      <c r="Q324" s="4" t="s">
        <v>51</v>
      </c>
      <c r="R324" s="4" t="s">
        <v>51</v>
      </c>
      <c r="S324" s="9" t="s">
        <v>80</v>
      </c>
      <c r="T324" s="6" t="s">
        <v>74</v>
      </c>
      <c r="U324" s="5" t="s">
        <v>65</v>
      </c>
      <c r="V324" s="10" t="s">
        <v>87</v>
      </c>
      <c r="W324" s="8">
        <v>12</v>
      </c>
      <c r="X324" s="8">
        <v>24</v>
      </c>
      <c r="Y324" s="4">
        <f>J324+K324</f>
        <v>1600</v>
      </c>
      <c r="Z324" s="4">
        <v>1</v>
      </c>
      <c r="AC324" s="6">
        <f>M324</f>
        <v>351</v>
      </c>
      <c r="AD324" s="6">
        <v>1</v>
      </c>
      <c r="AE324" s="5">
        <f>N324</f>
        <v>177</v>
      </c>
      <c r="AF324" s="5">
        <v>1</v>
      </c>
      <c r="AG324" s="9">
        <f>L324</f>
        <v>435</v>
      </c>
      <c r="AH324" s="9">
        <v>1</v>
      </c>
      <c r="AK324" s="10">
        <f>O324</f>
        <v>25</v>
      </c>
      <c r="AL324" s="10">
        <v>1</v>
      </c>
      <c r="AM324">
        <v>51</v>
      </c>
      <c r="AN324" t="s">
        <v>52</v>
      </c>
      <c r="AO324" t="s">
        <v>53</v>
      </c>
      <c r="AP324">
        <v>-18835</v>
      </c>
      <c r="AQ324">
        <v>0</v>
      </c>
      <c r="AR324" t="s">
        <v>54</v>
      </c>
      <c r="AS324" t="s">
        <v>55</v>
      </c>
      <c r="AT324" t="s">
        <v>55</v>
      </c>
      <c r="AU324" t="s">
        <v>56</v>
      </c>
      <c r="AV324">
        <v>2027</v>
      </c>
      <c r="AW324" t="s">
        <v>57</v>
      </c>
      <c r="AX324" t="s">
        <v>55</v>
      </c>
      <c r="AY324" t="s">
        <v>58</v>
      </c>
      <c r="AZ324" t="s">
        <v>59</v>
      </c>
      <c r="BA324" t="s">
        <v>55</v>
      </c>
      <c r="BB324" t="s">
        <v>49</v>
      </c>
      <c r="BC324" t="s">
        <v>49</v>
      </c>
      <c r="BD324" t="s">
        <v>106</v>
      </c>
      <c r="BE324" t="s">
        <v>55</v>
      </c>
      <c r="BF324">
        <v>24</v>
      </c>
      <c r="BG324" t="s">
        <v>60</v>
      </c>
      <c r="BH324" t="s">
        <v>82</v>
      </c>
      <c r="BI324" t="s">
        <v>83</v>
      </c>
      <c r="BJ324" t="s">
        <v>63</v>
      </c>
      <c r="BK324">
        <v>1995</v>
      </c>
      <c r="BL324">
        <v>1</v>
      </c>
      <c r="BM324">
        <v>1</v>
      </c>
      <c r="BN324">
        <v>1</v>
      </c>
      <c r="BO324">
        <v>1</v>
      </c>
      <c r="BP324">
        <v>1</v>
      </c>
      <c r="BQ324">
        <v>1</v>
      </c>
      <c r="BR324">
        <f t="shared" si="30"/>
        <v>359</v>
      </c>
      <c r="BS324">
        <v>258</v>
      </c>
      <c r="BT324">
        <f t="shared" si="26"/>
        <v>6</v>
      </c>
    </row>
    <row r="325" spans="1:72" x14ac:dyDescent="0.2">
      <c r="A325" s="19" t="s">
        <v>390</v>
      </c>
      <c r="B325" s="1">
        <v>439</v>
      </c>
      <c r="C325">
        <v>1</v>
      </c>
      <c r="D325" t="s">
        <v>48</v>
      </c>
      <c r="E325" s="2" t="s">
        <v>49</v>
      </c>
      <c r="F325">
        <v>439</v>
      </c>
      <c r="G325">
        <v>439</v>
      </c>
      <c r="H325" s="2">
        <v>536</v>
      </c>
      <c r="I325" s="3">
        <v>439</v>
      </c>
      <c r="J325" s="4">
        <f>439-8</f>
        <v>431</v>
      </c>
      <c r="P325" t="s">
        <v>816</v>
      </c>
      <c r="Q325" s="4" t="s">
        <v>51</v>
      </c>
      <c r="W325" s="8">
        <v>9</v>
      </c>
      <c r="X325" s="8">
        <v>18</v>
      </c>
      <c r="Y325" s="4">
        <f>J325</f>
        <v>431</v>
      </c>
      <c r="Z325" s="4">
        <v>1</v>
      </c>
      <c r="AM325">
        <v>75</v>
      </c>
      <c r="AN325" t="s">
        <v>52</v>
      </c>
      <c r="AO325" t="s">
        <v>53</v>
      </c>
      <c r="AP325">
        <v>-27526</v>
      </c>
      <c r="AQ325">
        <v>0</v>
      </c>
      <c r="AR325" t="s">
        <v>54</v>
      </c>
      <c r="AS325" t="s">
        <v>49</v>
      </c>
      <c r="AT325" t="s">
        <v>55</v>
      </c>
      <c r="AU325" t="s">
        <v>56</v>
      </c>
      <c r="AV325">
        <v>2029</v>
      </c>
      <c r="AW325" t="s">
        <v>57</v>
      </c>
      <c r="AX325" t="s">
        <v>55</v>
      </c>
      <c r="AY325" t="s">
        <v>58</v>
      </c>
      <c r="AZ325" t="s">
        <v>59</v>
      </c>
      <c r="BA325" t="s">
        <v>55</v>
      </c>
      <c r="BB325" t="s">
        <v>49</v>
      </c>
      <c r="BC325" t="s">
        <v>49</v>
      </c>
      <c r="BD325" t="s">
        <v>106</v>
      </c>
      <c r="BE325" t="s">
        <v>55</v>
      </c>
      <c r="BF325">
        <v>24</v>
      </c>
      <c r="BG325" t="s">
        <v>60</v>
      </c>
      <c r="BH325" t="s">
        <v>82</v>
      </c>
      <c r="BI325" t="s">
        <v>62</v>
      </c>
      <c r="BJ325" t="s">
        <v>63</v>
      </c>
      <c r="BK325">
        <v>1995</v>
      </c>
      <c r="BL325">
        <v>1</v>
      </c>
      <c r="BR325">
        <f t="shared" si="30"/>
        <v>221</v>
      </c>
      <c r="BS325">
        <v>218</v>
      </c>
      <c r="BT325">
        <f t="shared" si="26"/>
        <v>1</v>
      </c>
    </row>
    <row r="326" spans="1:72" x14ac:dyDescent="0.2">
      <c r="A326" s="19" t="s">
        <v>391</v>
      </c>
      <c r="B326" s="1">
        <v>1701</v>
      </c>
      <c r="C326">
        <v>1</v>
      </c>
      <c r="D326" t="s">
        <v>48</v>
      </c>
      <c r="E326" s="2" t="s">
        <v>49</v>
      </c>
      <c r="F326">
        <v>1701</v>
      </c>
      <c r="G326">
        <v>1641</v>
      </c>
      <c r="H326" s="2">
        <v>646</v>
      </c>
      <c r="I326" s="3">
        <v>646</v>
      </c>
      <c r="J326" s="4">
        <f>646-13</f>
        <v>633</v>
      </c>
      <c r="K326" s="4">
        <v>207</v>
      </c>
      <c r="L326" s="9">
        <v>164</v>
      </c>
      <c r="M326" s="5">
        <v>148</v>
      </c>
      <c r="N326" s="6">
        <v>98</v>
      </c>
      <c r="O326" s="11">
        <v>427</v>
      </c>
      <c r="P326" s="8"/>
      <c r="Q326" s="4" t="s">
        <v>51</v>
      </c>
      <c r="R326" s="4" t="s">
        <v>51</v>
      </c>
      <c r="S326" s="9" t="s">
        <v>80</v>
      </c>
      <c r="T326" s="5" t="s">
        <v>65</v>
      </c>
      <c r="U326" s="6" t="s">
        <v>74</v>
      </c>
      <c r="V326" s="11" t="s">
        <v>90</v>
      </c>
      <c r="W326" s="8">
        <v>6</v>
      </c>
      <c r="X326" s="8">
        <v>12</v>
      </c>
      <c r="Y326" s="4">
        <f>J326+K326</f>
        <v>840</v>
      </c>
      <c r="Z326" s="4">
        <v>1</v>
      </c>
      <c r="AA326" s="11">
        <f>O326</f>
        <v>427</v>
      </c>
      <c r="AB326" s="11">
        <v>1</v>
      </c>
      <c r="AC326" s="6">
        <f>N326</f>
        <v>98</v>
      </c>
      <c r="AD326" s="6">
        <v>1</v>
      </c>
      <c r="AE326" s="5">
        <f>M326</f>
        <v>148</v>
      </c>
      <c r="AF326" s="5">
        <v>1</v>
      </c>
      <c r="AG326" s="9">
        <f>L326</f>
        <v>164</v>
      </c>
      <c r="AH326" s="9">
        <v>1</v>
      </c>
      <c r="AM326">
        <v>87</v>
      </c>
      <c r="AN326" t="s">
        <v>101</v>
      </c>
      <c r="AO326" t="s">
        <v>53</v>
      </c>
      <c r="AP326">
        <v>-31899</v>
      </c>
      <c r="AQ326">
        <v>0</v>
      </c>
      <c r="AR326" t="s">
        <v>54</v>
      </c>
      <c r="AS326" t="s">
        <v>55</v>
      </c>
      <c r="AT326" t="s">
        <v>55</v>
      </c>
      <c r="AU326" t="s">
        <v>56</v>
      </c>
      <c r="AV326">
        <v>2030</v>
      </c>
      <c r="AW326" t="s">
        <v>57</v>
      </c>
      <c r="AX326" t="s">
        <v>55</v>
      </c>
      <c r="AY326" t="s">
        <v>58</v>
      </c>
      <c r="AZ326" t="s">
        <v>59</v>
      </c>
      <c r="BA326" t="s">
        <v>55</v>
      </c>
      <c r="BB326" t="s">
        <v>49</v>
      </c>
      <c r="BC326" t="s">
        <v>49</v>
      </c>
      <c r="BD326" t="s">
        <v>106</v>
      </c>
      <c r="BE326" t="s">
        <v>55</v>
      </c>
      <c r="BF326">
        <v>24</v>
      </c>
      <c r="BG326" t="s">
        <v>60</v>
      </c>
      <c r="BH326" t="s">
        <v>82</v>
      </c>
      <c r="BI326" t="s">
        <v>62</v>
      </c>
      <c r="BJ326" t="s">
        <v>63</v>
      </c>
      <c r="BK326">
        <v>1995</v>
      </c>
      <c r="BL326">
        <v>1</v>
      </c>
      <c r="BM326">
        <v>1</v>
      </c>
      <c r="BN326">
        <v>1</v>
      </c>
      <c r="BO326">
        <v>1</v>
      </c>
      <c r="BP326">
        <v>1</v>
      </c>
      <c r="BQ326">
        <v>1</v>
      </c>
      <c r="BR326">
        <f t="shared" si="30"/>
        <v>519</v>
      </c>
      <c r="BS326">
        <v>127</v>
      </c>
      <c r="BT326">
        <f t="shared" si="26"/>
        <v>6</v>
      </c>
    </row>
    <row r="327" spans="1:72" x14ac:dyDescent="0.2">
      <c r="A327" s="19" t="s">
        <v>392</v>
      </c>
      <c r="B327" s="1">
        <v>562</v>
      </c>
      <c r="C327">
        <v>1</v>
      </c>
      <c r="D327" t="s">
        <v>48</v>
      </c>
      <c r="E327" s="2" t="s">
        <v>49</v>
      </c>
      <c r="F327">
        <v>562</v>
      </c>
      <c r="G327">
        <v>562</v>
      </c>
      <c r="H327" s="2">
        <v>351</v>
      </c>
      <c r="I327" s="3">
        <v>351</v>
      </c>
      <c r="J327" s="4">
        <f>351-38</f>
        <v>313</v>
      </c>
      <c r="K327" s="9">
        <v>113</v>
      </c>
      <c r="L327">
        <v>91</v>
      </c>
      <c r="Q327" s="4" t="s">
        <v>51</v>
      </c>
      <c r="R327" s="9" t="s">
        <v>80</v>
      </c>
      <c r="S327" t="s">
        <v>97</v>
      </c>
      <c r="W327" s="8">
        <v>10</v>
      </c>
      <c r="X327" s="8">
        <v>20</v>
      </c>
      <c r="Y327" s="4">
        <f>J327</f>
        <v>313</v>
      </c>
      <c r="Z327" s="4">
        <v>1</v>
      </c>
      <c r="AG327" s="9">
        <f>K327</f>
        <v>113</v>
      </c>
      <c r="AH327" s="9">
        <v>1</v>
      </c>
      <c r="AM327">
        <v>87</v>
      </c>
      <c r="AN327" t="s">
        <v>52</v>
      </c>
      <c r="AO327" t="s">
        <v>53</v>
      </c>
      <c r="AP327">
        <v>-31976</v>
      </c>
      <c r="AQ327">
        <v>0</v>
      </c>
      <c r="AR327" t="s">
        <v>54</v>
      </c>
      <c r="AS327" t="s">
        <v>55</v>
      </c>
      <c r="AT327" t="s">
        <v>55</v>
      </c>
      <c r="AU327" t="s">
        <v>56</v>
      </c>
      <c r="AV327">
        <v>2033</v>
      </c>
      <c r="AW327" t="s">
        <v>57</v>
      </c>
      <c r="AX327" t="s">
        <v>55</v>
      </c>
      <c r="AY327" t="s">
        <v>114</v>
      </c>
      <c r="AZ327" t="s">
        <v>59</v>
      </c>
      <c r="BA327" t="s">
        <v>55</v>
      </c>
      <c r="BB327" t="s">
        <v>49</v>
      </c>
      <c r="BC327" t="s">
        <v>115</v>
      </c>
      <c r="BD327" t="s">
        <v>106</v>
      </c>
      <c r="BE327" t="s">
        <v>55</v>
      </c>
      <c r="BF327">
        <v>24</v>
      </c>
      <c r="BG327" t="s">
        <v>60</v>
      </c>
      <c r="BH327" t="s">
        <v>82</v>
      </c>
      <c r="BI327" t="s">
        <v>62</v>
      </c>
      <c r="BJ327" t="s">
        <v>63</v>
      </c>
      <c r="BK327">
        <v>1995</v>
      </c>
      <c r="BL327">
        <v>1</v>
      </c>
      <c r="BM327">
        <v>1</v>
      </c>
      <c r="BN327">
        <v>1</v>
      </c>
      <c r="BR327">
        <f t="shared" si="30"/>
        <v>119</v>
      </c>
      <c r="BS327">
        <v>232</v>
      </c>
      <c r="BT327">
        <f t="shared" si="26"/>
        <v>3</v>
      </c>
    </row>
    <row r="328" spans="1:72" x14ac:dyDescent="0.2">
      <c r="A328" s="19" t="s">
        <v>393</v>
      </c>
      <c r="B328" s="1">
        <v>857</v>
      </c>
      <c r="C328">
        <v>1</v>
      </c>
      <c r="D328" t="s">
        <v>48</v>
      </c>
      <c r="E328" s="2" t="s">
        <v>49</v>
      </c>
      <c r="F328">
        <v>857</v>
      </c>
      <c r="G328">
        <v>857</v>
      </c>
      <c r="H328" s="2">
        <v>287</v>
      </c>
      <c r="I328" s="3">
        <v>287</v>
      </c>
      <c r="J328" s="4">
        <v>287</v>
      </c>
      <c r="K328" s="23">
        <f>688-343</f>
        <v>345</v>
      </c>
      <c r="L328" s="8">
        <f>857-688</f>
        <v>169</v>
      </c>
      <c r="M328" s="8"/>
      <c r="P328" t="s">
        <v>827</v>
      </c>
      <c r="Q328" s="4" t="s">
        <v>51</v>
      </c>
      <c r="R328" s="23" t="s">
        <v>80</v>
      </c>
      <c r="S328" s="8" t="s">
        <v>394</v>
      </c>
      <c r="W328" s="8">
        <v>6</v>
      </c>
      <c r="X328" s="8">
        <v>12</v>
      </c>
      <c r="Y328" s="4">
        <f>J328</f>
        <v>287</v>
      </c>
      <c r="Z328" s="4">
        <v>1</v>
      </c>
      <c r="AC328" s="8"/>
      <c r="AD328" s="8"/>
      <c r="AG328" s="9">
        <f>K328</f>
        <v>345</v>
      </c>
      <c r="AH328" s="9">
        <v>1</v>
      </c>
      <c r="AM328">
        <v>65</v>
      </c>
      <c r="AN328" t="s">
        <v>101</v>
      </c>
      <c r="AO328" t="s">
        <v>53</v>
      </c>
      <c r="AP328">
        <v>-23854</v>
      </c>
      <c r="AQ328">
        <v>0</v>
      </c>
      <c r="AR328" t="s">
        <v>54</v>
      </c>
      <c r="AS328" t="s">
        <v>55</v>
      </c>
      <c r="AT328" t="s">
        <v>55</v>
      </c>
      <c r="AU328" t="s">
        <v>56</v>
      </c>
      <c r="AV328">
        <v>2035</v>
      </c>
      <c r="AW328" t="s">
        <v>57</v>
      </c>
      <c r="AX328" t="s">
        <v>55</v>
      </c>
      <c r="AY328" t="s">
        <v>114</v>
      </c>
      <c r="AZ328" t="s">
        <v>59</v>
      </c>
      <c r="BA328" t="s">
        <v>55</v>
      </c>
      <c r="BB328" t="s">
        <v>49</v>
      </c>
      <c r="BC328" t="s">
        <v>49</v>
      </c>
      <c r="BD328" t="s">
        <v>106</v>
      </c>
      <c r="BE328" t="s">
        <v>55</v>
      </c>
      <c r="BF328">
        <v>24</v>
      </c>
      <c r="BG328" t="s">
        <v>60</v>
      </c>
      <c r="BH328" t="s">
        <v>61</v>
      </c>
      <c r="BI328" t="s">
        <v>62</v>
      </c>
      <c r="BJ328" t="s">
        <v>63</v>
      </c>
      <c r="BK328">
        <v>1996</v>
      </c>
      <c r="BL328">
        <v>1</v>
      </c>
      <c r="BM328">
        <v>1</v>
      </c>
      <c r="BN328">
        <v>1</v>
      </c>
      <c r="BR328">
        <f t="shared" si="30"/>
        <v>161</v>
      </c>
      <c r="BS328">
        <v>126</v>
      </c>
      <c r="BT328">
        <f t="shared" si="26"/>
        <v>3</v>
      </c>
    </row>
    <row r="329" spans="1:72" x14ac:dyDescent="0.2">
      <c r="A329" s="19" t="s">
        <v>395</v>
      </c>
      <c r="B329" s="1">
        <v>1947</v>
      </c>
      <c r="C329">
        <v>1</v>
      </c>
      <c r="D329" t="s">
        <v>48</v>
      </c>
      <c r="E329" s="2" t="s">
        <v>49</v>
      </c>
      <c r="F329">
        <v>1947</v>
      </c>
      <c r="G329">
        <v>1947</v>
      </c>
      <c r="H329" s="2">
        <v>914</v>
      </c>
      <c r="I329" s="3">
        <v>592</v>
      </c>
      <c r="J329" s="4">
        <v>592</v>
      </c>
      <c r="K329">
        <v>564</v>
      </c>
      <c r="L329" s="4">
        <v>274</v>
      </c>
      <c r="M329" s="5">
        <v>24</v>
      </c>
      <c r="N329">
        <v>401</v>
      </c>
      <c r="O329" s="6">
        <v>92</v>
      </c>
      <c r="P329" s="8" t="s">
        <v>828</v>
      </c>
      <c r="Q329" s="4" t="s">
        <v>51</v>
      </c>
      <c r="R329" t="s">
        <v>346</v>
      </c>
      <c r="S329" s="4" t="s">
        <v>51</v>
      </c>
      <c r="T329" s="5" t="s">
        <v>65</v>
      </c>
      <c r="U329" t="s">
        <v>396</v>
      </c>
      <c r="V329" s="6" t="s">
        <v>74</v>
      </c>
      <c r="W329" s="8">
        <v>7</v>
      </c>
      <c r="X329" s="8">
        <v>14</v>
      </c>
      <c r="Y329" s="4">
        <f>J329+L329</f>
        <v>866</v>
      </c>
      <c r="Z329" s="4">
        <v>1</v>
      </c>
      <c r="AC329" s="6">
        <f>O329</f>
        <v>92</v>
      </c>
      <c r="AD329" s="6">
        <v>1</v>
      </c>
      <c r="AE329" s="5">
        <f>M329</f>
        <v>24</v>
      </c>
      <c r="AF329" s="5">
        <v>1</v>
      </c>
      <c r="AM329">
        <v>50</v>
      </c>
      <c r="AN329" t="s">
        <v>49</v>
      </c>
      <c r="AO329" t="s">
        <v>53</v>
      </c>
      <c r="AP329">
        <v>-18582</v>
      </c>
      <c r="AQ329">
        <v>0</v>
      </c>
      <c r="AR329" t="s">
        <v>54</v>
      </c>
      <c r="AS329" t="s">
        <v>55</v>
      </c>
      <c r="AT329" t="s">
        <v>55</v>
      </c>
      <c r="AU329" t="s">
        <v>56</v>
      </c>
      <c r="AV329">
        <v>2036</v>
      </c>
      <c r="AW329" t="s">
        <v>57</v>
      </c>
      <c r="AX329" t="s">
        <v>55</v>
      </c>
      <c r="AY329" t="s">
        <v>58</v>
      </c>
      <c r="AZ329" t="s">
        <v>59</v>
      </c>
      <c r="BA329" t="s">
        <v>55</v>
      </c>
      <c r="BB329" t="s">
        <v>49</v>
      </c>
      <c r="BC329" t="s">
        <v>49</v>
      </c>
      <c r="BD329" t="s">
        <v>106</v>
      </c>
      <c r="BE329" t="s">
        <v>55</v>
      </c>
      <c r="BF329">
        <v>24</v>
      </c>
      <c r="BG329" t="s">
        <v>60</v>
      </c>
      <c r="BH329" t="s">
        <v>61</v>
      </c>
      <c r="BI329" t="s">
        <v>131</v>
      </c>
      <c r="BJ329" t="s">
        <v>63</v>
      </c>
      <c r="BK329">
        <v>1996</v>
      </c>
      <c r="BL329">
        <v>1</v>
      </c>
      <c r="BM329">
        <v>1</v>
      </c>
      <c r="BN329">
        <v>1</v>
      </c>
      <c r="BO329">
        <v>1</v>
      </c>
      <c r="BP329">
        <v>1</v>
      </c>
      <c r="BQ329">
        <v>1</v>
      </c>
      <c r="BR329">
        <f t="shared" si="30"/>
        <v>439</v>
      </c>
      <c r="BS329">
        <v>153</v>
      </c>
      <c r="BT329">
        <f t="shared" si="26"/>
        <v>6</v>
      </c>
    </row>
    <row r="330" spans="1:72" x14ac:dyDescent="0.2">
      <c r="A330" s="19" t="s">
        <v>611</v>
      </c>
      <c r="B330" s="1">
        <v>1353</v>
      </c>
      <c r="C330">
        <v>1</v>
      </c>
      <c r="D330" s="8" t="s">
        <v>48</v>
      </c>
      <c r="E330" s="12" t="s">
        <v>49</v>
      </c>
      <c r="F330" s="8">
        <v>1353</v>
      </c>
      <c r="G330" s="8">
        <v>1353</v>
      </c>
      <c r="H330" s="12">
        <v>1169</v>
      </c>
      <c r="I330" s="3">
        <v>1169</v>
      </c>
      <c r="J330" s="23">
        <v>56</v>
      </c>
      <c r="K330" s="4">
        <v>86</v>
      </c>
      <c r="L330" s="8"/>
      <c r="M330" s="8"/>
      <c r="N330" s="8"/>
      <c r="O330" s="8"/>
      <c r="P330" s="8" t="s">
        <v>829</v>
      </c>
      <c r="Q330" s="23" t="s">
        <v>80</v>
      </c>
      <c r="R330" s="4" t="s">
        <v>51</v>
      </c>
      <c r="S330" s="8"/>
      <c r="T330" s="8"/>
      <c r="U330" s="8"/>
      <c r="V330" s="8"/>
      <c r="W330" s="8"/>
      <c r="X330" s="8"/>
      <c r="Y330" s="4">
        <f>K330</f>
        <v>86</v>
      </c>
      <c r="Z330" s="4">
        <v>1</v>
      </c>
      <c r="AA330" s="8"/>
      <c r="AB330" s="8"/>
      <c r="AC330" s="8"/>
      <c r="AD330" s="8"/>
      <c r="AE330" s="8"/>
      <c r="AF330" s="8"/>
      <c r="AG330" s="23">
        <f>J330</f>
        <v>56</v>
      </c>
      <c r="AH330" s="23">
        <v>1</v>
      </c>
      <c r="AI330" s="8"/>
      <c r="AJ330" s="8"/>
      <c r="AK330" s="8"/>
      <c r="AL330" s="8"/>
      <c r="AM330" s="8">
        <v>68</v>
      </c>
      <c r="AN330" s="8" t="s">
        <v>126</v>
      </c>
      <c r="AO330" s="8" t="s">
        <v>55</v>
      </c>
      <c r="AP330" s="8">
        <v>-24957</v>
      </c>
      <c r="AQ330" s="8">
        <v>0</v>
      </c>
      <c r="AR330" s="8" t="s">
        <v>54</v>
      </c>
      <c r="AS330" s="8" t="s">
        <v>55</v>
      </c>
      <c r="AT330" s="8" t="s">
        <v>55</v>
      </c>
      <c r="AU330" s="8" t="s">
        <v>56</v>
      </c>
      <c r="AV330" s="8">
        <v>2038</v>
      </c>
      <c r="AW330" s="8" t="s">
        <v>57</v>
      </c>
      <c r="AX330" s="8" t="s">
        <v>55</v>
      </c>
      <c r="AY330" s="8" t="s">
        <v>58</v>
      </c>
      <c r="AZ330" s="8" t="s">
        <v>59</v>
      </c>
      <c r="BA330" s="8" t="s">
        <v>55</v>
      </c>
      <c r="BB330" s="8" t="s">
        <v>49</v>
      </c>
      <c r="BC330" s="8" t="s">
        <v>49</v>
      </c>
      <c r="BD330" s="8" t="s">
        <v>106</v>
      </c>
      <c r="BE330" s="8" t="s">
        <v>55</v>
      </c>
      <c r="BF330" s="8">
        <v>24</v>
      </c>
      <c r="BG330" s="8" t="s">
        <v>612</v>
      </c>
      <c r="BH330" s="8" t="s">
        <v>61</v>
      </c>
      <c r="BI330" s="8" t="s">
        <v>131</v>
      </c>
      <c r="BJ330" s="8" t="s">
        <v>63</v>
      </c>
      <c r="BK330" s="8">
        <v>2000</v>
      </c>
      <c r="BL330">
        <v>1</v>
      </c>
      <c r="BM330">
        <v>1</v>
      </c>
      <c r="BT330">
        <f t="shared" si="26"/>
        <v>2</v>
      </c>
    </row>
    <row r="331" spans="1:72" x14ac:dyDescent="0.2">
      <c r="A331" s="19" t="s">
        <v>397</v>
      </c>
      <c r="B331" s="1">
        <v>1736</v>
      </c>
      <c r="C331">
        <v>1</v>
      </c>
      <c r="D331" t="s">
        <v>48</v>
      </c>
      <c r="E331" s="2" t="s">
        <v>49</v>
      </c>
      <c r="F331">
        <v>1736</v>
      </c>
      <c r="G331">
        <v>1736</v>
      </c>
      <c r="H331" s="2">
        <v>606</v>
      </c>
      <c r="I331" s="3">
        <v>606</v>
      </c>
      <c r="J331">
        <f>606-17</f>
        <v>589</v>
      </c>
      <c r="K331" s="4">
        <v>369</v>
      </c>
      <c r="L331" s="10">
        <v>752</v>
      </c>
      <c r="Q331" t="s">
        <v>96</v>
      </c>
      <c r="R331" s="4" t="s">
        <v>51</v>
      </c>
      <c r="S331" s="10" t="s">
        <v>87</v>
      </c>
      <c r="W331" s="8">
        <v>8</v>
      </c>
      <c r="X331" s="8">
        <v>24</v>
      </c>
      <c r="Y331" s="4">
        <f>K331</f>
        <v>369</v>
      </c>
      <c r="Z331" s="4">
        <v>1</v>
      </c>
      <c r="AK331" s="10">
        <f>L331</f>
        <v>752</v>
      </c>
      <c r="AL331" s="10">
        <v>1</v>
      </c>
      <c r="AM331">
        <v>66</v>
      </c>
      <c r="AN331" t="s">
        <v>52</v>
      </c>
      <c r="AO331" t="s">
        <v>53</v>
      </c>
      <c r="AP331">
        <v>-24406</v>
      </c>
      <c r="AQ331">
        <v>0</v>
      </c>
      <c r="AR331" t="s">
        <v>54</v>
      </c>
      <c r="AS331" t="s">
        <v>55</v>
      </c>
      <c r="AT331" t="s">
        <v>55</v>
      </c>
      <c r="AU331" t="s">
        <v>56</v>
      </c>
      <c r="AV331">
        <v>2254</v>
      </c>
      <c r="AW331" t="s">
        <v>57</v>
      </c>
      <c r="AX331" t="s">
        <v>55</v>
      </c>
      <c r="AY331" t="s">
        <v>58</v>
      </c>
      <c r="AZ331" t="s">
        <v>59</v>
      </c>
      <c r="BA331" t="s">
        <v>55</v>
      </c>
      <c r="BB331" t="s">
        <v>49</v>
      </c>
      <c r="BC331" t="s">
        <v>49</v>
      </c>
      <c r="BD331" t="s">
        <v>106</v>
      </c>
      <c r="BE331" t="s">
        <v>55</v>
      </c>
      <c r="BF331">
        <v>24</v>
      </c>
      <c r="BG331" t="s">
        <v>60</v>
      </c>
      <c r="BH331" t="s">
        <v>61</v>
      </c>
      <c r="BI331" t="s">
        <v>62</v>
      </c>
      <c r="BJ331" t="s">
        <v>63</v>
      </c>
      <c r="BK331">
        <v>2003</v>
      </c>
      <c r="BL331">
        <v>1</v>
      </c>
      <c r="BM331">
        <v>1</v>
      </c>
      <c r="BN331">
        <v>1</v>
      </c>
      <c r="BR331">
        <f>I331-BS331</f>
        <v>441</v>
      </c>
      <c r="BS331">
        <v>165</v>
      </c>
      <c r="BT331">
        <f t="shared" si="26"/>
        <v>3</v>
      </c>
    </row>
    <row r="332" spans="1:72" x14ac:dyDescent="0.2">
      <c r="A332" s="19" t="s">
        <v>398</v>
      </c>
      <c r="B332" s="1">
        <v>1100</v>
      </c>
      <c r="C332">
        <v>1</v>
      </c>
      <c r="D332" t="s">
        <v>48</v>
      </c>
      <c r="E332" s="2" t="s">
        <v>49</v>
      </c>
      <c r="F332">
        <v>1100</v>
      </c>
      <c r="G332">
        <v>1100</v>
      </c>
      <c r="H332" s="2">
        <v>667</v>
      </c>
      <c r="I332" s="3">
        <v>667</v>
      </c>
      <c r="J332" s="4">
        <f>667-24</f>
        <v>643</v>
      </c>
      <c r="K332">
        <v>194</v>
      </c>
      <c r="L332">
        <v>135</v>
      </c>
      <c r="M332">
        <v>89</v>
      </c>
      <c r="Q332" s="4" t="s">
        <v>51</v>
      </c>
      <c r="R332" t="s">
        <v>399</v>
      </c>
      <c r="S332" t="s">
        <v>97</v>
      </c>
      <c r="T332" t="s">
        <v>400</v>
      </c>
      <c r="W332" s="8">
        <v>6</v>
      </c>
      <c r="X332" s="8">
        <v>12</v>
      </c>
      <c r="Y332" s="4">
        <f>J332</f>
        <v>643</v>
      </c>
      <c r="Z332" s="4">
        <v>1</v>
      </c>
      <c r="AM332">
        <v>74</v>
      </c>
      <c r="AN332" t="s">
        <v>52</v>
      </c>
      <c r="AO332" t="s">
        <v>53</v>
      </c>
      <c r="AP332">
        <v>-27111</v>
      </c>
      <c r="AQ332">
        <v>0</v>
      </c>
      <c r="AR332" t="s">
        <v>54</v>
      </c>
      <c r="AS332" t="s">
        <v>55</v>
      </c>
      <c r="AT332" t="s">
        <v>55</v>
      </c>
      <c r="AU332" t="s">
        <v>161</v>
      </c>
      <c r="AV332">
        <v>2260</v>
      </c>
      <c r="AW332" t="s">
        <v>57</v>
      </c>
      <c r="AX332" t="s">
        <v>55</v>
      </c>
      <c r="AY332" t="s">
        <v>58</v>
      </c>
      <c r="AZ332" t="s">
        <v>59</v>
      </c>
      <c r="BA332" t="s">
        <v>55</v>
      </c>
      <c r="BB332" t="s">
        <v>49</v>
      </c>
      <c r="BC332" t="s">
        <v>49</v>
      </c>
      <c r="BD332" t="s">
        <v>106</v>
      </c>
      <c r="BE332" t="s">
        <v>55</v>
      </c>
      <c r="BF332">
        <v>24</v>
      </c>
      <c r="BG332" t="s">
        <v>60</v>
      </c>
      <c r="BH332" t="s">
        <v>61</v>
      </c>
      <c r="BI332" t="s">
        <v>72</v>
      </c>
      <c r="BJ332" t="s">
        <v>63</v>
      </c>
      <c r="BK332">
        <v>1992</v>
      </c>
      <c r="BL332">
        <v>1</v>
      </c>
      <c r="BM332">
        <v>1</v>
      </c>
      <c r="BN332">
        <v>1</v>
      </c>
      <c r="BO332">
        <v>1</v>
      </c>
      <c r="BR332">
        <f>I332-BS332</f>
        <v>532</v>
      </c>
      <c r="BS332">
        <v>135</v>
      </c>
      <c r="BT332">
        <f t="shared" si="26"/>
        <v>4</v>
      </c>
    </row>
    <row r="333" spans="1:72" x14ac:dyDescent="0.2">
      <c r="A333" s="19" t="s">
        <v>401</v>
      </c>
      <c r="B333" s="1">
        <v>24</v>
      </c>
      <c r="C333">
        <v>1</v>
      </c>
      <c r="D333" t="s">
        <v>48</v>
      </c>
      <c r="E333" s="2" t="s">
        <v>49</v>
      </c>
      <c r="F333">
        <v>24</v>
      </c>
      <c r="G333">
        <v>24</v>
      </c>
      <c r="H333" s="2" t="s">
        <v>49</v>
      </c>
      <c r="I333" s="3">
        <v>24</v>
      </c>
      <c r="Q333" t="s">
        <v>50</v>
      </c>
      <c r="AM333">
        <v>76</v>
      </c>
      <c r="AN333" t="s">
        <v>101</v>
      </c>
      <c r="AO333" t="s">
        <v>55</v>
      </c>
      <c r="AP333">
        <v>-27896</v>
      </c>
      <c r="AQ333">
        <v>0</v>
      </c>
      <c r="AR333" t="s">
        <v>54</v>
      </c>
      <c r="AS333" t="s">
        <v>55</v>
      </c>
      <c r="AT333" t="s">
        <v>55</v>
      </c>
      <c r="AU333" t="s">
        <v>56</v>
      </c>
      <c r="AV333">
        <v>2261</v>
      </c>
      <c r="AW333" t="s">
        <v>57</v>
      </c>
      <c r="AX333" t="s">
        <v>55</v>
      </c>
      <c r="AY333" t="s">
        <v>49</v>
      </c>
      <c r="AZ333" t="s">
        <v>59</v>
      </c>
      <c r="BA333" t="s">
        <v>55</v>
      </c>
      <c r="BB333" t="s">
        <v>49</v>
      </c>
      <c r="BC333" t="s">
        <v>49</v>
      </c>
      <c r="BD333" t="s">
        <v>49</v>
      </c>
      <c r="BE333" t="s">
        <v>55</v>
      </c>
      <c r="BF333">
        <v>24</v>
      </c>
      <c r="BG333" t="s">
        <v>60</v>
      </c>
      <c r="BH333" t="s">
        <v>142</v>
      </c>
      <c r="BI333" t="s">
        <v>62</v>
      </c>
      <c r="BJ333" t="s">
        <v>63</v>
      </c>
      <c r="BK333">
        <v>1992</v>
      </c>
      <c r="BT333">
        <f t="shared" si="26"/>
        <v>0</v>
      </c>
    </row>
    <row r="334" spans="1:72" x14ac:dyDescent="0.2">
      <c r="A334" s="19" t="s">
        <v>402</v>
      </c>
      <c r="B334" s="1">
        <v>11</v>
      </c>
      <c r="C334">
        <v>1</v>
      </c>
      <c r="D334" t="s">
        <v>48</v>
      </c>
      <c r="E334" s="2" t="s">
        <v>49</v>
      </c>
      <c r="F334">
        <v>11</v>
      </c>
      <c r="G334">
        <v>11</v>
      </c>
      <c r="H334" s="2" t="s">
        <v>49</v>
      </c>
      <c r="I334" s="3">
        <v>11</v>
      </c>
      <c r="Q334" t="s">
        <v>50</v>
      </c>
      <c r="AM334">
        <v>57</v>
      </c>
      <c r="AN334" t="s">
        <v>126</v>
      </c>
      <c r="AO334" t="s">
        <v>55</v>
      </c>
      <c r="AP334">
        <v>-20861</v>
      </c>
      <c r="AQ334">
        <v>0</v>
      </c>
      <c r="AR334" t="s">
        <v>54</v>
      </c>
      <c r="AS334" t="s">
        <v>55</v>
      </c>
      <c r="AT334" t="s">
        <v>55</v>
      </c>
      <c r="AU334" t="s">
        <v>56</v>
      </c>
      <c r="AV334">
        <v>2262</v>
      </c>
      <c r="AW334" t="s">
        <v>57</v>
      </c>
      <c r="AX334" t="s">
        <v>55</v>
      </c>
      <c r="AY334" t="s">
        <v>49</v>
      </c>
      <c r="AZ334" t="s">
        <v>59</v>
      </c>
      <c r="BA334" t="s">
        <v>55</v>
      </c>
      <c r="BB334" t="s">
        <v>49</v>
      </c>
      <c r="BC334" t="s">
        <v>49</v>
      </c>
      <c r="BD334" t="s">
        <v>49</v>
      </c>
      <c r="BE334" t="s">
        <v>55</v>
      </c>
      <c r="BF334">
        <v>24</v>
      </c>
      <c r="BG334" t="s">
        <v>60</v>
      </c>
      <c r="BH334" t="s">
        <v>61</v>
      </c>
      <c r="BI334" t="s">
        <v>62</v>
      </c>
      <c r="BJ334" t="s">
        <v>63</v>
      </c>
      <c r="BK334">
        <v>1992</v>
      </c>
      <c r="BT334">
        <f t="shared" ref="BT334:BT397" si="31">COUNT(BL334:BQ334)</f>
        <v>0</v>
      </c>
    </row>
    <row r="335" spans="1:72" x14ac:dyDescent="0.2">
      <c r="A335" s="19" t="s">
        <v>615</v>
      </c>
      <c r="B335" s="1">
        <v>1446</v>
      </c>
      <c r="C335">
        <v>1</v>
      </c>
      <c r="D335" s="8" t="s">
        <v>48</v>
      </c>
      <c r="E335" s="12" t="s">
        <v>49</v>
      </c>
      <c r="F335" s="8">
        <v>1446</v>
      </c>
      <c r="G335" s="8">
        <v>1446</v>
      </c>
      <c r="H335" s="12">
        <v>512</v>
      </c>
      <c r="I335" s="3">
        <v>512</v>
      </c>
      <c r="J335" s="8">
        <f>512-6</f>
        <v>506</v>
      </c>
      <c r="K335" s="4">
        <v>247</v>
      </c>
      <c r="L335" s="8">
        <v>156</v>
      </c>
      <c r="M335" s="8">
        <v>28</v>
      </c>
      <c r="N335" s="23">
        <v>161</v>
      </c>
      <c r="O335" s="4">
        <f>1347-1172</f>
        <v>175</v>
      </c>
      <c r="P335" s="8"/>
      <c r="Q335" s="8" t="s">
        <v>411</v>
      </c>
      <c r="R335" s="4" t="s">
        <v>51</v>
      </c>
      <c r="S335" s="8" t="s">
        <v>97</v>
      </c>
      <c r="T335" s="8" t="s">
        <v>262</v>
      </c>
      <c r="U335" s="23" t="s">
        <v>80</v>
      </c>
      <c r="V335" s="4" t="s">
        <v>51</v>
      </c>
      <c r="W335" s="8">
        <v>8</v>
      </c>
      <c r="X335" s="8">
        <v>16</v>
      </c>
      <c r="Y335" s="4">
        <f>O335+K335</f>
        <v>422</v>
      </c>
      <c r="Z335" s="4">
        <v>1</v>
      </c>
      <c r="AA335" s="8"/>
      <c r="AB335" s="8"/>
      <c r="AC335" s="8"/>
      <c r="AD335" s="8"/>
      <c r="AE335" s="8"/>
      <c r="AF335" s="8"/>
      <c r="AG335" s="23">
        <f>N335</f>
        <v>161</v>
      </c>
      <c r="AH335" s="23">
        <v>1</v>
      </c>
      <c r="AI335" s="8"/>
      <c r="AJ335" s="8"/>
      <c r="AK335" s="8"/>
      <c r="AL335" s="8"/>
      <c r="AM335" s="8">
        <v>58</v>
      </c>
      <c r="AN335" s="8" t="s">
        <v>52</v>
      </c>
      <c r="AO335" s="8" t="s">
        <v>53</v>
      </c>
      <c r="AP335" s="8">
        <v>-21293</v>
      </c>
      <c r="AQ335" s="8">
        <v>0</v>
      </c>
      <c r="AR335" s="8" t="s">
        <v>54</v>
      </c>
      <c r="AS335" s="8" t="s">
        <v>55</v>
      </c>
      <c r="AT335" s="8" t="s">
        <v>55</v>
      </c>
      <c r="AU335" s="8" t="s">
        <v>56</v>
      </c>
      <c r="AV335" s="8">
        <v>2267</v>
      </c>
      <c r="AW335" s="8" t="s">
        <v>57</v>
      </c>
      <c r="AX335" s="8" t="s">
        <v>55</v>
      </c>
      <c r="AY335" s="8" t="s">
        <v>58</v>
      </c>
      <c r="AZ335" s="8" t="s">
        <v>59</v>
      </c>
      <c r="BA335" s="8" t="s">
        <v>55</v>
      </c>
      <c r="BB335" s="8" t="s">
        <v>49</v>
      </c>
      <c r="BC335" s="8" t="s">
        <v>49</v>
      </c>
      <c r="BD335" s="8" t="s">
        <v>106</v>
      </c>
      <c r="BE335" s="8" t="s">
        <v>55</v>
      </c>
      <c r="BF335" s="8">
        <v>24</v>
      </c>
      <c r="BG335" s="8" t="s">
        <v>60</v>
      </c>
      <c r="BH335" s="8" t="s">
        <v>71</v>
      </c>
      <c r="BI335" s="8" t="s">
        <v>559</v>
      </c>
      <c r="BJ335" s="8" t="s">
        <v>63</v>
      </c>
      <c r="BK335" s="8">
        <v>1993</v>
      </c>
      <c r="BL335">
        <v>1</v>
      </c>
      <c r="BM335">
        <v>1</v>
      </c>
      <c r="BN335">
        <v>1</v>
      </c>
      <c r="BO335">
        <v>1</v>
      </c>
      <c r="BP335">
        <v>1</v>
      </c>
      <c r="BQ335">
        <v>1</v>
      </c>
      <c r="BR335">
        <f>I335-BS335</f>
        <v>293</v>
      </c>
      <c r="BS335">
        <v>219</v>
      </c>
      <c r="BT335">
        <f t="shared" si="31"/>
        <v>6</v>
      </c>
    </row>
    <row r="336" spans="1:72" x14ac:dyDescent="0.2">
      <c r="A336" s="19" t="s">
        <v>403</v>
      </c>
      <c r="B336" s="1">
        <v>962</v>
      </c>
      <c r="C336">
        <v>1</v>
      </c>
      <c r="D336" t="s">
        <v>48</v>
      </c>
      <c r="E336" s="2" t="s">
        <v>49</v>
      </c>
      <c r="F336">
        <v>962</v>
      </c>
      <c r="G336">
        <v>962</v>
      </c>
      <c r="H336" s="2">
        <v>827</v>
      </c>
      <c r="I336" s="3">
        <v>827</v>
      </c>
      <c r="J336" t="s">
        <v>50</v>
      </c>
      <c r="Q336" t="s">
        <v>50</v>
      </c>
      <c r="AM336">
        <v>55</v>
      </c>
      <c r="AN336" t="s">
        <v>52</v>
      </c>
      <c r="AO336" t="s">
        <v>53</v>
      </c>
      <c r="AP336">
        <v>-20399</v>
      </c>
      <c r="AQ336">
        <v>0</v>
      </c>
      <c r="AR336" t="s">
        <v>54</v>
      </c>
      <c r="AS336" t="s">
        <v>55</v>
      </c>
      <c r="AT336" t="s">
        <v>55</v>
      </c>
      <c r="AU336" t="s">
        <v>56</v>
      </c>
      <c r="AV336">
        <v>2271</v>
      </c>
      <c r="AW336" t="s">
        <v>57</v>
      </c>
      <c r="AX336" t="s">
        <v>55</v>
      </c>
      <c r="AY336" t="s">
        <v>49</v>
      </c>
      <c r="AZ336" t="s">
        <v>180</v>
      </c>
      <c r="BA336" t="s">
        <v>55</v>
      </c>
      <c r="BB336" t="s">
        <v>49</v>
      </c>
      <c r="BC336" t="s">
        <v>49</v>
      </c>
      <c r="BD336" t="s">
        <v>66</v>
      </c>
      <c r="BE336" t="s">
        <v>55</v>
      </c>
      <c r="BF336">
        <v>24</v>
      </c>
      <c r="BG336" t="s">
        <v>60</v>
      </c>
      <c r="BH336" t="s">
        <v>82</v>
      </c>
      <c r="BI336" t="s">
        <v>62</v>
      </c>
      <c r="BJ336" t="s">
        <v>63</v>
      </c>
      <c r="BK336">
        <v>1999</v>
      </c>
      <c r="BT336">
        <f t="shared" si="31"/>
        <v>0</v>
      </c>
    </row>
    <row r="337" spans="1:72" x14ac:dyDescent="0.2">
      <c r="A337" s="19" t="s">
        <v>404</v>
      </c>
      <c r="B337" s="1">
        <v>2143</v>
      </c>
      <c r="C337">
        <v>0</v>
      </c>
      <c r="D337" t="s">
        <v>68</v>
      </c>
      <c r="E337" s="2" t="s">
        <v>49</v>
      </c>
      <c r="F337" t="s">
        <v>49</v>
      </c>
      <c r="G337">
        <v>2143</v>
      </c>
      <c r="H337" s="2">
        <v>534</v>
      </c>
      <c r="I337" s="3">
        <v>534</v>
      </c>
      <c r="J337">
        <f>534-17</f>
        <v>517</v>
      </c>
      <c r="K337" s="5">
        <v>368</v>
      </c>
      <c r="L337" s="4">
        <v>1238</v>
      </c>
      <c r="Q337" t="s">
        <v>96</v>
      </c>
      <c r="R337" s="5" t="s">
        <v>65</v>
      </c>
      <c r="S337" s="4" t="s">
        <v>51</v>
      </c>
      <c r="W337">
        <v>8</v>
      </c>
      <c r="X337">
        <v>24</v>
      </c>
      <c r="Y337" s="4">
        <f>L337</f>
        <v>1238</v>
      </c>
      <c r="Z337" s="4">
        <v>0</v>
      </c>
      <c r="AE337" s="5">
        <f>K337</f>
        <v>368</v>
      </c>
      <c r="AF337" s="5">
        <v>1</v>
      </c>
      <c r="AM337">
        <v>74</v>
      </c>
      <c r="AN337" t="s">
        <v>52</v>
      </c>
      <c r="AO337" t="s">
        <v>53</v>
      </c>
      <c r="AP337">
        <v>-27356</v>
      </c>
      <c r="AQ337">
        <v>0</v>
      </c>
      <c r="AR337" t="s">
        <v>54</v>
      </c>
      <c r="AS337" t="s">
        <v>55</v>
      </c>
      <c r="AT337" t="s">
        <v>55</v>
      </c>
      <c r="AU337" t="s">
        <v>56</v>
      </c>
      <c r="AV337">
        <v>2280</v>
      </c>
      <c r="AW337" t="s">
        <v>57</v>
      </c>
      <c r="AX337" t="s">
        <v>55</v>
      </c>
      <c r="AY337" t="s">
        <v>58</v>
      </c>
      <c r="AZ337" t="s">
        <v>59</v>
      </c>
      <c r="BA337" t="s">
        <v>55</v>
      </c>
      <c r="BB337" t="s">
        <v>49</v>
      </c>
      <c r="BC337" t="s">
        <v>49</v>
      </c>
      <c r="BD337" t="s">
        <v>106</v>
      </c>
      <c r="BE337" t="s">
        <v>55</v>
      </c>
      <c r="BF337">
        <v>24</v>
      </c>
      <c r="BG337" t="s">
        <v>60</v>
      </c>
      <c r="BH337" t="s">
        <v>61</v>
      </c>
      <c r="BI337" t="s">
        <v>62</v>
      </c>
      <c r="BJ337" t="s">
        <v>63</v>
      </c>
      <c r="BK337">
        <v>2004</v>
      </c>
      <c r="BL337">
        <v>1</v>
      </c>
      <c r="BM337">
        <v>1</v>
      </c>
      <c r="BN337">
        <v>0</v>
      </c>
      <c r="BR337">
        <f>I337-BS337</f>
        <v>357</v>
      </c>
      <c r="BS337">
        <v>177</v>
      </c>
      <c r="BT337">
        <f t="shared" si="31"/>
        <v>3</v>
      </c>
    </row>
    <row r="338" spans="1:72" x14ac:dyDescent="0.2">
      <c r="A338" s="19" t="s">
        <v>617</v>
      </c>
      <c r="B338" s="1">
        <v>1356</v>
      </c>
      <c r="C338">
        <v>0</v>
      </c>
      <c r="D338" s="8" t="s">
        <v>68</v>
      </c>
      <c r="E338" s="12" t="s">
        <v>49</v>
      </c>
      <c r="F338" s="8" t="s">
        <v>49</v>
      </c>
      <c r="G338" s="8">
        <v>1356</v>
      </c>
      <c r="H338" s="12" t="s">
        <v>49</v>
      </c>
      <c r="I338" s="3" t="s">
        <v>69</v>
      </c>
      <c r="J338" s="4">
        <v>1356</v>
      </c>
      <c r="K338" s="8"/>
      <c r="L338" s="8"/>
      <c r="M338" s="8"/>
      <c r="N338" s="8"/>
      <c r="O338" s="8"/>
      <c r="P338" s="8"/>
      <c r="Q338" s="4" t="s">
        <v>51</v>
      </c>
      <c r="R338" s="8"/>
      <c r="S338" s="8"/>
      <c r="T338" s="8"/>
      <c r="U338" s="8"/>
      <c r="V338" s="8"/>
      <c r="W338" s="8">
        <v>6</v>
      </c>
      <c r="X338" s="8">
        <v>12</v>
      </c>
      <c r="Y338" s="4">
        <f>J338</f>
        <v>1356</v>
      </c>
      <c r="Z338" s="4">
        <v>0</v>
      </c>
      <c r="AA338" s="8"/>
      <c r="AB338" s="8"/>
      <c r="AC338" s="8"/>
      <c r="AD338" s="8"/>
      <c r="AE338" s="8"/>
      <c r="AF338" s="8"/>
      <c r="AG338" s="8"/>
      <c r="AH338" s="8"/>
      <c r="AI338" s="8"/>
      <c r="AJ338" s="8"/>
      <c r="AK338" s="8"/>
      <c r="AL338" s="8"/>
      <c r="AM338" s="8">
        <v>68</v>
      </c>
      <c r="AN338" s="8" t="s">
        <v>52</v>
      </c>
      <c r="AO338" s="8" t="s">
        <v>53</v>
      </c>
      <c r="AP338" s="8">
        <v>-25019</v>
      </c>
      <c r="AQ338" s="8">
        <v>0</v>
      </c>
      <c r="AR338" s="8" t="s">
        <v>54</v>
      </c>
      <c r="AS338" s="8" t="s">
        <v>55</v>
      </c>
      <c r="AT338" s="8" t="s">
        <v>55</v>
      </c>
      <c r="AU338" s="8" t="s">
        <v>56</v>
      </c>
      <c r="AV338" s="8">
        <v>2281</v>
      </c>
      <c r="AW338" s="8" t="s">
        <v>70</v>
      </c>
      <c r="AX338" s="8" t="s">
        <v>55</v>
      </c>
      <c r="AY338" s="8" t="s">
        <v>58</v>
      </c>
      <c r="AZ338" s="8" t="s">
        <v>59</v>
      </c>
      <c r="BA338" s="8" t="s">
        <v>55</v>
      </c>
      <c r="BB338" s="8" t="s">
        <v>49</v>
      </c>
      <c r="BC338" s="8" t="s">
        <v>49</v>
      </c>
      <c r="BD338" s="8" t="s">
        <v>49</v>
      </c>
      <c r="BE338" s="8" t="s">
        <v>55</v>
      </c>
      <c r="BF338" s="8">
        <v>24</v>
      </c>
      <c r="BG338" s="8" t="s">
        <v>60</v>
      </c>
      <c r="BH338" s="8" t="s">
        <v>61</v>
      </c>
      <c r="BI338" s="8" t="s">
        <v>564</v>
      </c>
      <c r="BJ338" s="8" t="s">
        <v>63</v>
      </c>
      <c r="BK338" s="8">
        <v>2006</v>
      </c>
      <c r="BL338">
        <v>0</v>
      </c>
      <c r="BR338">
        <f>B338-BS338</f>
        <v>1230</v>
      </c>
      <c r="BS338">
        <v>126</v>
      </c>
      <c r="BT338">
        <f t="shared" si="31"/>
        <v>1</v>
      </c>
    </row>
    <row r="339" spans="1:72" x14ac:dyDescent="0.2">
      <c r="A339" s="19" t="s">
        <v>405</v>
      </c>
      <c r="B339" s="1">
        <v>25</v>
      </c>
      <c r="C339">
        <v>1</v>
      </c>
      <c r="D339" t="s">
        <v>48</v>
      </c>
      <c r="E339" s="2" t="s">
        <v>49</v>
      </c>
      <c r="F339">
        <v>25</v>
      </c>
      <c r="G339">
        <v>25</v>
      </c>
      <c r="H339" s="2" t="s">
        <v>49</v>
      </c>
      <c r="I339" s="3">
        <v>25</v>
      </c>
      <c r="J339" s="4">
        <v>4</v>
      </c>
      <c r="Q339" s="4" t="s">
        <v>51</v>
      </c>
      <c r="W339" s="8">
        <v>1</v>
      </c>
      <c r="X339" s="8">
        <v>2</v>
      </c>
      <c r="Y339" s="4">
        <f>J339</f>
        <v>4</v>
      </c>
      <c r="Z339" s="4">
        <v>1</v>
      </c>
      <c r="AM339">
        <v>70</v>
      </c>
      <c r="AN339" t="s">
        <v>52</v>
      </c>
      <c r="AO339" t="s">
        <v>53</v>
      </c>
      <c r="AP339">
        <v>-25831</v>
      </c>
      <c r="AQ339">
        <v>0</v>
      </c>
      <c r="AR339" t="s">
        <v>54</v>
      </c>
      <c r="AS339" t="s">
        <v>55</v>
      </c>
      <c r="AT339" t="s">
        <v>55</v>
      </c>
      <c r="AU339" t="s">
        <v>56</v>
      </c>
      <c r="AV339">
        <v>2288</v>
      </c>
      <c r="AW339" t="s">
        <v>57</v>
      </c>
      <c r="AX339" t="s">
        <v>55</v>
      </c>
      <c r="AY339" t="s">
        <v>49</v>
      </c>
      <c r="AZ339" t="s">
        <v>59</v>
      </c>
      <c r="BA339" t="s">
        <v>55</v>
      </c>
      <c r="BB339" t="s">
        <v>49</v>
      </c>
      <c r="BC339" t="s">
        <v>49</v>
      </c>
      <c r="BD339" t="s">
        <v>49</v>
      </c>
      <c r="BE339" t="s">
        <v>55</v>
      </c>
      <c r="BF339">
        <v>24</v>
      </c>
      <c r="BG339" t="s">
        <v>60</v>
      </c>
      <c r="BH339" t="s">
        <v>82</v>
      </c>
      <c r="BI339" t="s">
        <v>62</v>
      </c>
      <c r="BJ339" t="s">
        <v>63</v>
      </c>
      <c r="BK339">
        <v>1999</v>
      </c>
      <c r="BL339">
        <v>1</v>
      </c>
      <c r="BR339">
        <f>I339-BS339</f>
        <v>4</v>
      </c>
      <c r="BS339">
        <v>21</v>
      </c>
      <c r="BT339">
        <f t="shared" si="31"/>
        <v>1</v>
      </c>
    </row>
    <row r="340" spans="1:72" x14ac:dyDescent="0.2">
      <c r="A340" s="19" t="s">
        <v>406</v>
      </c>
      <c r="B340" s="1">
        <v>2049</v>
      </c>
      <c r="C340">
        <v>1</v>
      </c>
      <c r="D340" t="s">
        <v>48</v>
      </c>
      <c r="E340" s="2" t="s">
        <v>49</v>
      </c>
      <c r="F340">
        <v>2049</v>
      </c>
      <c r="G340">
        <v>2049</v>
      </c>
      <c r="H340" s="2">
        <v>568</v>
      </c>
      <c r="I340" s="3">
        <v>568</v>
      </c>
      <c r="J340" s="4">
        <v>564</v>
      </c>
      <c r="K340" s="6">
        <v>1496</v>
      </c>
      <c r="Q340" s="4" t="s">
        <v>51</v>
      </c>
      <c r="R340" s="6" t="s">
        <v>74</v>
      </c>
      <c r="W340" s="8">
        <v>8</v>
      </c>
      <c r="X340" s="8">
        <v>16</v>
      </c>
      <c r="Y340" s="4">
        <f>J340</f>
        <v>564</v>
      </c>
      <c r="Z340" s="4">
        <v>1</v>
      </c>
      <c r="AC340" s="6">
        <f>K340</f>
        <v>1496</v>
      </c>
      <c r="AD340" s="6">
        <v>1</v>
      </c>
      <c r="AM340">
        <v>69</v>
      </c>
      <c r="AN340" t="s">
        <v>52</v>
      </c>
      <c r="AO340" t="s">
        <v>53</v>
      </c>
      <c r="AP340">
        <v>-25191</v>
      </c>
      <c r="AQ340">
        <v>0</v>
      </c>
      <c r="AR340" t="s">
        <v>54</v>
      </c>
      <c r="AS340" t="s">
        <v>55</v>
      </c>
      <c r="AT340" t="s">
        <v>55</v>
      </c>
      <c r="AU340" t="s">
        <v>85</v>
      </c>
      <c r="AV340">
        <v>2289</v>
      </c>
      <c r="AW340" t="s">
        <v>57</v>
      </c>
      <c r="AX340" t="s">
        <v>55</v>
      </c>
      <c r="AY340" t="s">
        <v>58</v>
      </c>
      <c r="AZ340" t="s">
        <v>59</v>
      </c>
      <c r="BA340" t="s">
        <v>55</v>
      </c>
      <c r="BB340" t="s">
        <v>49</v>
      </c>
      <c r="BC340" t="s">
        <v>49</v>
      </c>
      <c r="BD340" t="s">
        <v>106</v>
      </c>
      <c r="BE340" t="s">
        <v>55</v>
      </c>
      <c r="BF340">
        <v>24</v>
      </c>
      <c r="BG340" t="s">
        <v>60</v>
      </c>
      <c r="BH340" t="s">
        <v>82</v>
      </c>
      <c r="BI340" t="s">
        <v>83</v>
      </c>
      <c r="BJ340" t="s">
        <v>63</v>
      </c>
      <c r="BK340">
        <v>1997</v>
      </c>
      <c r="BL340">
        <v>1</v>
      </c>
      <c r="BM340">
        <v>1</v>
      </c>
      <c r="BR340">
        <f>I340-BS340</f>
        <v>385</v>
      </c>
      <c r="BS340">
        <v>183</v>
      </c>
      <c r="BT340">
        <f t="shared" si="31"/>
        <v>2</v>
      </c>
    </row>
    <row r="341" spans="1:72" x14ac:dyDescent="0.2">
      <c r="A341" s="19" t="s">
        <v>407</v>
      </c>
      <c r="B341" s="1">
        <v>1102</v>
      </c>
      <c r="C341">
        <v>1</v>
      </c>
      <c r="D341" t="s">
        <v>48</v>
      </c>
      <c r="E341" s="2" t="s">
        <v>49</v>
      </c>
      <c r="F341">
        <v>1102</v>
      </c>
      <c r="G341">
        <v>1102</v>
      </c>
      <c r="H341" s="2">
        <v>324</v>
      </c>
      <c r="I341" s="3">
        <v>324</v>
      </c>
      <c r="J341" s="4">
        <f>324-7</f>
        <v>317</v>
      </c>
      <c r="K341" s="4">
        <v>90</v>
      </c>
      <c r="L341" s="9">
        <v>139</v>
      </c>
      <c r="M341" s="6">
        <v>29</v>
      </c>
      <c r="N341" s="7">
        <v>56</v>
      </c>
      <c r="O341" s="4">
        <v>64</v>
      </c>
      <c r="P341" s="8" t="s">
        <v>798</v>
      </c>
      <c r="Q341" s="4" t="s">
        <v>51</v>
      </c>
      <c r="R341" s="4" t="s">
        <v>51</v>
      </c>
      <c r="S341" s="9" t="s">
        <v>80</v>
      </c>
      <c r="T341" s="6" t="s">
        <v>74</v>
      </c>
      <c r="U341" s="7" t="s">
        <v>75</v>
      </c>
      <c r="V341" s="4" t="s">
        <v>51</v>
      </c>
      <c r="W341" s="8">
        <v>6</v>
      </c>
      <c r="X341" s="8">
        <v>12</v>
      </c>
      <c r="Y341" s="4">
        <f>J341+K341+O341</f>
        <v>471</v>
      </c>
      <c r="Z341" s="4">
        <v>1</v>
      </c>
      <c r="AC341" s="6">
        <f>O341+M341</f>
        <v>93</v>
      </c>
      <c r="AD341" s="6">
        <v>1</v>
      </c>
      <c r="AG341" s="9">
        <f>L341</f>
        <v>139</v>
      </c>
      <c r="AH341" s="9">
        <v>1</v>
      </c>
      <c r="AI341" s="7">
        <f>N341</f>
        <v>56</v>
      </c>
      <c r="AJ341" s="7">
        <v>1</v>
      </c>
      <c r="AK341" s="8"/>
      <c r="AL341" s="8"/>
      <c r="AM341">
        <v>56</v>
      </c>
      <c r="AN341" t="s">
        <v>49</v>
      </c>
      <c r="AO341" t="s">
        <v>53</v>
      </c>
      <c r="AP341">
        <v>-20529</v>
      </c>
      <c r="AQ341">
        <v>0</v>
      </c>
      <c r="AR341" t="s">
        <v>54</v>
      </c>
      <c r="AS341" t="s">
        <v>55</v>
      </c>
      <c r="AT341" t="s">
        <v>55</v>
      </c>
      <c r="AU341" t="s">
        <v>56</v>
      </c>
      <c r="AV341">
        <v>2290</v>
      </c>
      <c r="AW341" t="s">
        <v>57</v>
      </c>
      <c r="AX341" t="s">
        <v>55</v>
      </c>
      <c r="AY341" t="s">
        <v>58</v>
      </c>
      <c r="AZ341" t="s">
        <v>59</v>
      </c>
      <c r="BA341" t="s">
        <v>55</v>
      </c>
      <c r="BB341" t="s">
        <v>49</v>
      </c>
      <c r="BC341" t="s">
        <v>49</v>
      </c>
      <c r="BD341" t="s">
        <v>106</v>
      </c>
      <c r="BE341" t="s">
        <v>55</v>
      </c>
      <c r="BF341">
        <v>24</v>
      </c>
      <c r="BG341" t="s">
        <v>60</v>
      </c>
      <c r="BH341" t="s">
        <v>61</v>
      </c>
      <c r="BI341" t="s">
        <v>62</v>
      </c>
      <c r="BJ341" t="s">
        <v>408</v>
      </c>
      <c r="BK341">
        <v>1997</v>
      </c>
      <c r="BL341">
        <v>1</v>
      </c>
      <c r="BM341">
        <v>1</v>
      </c>
      <c r="BN341">
        <v>1</v>
      </c>
      <c r="BO341">
        <v>1</v>
      </c>
      <c r="BP341">
        <v>1</v>
      </c>
      <c r="BQ341">
        <v>1</v>
      </c>
      <c r="BR341">
        <f>I341-BS341</f>
        <v>205</v>
      </c>
      <c r="BS341">
        <v>119</v>
      </c>
      <c r="BT341">
        <f t="shared" si="31"/>
        <v>6</v>
      </c>
    </row>
    <row r="342" spans="1:72" x14ac:dyDescent="0.2">
      <c r="A342" s="19" t="s">
        <v>618</v>
      </c>
      <c r="B342" s="1">
        <v>506</v>
      </c>
      <c r="C342">
        <v>1</v>
      </c>
      <c r="D342" s="8" t="s">
        <v>48</v>
      </c>
      <c r="E342" s="12" t="s">
        <v>49</v>
      </c>
      <c r="F342" s="8">
        <v>506</v>
      </c>
      <c r="G342" s="8">
        <v>506</v>
      </c>
      <c r="H342" s="12" t="s">
        <v>49</v>
      </c>
      <c r="I342" s="3" t="s">
        <v>50</v>
      </c>
      <c r="J342" s="8" t="s">
        <v>50</v>
      </c>
      <c r="K342" s="8"/>
      <c r="L342" s="8"/>
      <c r="M342" s="8"/>
      <c r="N342" s="8"/>
      <c r="O342" s="8"/>
      <c r="P342" s="8"/>
      <c r="Q342" s="4" t="s">
        <v>51</v>
      </c>
      <c r="R342" s="8"/>
      <c r="S342" s="8"/>
      <c r="T342" s="8"/>
      <c r="U342" s="8"/>
      <c r="V342" s="8"/>
      <c r="W342" s="8">
        <v>6</v>
      </c>
      <c r="X342" s="8">
        <v>12</v>
      </c>
      <c r="Y342" s="8"/>
      <c r="Z342" s="8"/>
      <c r="AA342" s="8"/>
      <c r="AB342" s="8"/>
      <c r="AC342" s="8"/>
      <c r="AD342" s="8"/>
      <c r="AE342" s="8"/>
      <c r="AF342" s="8"/>
      <c r="AG342" s="8"/>
      <c r="AH342" s="8"/>
      <c r="AI342" s="8"/>
      <c r="AJ342" s="8"/>
      <c r="AK342" s="8"/>
      <c r="AL342" s="8"/>
      <c r="AM342" s="8">
        <v>47</v>
      </c>
      <c r="AN342" s="8" t="s">
        <v>126</v>
      </c>
      <c r="AO342" s="8" t="s">
        <v>53</v>
      </c>
      <c r="AP342" s="8">
        <v>-17235</v>
      </c>
      <c r="AQ342" s="8">
        <v>0</v>
      </c>
      <c r="AR342" s="8" t="s">
        <v>54</v>
      </c>
      <c r="AS342" s="8" t="s">
        <v>55</v>
      </c>
      <c r="AT342" s="8" t="s">
        <v>55</v>
      </c>
      <c r="AU342" s="8" t="s">
        <v>56</v>
      </c>
      <c r="AV342" s="8">
        <v>2293</v>
      </c>
      <c r="AW342" s="8" t="s">
        <v>49</v>
      </c>
      <c r="AX342" s="8" t="s">
        <v>55</v>
      </c>
      <c r="AY342" s="8" t="s">
        <v>114</v>
      </c>
      <c r="AZ342" s="8" t="s">
        <v>59</v>
      </c>
      <c r="BA342" s="8" t="s">
        <v>55</v>
      </c>
      <c r="BB342" s="8" t="s">
        <v>49</v>
      </c>
      <c r="BC342" s="8" t="s">
        <v>49</v>
      </c>
      <c r="BD342" s="8" t="s">
        <v>49</v>
      </c>
      <c r="BE342" s="8" t="s">
        <v>55</v>
      </c>
      <c r="BF342" s="8">
        <v>24</v>
      </c>
      <c r="BG342" s="8" t="s">
        <v>60</v>
      </c>
      <c r="BH342" s="8" t="s">
        <v>82</v>
      </c>
      <c r="BI342" s="8" t="s">
        <v>49</v>
      </c>
      <c r="BJ342" s="8" t="s">
        <v>408</v>
      </c>
      <c r="BK342" s="8">
        <v>1995</v>
      </c>
      <c r="BT342">
        <f t="shared" si="31"/>
        <v>0</v>
      </c>
    </row>
    <row r="343" spans="1:72" x14ac:dyDescent="0.2">
      <c r="A343" s="19" t="s">
        <v>409</v>
      </c>
      <c r="B343" s="1">
        <v>1007</v>
      </c>
      <c r="C343">
        <v>1</v>
      </c>
      <c r="D343" t="s">
        <v>48</v>
      </c>
      <c r="E343" s="2" t="s">
        <v>49</v>
      </c>
      <c r="F343">
        <v>1007</v>
      </c>
      <c r="G343">
        <v>1007</v>
      </c>
      <c r="H343" s="2">
        <v>281</v>
      </c>
      <c r="I343" s="3">
        <v>281</v>
      </c>
      <c r="J343" s="4">
        <f>281-6</f>
        <v>275</v>
      </c>
      <c r="P343" t="s">
        <v>850</v>
      </c>
      <c r="Q343" s="4" t="s">
        <v>51</v>
      </c>
      <c r="W343" s="8">
        <v>7</v>
      </c>
      <c r="X343" s="8">
        <v>14</v>
      </c>
      <c r="Y343" s="4">
        <f>J343</f>
        <v>275</v>
      </c>
      <c r="Z343" s="4">
        <v>1</v>
      </c>
      <c r="AM343">
        <v>69</v>
      </c>
      <c r="AN343" t="s">
        <v>126</v>
      </c>
      <c r="AO343" t="s">
        <v>53</v>
      </c>
      <c r="AP343">
        <v>-25415</v>
      </c>
      <c r="AQ343">
        <v>0</v>
      </c>
      <c r="AR343" t="s">
        <v>54</v>
      </c>
      <c r="AS343" t="s">
        <v>55</v>
      </c>
      <c r="AT343" t="s">
        <v>55</v>
      </c>
      <c r="AU343" t="s">
        <v>56</v>
      </c>
      <c r="AV343">
        <v>2295</v>
      </c>
      <c r="AW343" t="s">
        <v>57</v>
      </c>
      <c r="AX343" t="s">
        <v>55</v>
      </c>
      <c r="AY343" t="s">
        <v>58</v>
      </c>
      <c r="AZ343" t="s">
        <v>59</v>
      </c>
      <c r="BA343" t="s">
        <v>55</v>
      </c>
      <c r="BB343" t="s">
        <v>49</v>
      </c>
      <c r="BC343" t="s">
        <v>49</v>
      </c>
      <c r="BD343" t="s">
        <v>106</v>
      </c>
      <c r="BE343" t="s">
        <v>55</v>
      </c>
      <c r="BF343">
        <v>24</v>
      </c>
      <c r="BG343" t="s">
        <v>60</v>
      </c>
      <c r="BH343" t="s">
        <v>82</v>
      </c>
      <c r="BI343" t="s">
        <v>62</v>
      </c>
      <c r="BJ343" t="s">
        <v>63</v>
      </c>
      <c r="BK343">
        <v>1995</v>
      </c>
      <c r="BL343">
        <v>1</v>
      </c>
      <c r="BR343">
        <f>I343-BS343</f>
        <v>148</v>
      </c>
      <c r="BS343">
        <v>133</v>
      </c>
      <c r="BT343">
        <f t="shared" si="31"/>
        <v>1</v>
      </c>
    </row>
    <row r="344" spans="1:72" x14ac:dyDescent="0.2">
      <c r="A344" s="19" t="s">
        <v>410</v>
      </c>
      <c r="B344" s="1">
        <v>1699</v>
      </c>
      <c r="C344">
        <v>1</v>
      </c>
      <c r="D344" t="s">
        <v>48</v>
      </c>
      <c r="E344" s="2" t="s">
        <v>49</v>
      </c>
      <c r="F344">
        <v>1699</v>
      </c>
      <c r="G344">
        <v>1699</v>
      </c>
      <c r="H344" s="2" t="s">
        <v>49</v>
      </c>
      <c r="I344" s="3">
        <v>1699</v>
      </c>
      <c r="J344">
        <f>I344-19</f>
        <v>1680</v>
      </c>
      <c r="Q344" t="s">
        <v>411</v>
      </c>
      <c r="W344" s="8">
        <v>6</v>
      </c>
      <c r="X344" s="8">
        <v>12</v>
      </c>
      <c r="AM344">
        <v>56</v>
      </c>
      <c r="AN344" t="s">
        <v>52</v>
      </c>
      <c r="AO344" t="s">
        <v>53</v>
      </c>
      <c r="AP344">
        <v>-20487</v>
      </c>
      <c r="AQ344">
        <v>0</v>
      </c>
      <c r="AR344" t="s">
        <v>54</v>
      </c>
      <c r="AS344" t="s">
        <v>55</v>
      </c>
      <c r="AT344" t="s">
        <v>55</v>
      </c>
      <c r="AU344" t="s">
        <v>56</v>
      </c>
      <c r="AV344">
        <v>2297</v>
      </c>
      <c r="AW344" t="s">
        <v>49</v>
      </c>
      <c r="AX344" t="s">
        <v>55</v>
      </c>
      <c r="AY344" t="s">
        <v>58</v>
      </c>
      <c r="AZ344" t="s">
        <v>59</v>
      </c>
      <c r="BA344" t="s">
        <v>55</v>
      </c>
      <c r="BB344" t="s">
        <v>49</v>
      </c>
      <c r="BC344" t="s">
        <v>49</v>
      </c>
      <c r="BD344" t="s">
        <v>49</v>
      </c>
      <c r="BE344" t="s">
        <v>55</v>
      </c>
      <c r="BF344">
        <v>24</v>
      </c>
      <c r="BG344" t="s">
        <v>60</v>
      </c>
      <c r="BH344" t="s">
        <v>82</v>
      </c>
      <c r="BI344" t="s">
        <v>62</v>
      </c>
      <c r="BJ344" t="s">
        <v>63</v>
      </c>
      <c r="BK344">
        <v>1993</v>
      </c>
      <c r="BL344">
        <v>1</v>
      </c>
      <c r="BR344">
        <f>I344-BS344</f>
        <v>1546</v>
      </c>
      <c r="BS344">
        <v>153</v>
      </c>
      <c r="BT344">
        <f t="shared" si="31"/>
        <v>1</v>
      </c>
    </row>
    <row r="345" spans="1:72" x14ac:dyDescent="0.2">
      <c r="A345" s="19" t="s">
        <v>412</v>
      </c>
      <c r="B345" s="1">
        <v>1620</v>
      </c>
      <c r="C345">
        <v>1</v>
      </c>
      <c r="D345" t="s">
        <v>48</v>
      </c>
      <c r="E345" s="2" t="s">
        <v>49</v>
      </c>
      <c r="F345">
        <v>1620</v>
      </c>
      <c r="G345">
        <v>1620</v>
      </c>
      <c r="H345" s="2">
        <v>469</v>
      </c>
      <c r="I345" s="3">
        <v>469</v>
      </c>
      <c r="J345">
        <f>I345-12</f>
        <v>457</v>
      </c>
      <c r="K345" s="4">
        <v>288</v>
      </c>
      <c r="L345" s="9">
        <v>224</v>
      </c>
      <c r="M345">
        <v>468</v>
      </c>
      <c r="N345" s="5">
        <v>166</v>
      </c>
      <c r="Q345" t="s">
        <v>411</v>
      </c>
      <c r="R345" s="4" t="s">
        <v>51</v>
      </c>
      <c r="S345" s="9" t="s">
        <v>80</v>
      </c>
      <c r="T345" t="s">
        <v>413</v>
      </c>
      <c r="U345" s="5" t="s">
        <v>65</v>
      </c>
      <c r="W345" s="8">
        <v>8</v>
      </c>
      <c r="X345" s="8">
        <v>16</v>
      </c>
      <c r="Y345" s="4">
        <f>K345</f>
        <v>288</v>
      </c>
      <c r="Z345" s="4">
        <v>1</v>
      </c>
      <c r="AE345" s="5">
        <f>N345</f>
        <v>166</v>
      </c>
      <c r="AF345" s="5">
        <v>1</v>
      </c>
      <c r="AG345" s="9">
        <f>L345</f>
        <v>224</v>
      </c>
      <c r="AH345" s="9">
        <v>1</v>
      </c>
      <c r="AM345">
        <v>56</v>
      </c>
      <c r="AN345" t="s">
        <v>52</v>
      </c>
      <c r="AO345" t="s">
        <v>53</v>
      </c>
      <c r="AP345">
        <v>-20453</v>
      </c>
      <c r="AQ345">
        <v>0</v>
      </c>
      <c r="AR345" t="s">
        <v>54</v>
      </c>
      <c r="AS345" t="s">
        <v>55</v>
      </c>
      <c r="AT345" t="s">
        <v>55</v>
      </c>
      <c r="AU345" t="s">
        <v>56</v>
      </c>
      <c r="AV345">
        <v>2298</v>
      </c>
      <c r="AW345" t="s">
        <v>57</v>
      </c>
      <c r="AX345" t="s">
        <v>55</v>
      </c>
      <c r="AY345" t="s">
        <v>58</v>
      </c>
      <c r="AZ345" t="s">
        <v>59</v>
      </c>
      <c r="BA345" t="s">
        <v>55</v>
      </c>
      <c r="BB345" t="s">
        <v>49</v>
      </c>
      <c r="BC345" t="s">
        <v>49</v>
      </c>
      <c r="BD345" t="s">
        <v>106</v>
      </c>
      <c r="BE345" t="s">
        <v>55</v>
      </c>
      <c r="BF345">
        <v>24</v>
      </c>
      <c r="BG345" t="s">
        <v>60</v>
      </c>
      <c r="BH345" t="s">
        <v>82</v>
      </c>
      <c r="BI345" t="s">
        <v>62</v>
      </c>
      <c r="BJ345" t="s">
        <v>63</v>
      </c>
      <c r="BK345">
        <v>1993</v>
      </c>
      <c r="BL345">
        <v>1</v>
      </c>
      <c r="BM345">
        <v>1</v>
      </c>
      <c r="BN345">
        <v>1</v>
      </c>
      <c r="BO345">
        <v>1</v>
      </c>
      <c r="BP345">
        <v>1</v>
      </c>
      <c r="BR345">
        <f>I345-BS345</f>
        <v>251</v>
      </c>
      <c r="BS345">
        <v>218</v>
      </c>
      <c r="BT345">
        <f t="shared" si="31"/>
        <v>5</v>
      </c>
    </row>
    <row r="346" spans="1:72" x14ac:dyDescent="0.2">
      <c r="A346" s="19" t="s">
        <v>414</v>
      </c>
      <c r="B346" s="1">
        <v>31</v>
      </c>
      <c r="C346">
        <v>1</v>
      </c>
      <c r="D346" t="s">
        <v>48</v>
      </c>
      <c r="E346" s="2" t="s">
        <v>49</v>
      </c>
      <c r="F346">
        <v>31</v>
      </c>
      <c r="G346">
        <v>31</v>
      </c>
      <c r="H346" s="2" t="s">
        <v>49</v>
      </c>
      <c r="I346" s="3">
        <v>31</v>
      </c>
      <c r="Q346" t="s">
        <v>50</v>
      </c>
      <c r="AM346">
        <v>69</v>
      </c>
      <c r="AN346" t="s">
        <v>101</v>
      </c>
      <c r="AO346" t="s">
        <v>49</v>
      </c>
      <c r="AP346">
        <v>-25537</v>
      </c>
      <c r="AQ346">
        <v>0</v>
      </c>
      <c r="AR346" t="s">
        <v>54</v>
      </c>
      <c r="AS346" t="s">
        <v>55</v>
      </c>
      <c r="AT346" t="s">
        <v>55</v>
      </c>
      <c r="AU346" t="s">
        <v>56</v>
      </c>
      <c r="AV346">
        <v>1312</v>
      </c>
      <c r="AW346" t="s">
        <v>49</v>
      </c>
      <c r="AX346" t="s">
        <v>55</v>
      </c>
      <c r="AY346" t="s">
        <v>49</v>
      </c>
      <c r="AZ346" t="s">
        <v>59</v>
      </c>
      <c r="BA346" t="s">
        <v>55</v>
      </c>
      <c r="BB346" t="s">
        <v>49</v>
      </c>
      <c r="BC346" t="s">
        <v>49</v>
      </c>
      <c r="BD346" t="s">
        <v>49</v>
      </c>
      <c r="BE346" t="s">
        <v>55</v>
      </c>
      <c r="BF346">
        <v>25</v>
      </c>
      <c r="BG346" t="s">
        <v>60</v>
      </c>
      <c r="BH346" t="s">
        <v>61</v>
      </c>
      <c r="BI346" t="s">
        <v>83</v>
      </c>
      <c r="BJ346" t="s">
        <v>63</v>
      </c>
      <c r="BK346">
        <v>2001</v>
      </c>
      <c r="BT346">
        <f t="shared" si="31"/>
        <v>0</v>
      </c>
    </row>
    <row r="347" spans="1:72" x14ac:dyDescent="0.2">
      <c r="A347" s="19" t="s">
        <v>415</v>
      </c>
      <c r="B347" s="1">
        <v>819</v>
      </c>
      <c r="C347">
        <v>1</v>
      </c>
      <c r="D347" t="s">
        <v>48</v>
      </c>
      <c r="E347" s="2" t="s">
        <v>49</v>
      </c>
      <c r="F347">
        <v>819</v>
      </c>
      <c r="G347">
        <v>819</v>
      </c>
      <c r="H347" s="2">
        <v>394</v>
      </c>
      <c r="I347" s="3">
        <v>394</v>
      </c>
      <c r="J347" s="4">
        <f>I347-29</f>
        <v>365</v>
      </c>
      <c r="K347" s="9">
        <v>425</v>
      </c>
      <c r="Q347" s="4" t="s">
        <v>51</v>
      </c>
      <c r="R347" s="9" t="s">
        <v>80</v>
      </c>
      <c r="W347">
        <v>6</v>
      </c>
      <c r="X347">
        <v>12</v>
      </c>
      <c r="Y347" s="4">
        <f t="shared" ref="Y347:Y353" si="32">J347</f>
        <v>365</v>
      </c>
      <c r="Z347" s="4">
        <v>1</v>
      </c>
      <c r="AG347" s="9">
        <f>K347</f>
        <v>425</v>
      </c>
      <c r="AH347" s="9">
        <v>1</v>
      </c>
      <c r="AM347">
        <v>62</v>
      </c>
      <c r="AN347" t="s">
        <v>52</v>
      </c>
      <c r="AO347" t="s">
        <v>53</v>
      </c>
      <c r="AP347">
        <v>-22982</v>
      </c>
      <c r="AQ347">
        <v>0</v>
      </c>
      <c r="AR347" t="s">
        <v>54</v>
      </c>
      <c r="AS347" t="s">
        <v>49</v>
      </c>
      <c r="AT347" t="s">
        <v>49</v>
      </c>
      <c r="AU347" t="s">
        <v>56</v>
      </c>
      <c r="AV347">
        <v>1313</v>
      </c>
      <c r="AW347" t="s">
        <v>57</v>
      </c>
      <c r="AX347" t="s">
        <v>55</v>
      </c>
      <c r="AY347" t="s">
        <v>58</v>
      </c>
      <c r="AZ347" t="s">
        <v>59</v>
      </c>
      <c r="BA347" t="s">
        <v>49</v>
      </c>
      <c r="BB347" t="s">
        <v>49</v>
      </c>
      <c r="BC347" t="s">
        <v>49</v>
      </c>
      <c r="BD347" t="s">
        <v>49</v>
      </c>
      <c r="BE347" t="s">
        <v>49</v>
      </c>
      <c r="BF347">
        <v>25</v>
      </c>
      <c r="BG347" t="s">
        <v>60</v>
      </c>
      <c r="BH347" t="s">
        <v>61</v>
      </c>
      <c r="BI347" t="s">
        <v>83</v>
      </c>
      <c r="BJ347" t="s">
        <v>63</v>
      </c>
      <c r="BK347">
        <v>2000</v>
      </c>
      <c r="BL347">
        <v>1</v>
      </c>
      <c r="BM347">
        <v>1</v>
      </c>
      <c r="BR347">
        <f t="shared" ref="BR347:BR358" si="33">I347-BS347</f>
        <v>244</v>
      </c>
      <c r="BS347">
        <v>150</v>
      </c>
      <c r="BT347">
        <f t="shared" si="31"/>
        <v>2</v>
      </c>
    </row>
    <row r="348" spans="1:72" x14ac:dyDescent="0.2">
      <c r="A348" s="19" t="s">
        <v>416</v>
      </c>
      <c r="B348" s="1">
        <v>1003</v>
      </c>
      <c r="C348">
        <v>1</v>
      </c>
      <c r="D348" t="s">
        <v>48</v>
      </c>
      <c r="E348" s="2">
        <v>273</v>
      </c>
      <c r="F348">
        <v>1003</v>
      </c>
      <c r="G348">
        <v>973</v>
      </c>
      <c r="H348" s="2" t="s">
        <v>49</v>
      </c>
      <c r="I348" s="3">
        <v>273</v>
      </c>
      <c r="J348" s="4">
        <f>I348-31</f>
        <v>242</v>
      </c>
      <c r="K348" s="9">
        <v>730</v>
      </c>
      <c r="Q348" s="4" t="s">
        <v>51</v>
      </c>
      <c r="R348" s="9" t="s">
        <v>80</v>
      </c>
      <c r="W348">
        <v>8</v>
      </c>
      <c r="X348">
        <v>16</v>
      </c>
      <c r="Y348" s="4">
        <f t="shared" si="32"/>
        <v>242</v>
      </c>
      <c r="Z348" s="4">
        <v>1</v>
      </c>
      <c r="AG348" s="9">
        <f>K348</f>
        <v>730</v>
      </c>
      <c r="AH348" s="9">
        <v>1</v>
      </c>
      <c r="AM348">
        <v>42</v>
      </c>
      <c r="AN348" t="s">
        <v>52</v>
      </c>
      <c r="AO348" t="s">
        <v>53</v>
      </c>
      <c r="AP348">
        <v>-15462</v>
      </c>
      <c r="AQ348">
        <v>0</v>
      </c>
      <c r="AR348" t="s">
        <v>54</v>
      </c>
      <c r="AS348" t="s">
        <v>55</v>
      </c>
      <c r="AT348" t="s">
        <v>55</v>
      </c>
      <c r="AU348" t="s">
        <v>56</v>
      </c>
      <c r="AV348">
        <v>1314</v>
      </c>
      <c r="AW348" t="s">
        <v>57</v>
      </c>
      <c r="AX348" t="s">
        <v>55</v>
      </c>
      <c r="AY348" t="s">
        <v>114</v>
      </c>
      <c r="AZ348" t="s">
        <v>59</v>
      </c>
      <c r="BA348" t="s">
        <v>55</v>
      </c>
      <c r="BB348" t="s">
        <v>49</v>
      </c>
      <c r="BC348" t="s">
        <v>49</v>
      </c>
      <c r="BD348" t="s">
        <v>49</v>
      </c>
      <c r="BE348" t="s">
        <v>55</v>
      </c>
      <c r="BF348">
        <v>25</v>
      </c>
      <c r="BG348" t="s">
        <v>60</v>
      </c>
      <c r="BH348" t="s">
        <v>61</v>
      </c>
      <c r="BI348" t="s">
        <v>83</v>
      </c>
      <c r="BJ348" t="s">
        <v>63</v>
      </c>
      <c r="BK348">
        <v>2000</v>
      </c>
      <c r="BL348">
        <v>1</v>
      </c>
      <c r="BM348">
        <v>1</v>
      </c>
      <c r="BR348">
        <f t="shared" si="33"/>
        <v>116</v>
      </c>
      <c r="BS348">
        <v>157</v>
      </c>
      <c r="BT348">
        <f t="shared" si="31"/>
        <v>2</v>
      </c>
    </row>
    <row r="349" spans="1:72" x14ac:dyDescent="0.2">
      <c r="A349" s="19" t="s">
        <v>417</v>
      </c>
      <c r="B349" s="1">
        <v>1583</v>
      </c>
      <c r="C349">
        <v>1</v>
      </c>
      <c r="D349" t="s">
        <v>48</v>
      </c>
      <c r="E349" s="2">
        <v>153</v>
      </c>
      <c r="F349">
        <v>1583</v>
      </c>
      <c r="G349">
        <v>1553</v>
      </c>
      <c r="H349" s="2" t="s">
        <v>49</v>
      </c>
      <c r="I349" s="3">
        <v>1583</v>
      </c>
      <c r="J349" s="4">
        <v>1583</v>
      </c>
      <c r="P349" t="s">
        <v>851</v>
      </c>
      <c r="Q349" s="4" t="s">
        <v>51</v>
      </c>
      <c r="W349">
        <v>12</v>
      </c>
      <c r="X349">
        <v>24</v>
      </c>
      <c r="Y349" s="4">
        <f t="shared" si="32"/>
        <v>1583</v>
      </c>
      <c r="Z349" s="4">
        <v>1</v>
      </c>
      <c r="AM349">
        <v>50</v>
      </c>
      <c r="AN349" t="s">
        <v>52</v>
      </c>
      <c r="AO349" t="s">
        <v>53</v>
      </c>
      <c r="AP349">
        <v>-18263</v>
      </c>
      <c r="AQ349">
        <v>0</v>
      </c>
      <c r="AR349" t="s">
        <v>54</v>
      </c>
      <c r="AS349" t="s">
        <v>55</v>
      </c>
      <c r="AT349" t="s">
        <v>55</v>
      </c>
      <c r="AU349" t="s">
        <v>56</v>
      </c>
      <c r="AV349">
        <v>1315</v>
      </c>
      <c r="AW349" t="s">
        <v>57</v>
      </c>
      <c r="AX349" t="s">
        <v>55</v>
      </c>
      <c r="AY349" t="s">
        <v>114</v>
      </c>
      <c r="AZ349" t="s">
        <v>59</v>
      </c>
      <c r="BA349" t="s">
        <v>55</v>
      </c>
      <c r="BB349" t="s">
        <v>49</v>
      </c>
      <c r="BC349" t="s">
        <v>49</v>
      </c>
      <c r="BD349" t="s">
        <v>49</v>
      </c>
      <c r="BE349" t="s">
        <v>55</v>
      </c>
      <c r="BF349">
        <v>25</v>
      </c>
      <c r="BG349" t="s">
        <v>60</v>
      </c>
      <c r="BH349" t="s">
        <v>61</v>
      </c>
      <c r="BI349" t="s">
        <v>62</v>
      </c>
      <c r="BJ349" t="s">
        <v>63</v>
      </c>
      <c r="BK349">
        <v>2000</v>
      </c>
      <c r="BL349">
        <v>1</v>
      </c>
      <c r="BR349">
        <f t="shared" si="33"/>
        <v>1430</v>
      </c>
      <c r="BS349">
        <v>153</v>
      </c>
      <c r="BT349">
        <f t="shared" si="31"/>
        <v>1</v>
      </c>
    </row>
    <row r="350" spans="1:72" x14ac:dyDescent="0.2">
      <c r="A350" s="19" t="s">
        <v>418</v>
      </c>
      <c r="B350" s="1">
        <v>1279</v>
      </c>
      <c r="C350">
        <v>1</v>
      </c>
      <c r="D350" t="s">
        <v>48</v>
      </c>
      <c r="E350" s="2">
        <v>276</v>
      </c>
      <c r="F350">
        <v>1279</v>
      </c>
      <c r="G350">
        <v>1126</v>
      </c>
      <c r="H350" s="2" t="s">
        <v>49</v>
      </c>
      <c r="I350" s="3">
        <v>276</v>
      </c>
      <c r="J350" s="4">
        <v>215</v>
      </c>
      <c r="K350" s="9">
        <v>1003</v>
      </c>
      <c r="Q350" s="4" t="s">
        <v>51</v>
      </c>
      <c r="R350" s="9" t="s">
        <v>80</v>
      </c>
      <c r="W350">
        <v>7</v>
      </c>
      <c r="X350">
        <v>14</v>
      </c>
      <c r="Y350" s="4">
        <f t="shared" si="32"/>
        <v>215</v>
      </c>
      <c r="Z350" s="4">
        <v>1</v>
      </c>
      <c r="AG350" s="9">
        <f>K350</f>
        <v>1003</v>
      </c>
      <c r="AH350" s="9">
        <v>1</v>
      </c>
      <c r="AM350">
        <v>55</v>
      </c>
      <c r="AN350" t="s">
        <v>126</v>
      </c>
      <c r="AO350" t="s">
        <v>53</v>
      </c>
      <c r="AP350">
        <v>-20331</v>
      </c>
      <c r="AQ350">
        <v>0</v>
      </c>
      <c r="AR350" t="s">
        <v>54</v>
      </c>
      <c r="AS350" t="s">
        <v>55</v>
      </c>
      <c r="AT350" t="s">
        <v>55</v>
      </c>
      <c r="AU350" t="s">
        <v>56</v>
      </c>
      <c r="AV350">
        <v>1316</v>
      </c>
      <c r="AW350" t="s">
        <v>57</v>
      </c>
      <c r="AX350" t="s">
        <v>55</v>
      </c>
      <c r="AY350" t="s">
        <v>81</v>
      </c>
      <c r="AZ350" t="s">
        <v>59</v>
      </c>
      <c r="BA350" t="s">
        <v>55</v>
      </c>
      <c r="BB350" t="s">
        <v>49</v>
      </c>
      <c r="BC350" t="s">
        <v>49</v>
      </c>
      <c r="BD350" t="s">
        <v>49</v>
      </c>
      <c r="BE350" t="s">
        <v>55</v>
      </c>
      <c r="BF350">
        <v>25</v>
      </c>
      <c r="BG350" t="s">
        <v>60</v>
      </c>
      <c r="BH350" t="s">
        <v>61</v>
      </c>
      <c r="BI350" t="s">
        <v>62</v>
      </c>
      <c r="BJ350" t="s">
        <v>63</v>
      </c>
      <c r="BK350">
        <v>2000</v>
      </c>
      <c r="BL350">
        <v>1</v>
      </c>
      <c r="BM350">
        <v>1</v>
      </c>
      <c r="BR350">
        <f t="shared" si="33"/>
        <v>62</v>
      </c>
      <c r="BS350">
        <v>214</v>
      </c>
      <c r="BT350">
        <f t="shared" si="31"/>
        <v>2</v>
      </c>
    </row>
    <row r="351" spans="1:72" x14ac:dyDescent="0.2">
      <c r="A351" s="19" t="s">
        <v>419</v>
      </c>
      <c r="B351" s="1">
        <v>68</v>
      </c>
      <c r="C351">
        <v>1</v>
      </c>
      <c r="D351" t="s">
        <v>48</v>
      </c>
      <c r="E351" s="2" t="s">
        <v>49</v>
      </c>
      <c r="F351">
        <v>68</v>
      </c>
      <c r="G351">
        <v>31</v>
      </c>
      <c r="H351" s="2" t="s">
        <v>49</v>
      </c>
      <c r="I351" s="3">
        <v>31</v>
      </c>
      <c r="J351" s="4">
        <v>31</v>
      </c>
      <c r="Q351" s="4" t="s">
        <v>51</v>
      </c>
      <c r="W351">
        <v>1</v>
      </c>
      <c r="X351">
        <v>2</v>
      </c>
      <c r="Y351" s="4">
        <f t="shared" si="32"/>
        <v>31</v>
      </c>
      <c r="Z351" s="4">
        <v>1</v>
      </c>
      <c r="AM351">
        <v>66</v>
      </c>
      <c r="AN351" t="s">
        <v>52</v>
      </c>
      <c r="AO351" t="s">
        <v>53</v>
      </c>
      <c r="AP351">
        <v>-24199</v>
      </c>
      <c r="AQ351">
        <v>0</v>
      </c>
      <c r="AR351" t="s">
        <v>54</v>
      </c>
      <c r="AS351" t="s">
        <v>55</v>
      </c>
      <c r="AT351" t="s">
        <v>55</v>
      </c>
      <c r="AU351" t="s">
        <v>56</v>
      </c>
      <c r="AV351">
        <v>1317</v>
      </c>
      <c r="AW351" t="s">
        <v>49</v>
      </c>
      <c r="AX351" t="s">
        <v>55</v>
      </c>
      <c r="AY351" t="s">
        <v>49</v>
      </c>
      <c r="AZ351" t="s">
        <v>59</v>
      </c>
      <c r="BA351" t="s">
        <v>55</v>
      </c>
      <c r="BB351" t="s">
        <v>49</v>
      </c>
      <c r="BC351" t="s">
        <v>49</v>
      </c>
      <c r="BD351" t="s">
        <v>49</v>
      </c>
      <c r="BE351" t="s">
        <v>55</v>
      </c>
      <c r="BF351">
        <v>25</v>
      </c>
      <c r="BG351" t="s">
        <v>60</v>
      </c>
      <c r="BH351" t="s">
        <v>49</v>
      </c>
      <c r="BI351" t="s">
        <v>62</v>
      </c>
      <c r="BJ351" t="s">
        <v>63</v>
      </c>
      <c r="BK351">
        <v>2000</v>
      </c>
      <c r="BL351">
        <v>1</v>
      </c>
      <c r="BR351">
        <f t="shared" si="33"/>
        <v>0</v>
      </c>
      <c r="BS351">
        <v>31</v>
      </c>
      <c r="BT351">
        <f t="shared" si="31"/>
        <v>1</v>
      </c>
    </row>
    <row r="352" spans="1:72" x14ac:dyDescent="0.2">
      <c r="A352" s="19" t="s">
        <v>420</v>
      </c>
      <c r="B352" s="1">
        <v>1064</v>
      </c>
      <c r="C352">
        <v>1</v>
      </c>
      <c r="D352" t="s">
        <v>48</v>
      </c>
      <c r="E352" s="2" t="s">
        <v>49</v>
      </c>
      <c r="F352">
        <v>1064</v>
      </c>
      <c r="G352">
        <v>1064</v>
      </c>
      <c r="H352" s="2">
        <v>185</v>
      </c>
      <c r="I352" s="3">
        <v>185</v>
      </c>
      <c r="J352" s="4">
        <f>I352-30</f>
        <v>155</v>
      </c>
      <c r="K352" s="9">
        <v>852</v>
      </c>
      <c r="Q352" s="4" t="s">
        <v>51</v>
      </c>
      <c r="R352" s="9" t="s">
        <v>80</v>
      </c>
      <c r="W352">
        <v>6</v>
      </c>
      <c r="X352">
        <v>12</v>
      </c>
      <c r="Y352" s="4">
        <f t="shared" si="32"/>
        <v>155</v>
      </c>
      <c r="Z352" s="4">
        <v>1</v>
      </c>
      <c r="AG352" s="9">
        <f>K352</f>
        <v>852</v>
      </c>
      <c r="AH352" s="9">
        <v>1</v>
      </c>
      <c r="AM352">
        <v>54</v>
      </c>
      <c r="AN352" t="s">
        <v>52</v>
      </c>
      <c r="AO352" t="s">
        <v>53</v>
      </c>
      <c r="AP352">
        <v>-19755</v>
      </c>
      <c r="AQ352">
        <v>0</v>
      </c>
      <c r="AR352" t="s">
        <v>54</v>
      </c>
      <c r="AS352" t="s">
        <v>55</v>
      </c>
      <c r="AT352" t="s">
        <v>55</v>
      </c>
      <c r="AU352" t="s">
        <v>56</v>
      </c>
      <c r="AV352">
        <v>1318</v>
      </c>
      <c r="AW352" t="s">
        <v>57</v>
      </c>
      <c r="AX352" t="s">
        <v>55</v>
      </c>
      <c r="AY352" t="s">
        <v>114</v>
      </c>
      <c r="AZ352" t="s">
        <v>59</v>
      </c>
      <c r="BA352" t="s">
        <v>55</v>
      </c>
      <c r="BB352" t="s">
        <v>49</v>
      </c>
      <c r="BC352" t="s">
        <v>49</v>
      </c>
      <c r="BD352" t="s">
        <v>66</v>
      </c>
      <c r="BE352" t="s">
        <v>55</v>
      </c>
      <c r="BF352">
        <v>25</v>
      </c>
      <c r="BG352" t="s">
        <v>60</v>
      </c>
      <c r="BH352" t="s">
        <v>61</v>
      </c>
      <c r="BI352" t="s">
        <v>62</v>
      </c>
      <c r="BJ352" t="s">
        <v>63</v>
      </c>
      <c r="BK352">
        <v>2000</v>
      </c>
      <c r="BL352">
        <v>1</v>
      </c>
      <c r="BM352">
        <v>1</v>
      </c>
      <c r="BR352">
        <f t="shared" si="33"/>
        <v>63</v>
      </c>
      <c r="BS352">
        <v>122</v>
      </c>
      <c r="BT352">
        <f t="shared" si="31"/>
        <v>2</v>
      </c>
    </row>
    <row r="353" spans="1:72" x14ac:dyDescent="0.2">
      <c r="A353" s="19" t="s">
        <v>421</v>
      </c>
      <c r="B353" s="1">
        <v>1977</v>
      </c>
      <c r="C353">
        <v>1</v>
      </c>
      <c r="D353" t="s">
        <v>48</v>
      </c>
      <c r="E353" s="2" t="s">
        <v>49</v>
      </c>
      <c r="F353">
        <v>1977</v>
      </c>
      <c r="G353">
        <v>1977</v>
      </c>
      <c r="H353" s="2">
        <v>730</v>
      </c>
      <c r="I353" s="3">
        <v>730</v>
      </c>
      <c r="J353" s="4">
        <f>I353-61</f>
        <v>669</v>
      </c>
      <c r="P353" t="s">
        <v>843</v>
      </c>
      <c r="Q353" s="4" t="s">
        <v>51</v>
      </c>
      <c r="W353">
        <v>6</v>
      </c>
      <c r="X353">
        <v>12</v>
      </c>
      <c r="Y353" s="4">
        <f t="shared" si="32"/>
        <v>669</v>
      </c>
      <c r="Z353" s="4">
        <v>1</v>
      </c>
      <c r="AM353">
        <v>73</v>
      </c>
      <c r="AN353" t="s">
        <v>52</v>
      </c>
      <c r="AO353" t="s">
        <v>53</v>
      </c>
      <c r="AP353">
        <v>-26786</v>
      </c>
      <c r="AQ353">
        <v>0</v>
      </c>
      <c r="AR353" t="s">
        <v>54</v>
      </c>
      <c r="AS353" t="s">
        <v>55</v>
      </c>
      <c r="AT353" t="s">
        <v>55</v>
      </c>
      <c r="AU353" t="s">
        <v>56</v>
      </c>
      <c r="AV353">
        <v>1319</v>
      </c>
      <c r="AW353" t="s">
        <v>49</v>
      </c>
      <c r="AX353" t="s">
        <v>55</v>
      </c>
      <c r="AY353" t="s">
        <v>49</v>
      </c>
      <c r="AZ353" t="s">
        <v>59</v>
      </c>
      <c r="BA353" t="s">
        <v>55</v>
      </c>
      <c r="BB353" t="s">
        <v>49</v>
      </c>
      <c r="BC353" t="s">
        <v>49</v>
      </c>
      <c r="BD353" t="s">
        <v>49</v>
      </c>
      <c r="BE353" t="s">
        <v>55</v>
      </c>
      <c r="BF353">
        <v>25</v>
      </c>
      <c r="BG353" t="s">
        <v>60</v>
      </c>
      <c r="BH353" t="s">
        <v>142</v>
      </c>
      <c r="BI353" t="s">
        <v>62</v>
      </c>
      <c r="BJ353" t="s">
        <v>63</v>
      </c>
      <c r="BK353">
        <v>2000</v>
      </c>
      <c r="BL353">
        <v>1</v>
      </c>
      <c r="BR353">
        <f t="shared" si="33"/>
        <v>548</v>
      </c>
      <c r="BS353">
        <v>182</v>
      </c>
      <c r="BT353">
        <f t="shared" si="31"/>
        <v>1</v>
      </c>
    </row>
    <row r="354" spans="1:72" x14ac:dyDescent="0.2">
      <c r="A354" s="19" t="s">
        <v>422</v>
      </c>
      <c r="B354" s="1">
        <v>1154</v>
      </c>
      <c r="C354">
        <v>1</v>
      </c>
      <c r="D354" t="s">
        <v>48</v>
      </c>
      <c r="E354" s="2" t="s">
        <v>49</v>
      </c>
      <c r="F354">
        <v>1154</v>
      </c>
      <c r="G354">
        <v>1124</v>
      </c>
      <c r="H354" s="2">
        <v>423</v>
      </c>
      <c r="I354" s="3">
        <v>423</v>
      </c>
      <c r="J354">
        <f>I354-28</f>
        <v>395</v>
      </c>
      <c r="K354" s="5">
        <v>731</v>
      </c>
      <c r="Q354" t="s">
        <v>342</v>
      </c>
      <c r="R354" s="5" t="s">
        <v>65</v>
      </c>
      <c r="W354">
        <v>8</v>
      </c>
      <c r="X354">
        <v>24</v>
      </c>
      <c r="AE354" s="5">
        <f>K354</f>
        <v>731</v>
      </c>
      <c r="AF354" s="5">
        <v>1</v>
      </c>
      <c r="AM354">
        <v>65</v>
      </c>
      <c r="AN354" t="s">
        <v>52</v>
      </c>
      <c r="AO354" t="s">
        <v>53</v>
      </c>
      <c r="AP354">
        <v>-24018</v>
      </c>
      <c r="AQ354">
        <v>0</v>
      </c>
      <c r="AR354" t="s">
        <v>54</v>
      </c>
      <c r="AS354" t="s">
        <v>55</v>
      </c>
      <c r="AT354" t="s">
        <v>55</v>
      </c>
      <c r="AU354" t="s">
        <v>56</v>
      </c>
      <c r="AV354">
        <v>1320</v>
      </c>
      <c r="AW354" t="s">
        <v>57</v>
      </c>
      <c r="AX354" t="s">
        <v>55</v>
      </c>
      <c r="AY354" t="s">
        <v>81</v>
      </c>
      <c r="AZ354" t="s">
        <v>59</v>
      </c>
      <c r="BA354" t="s">
        <v>55</v>
      </c>
      <c r="BB354" t="s">
        <v>49</v>
      </c>
      <c r="BC354" t="s">
        <v>49</v>
      </c>
      <c r="BD354" t="s">
        <v>66</v>
      </c>
      <c r="BE354" t="s">
        <v>55</v>
      </c>
      <c r="BF354">
        <v>25</v>
      </c>
      <c r="BG354" t="s">
        <v>60</v>
      </c>
      <c r="BH354" t="s">
        <v>61</v>
      </c>
      <c r="BI354" t="s">
        <v>62</v>
      </c>
      <c r="BJ354" t="s">
        <v>63</v>
      </c>
      <c r="BK354">
        <v>2001</v>
      </c>
      <c r="BL354">
        <v>1</v>
      </c>
      <c r="BM354">
        <v>1</v>
      </c>
      <c r="BR354">
        <f t="shared" si="33"/>
        <v>243</v>
      </c>
      <c r="BS354">
        <v>180</v>
      </c>
      <c r="BT354">
        <f t="shared" si="31"/>
        <v>2</v>
      </c>
    </row>
    <row r="355" spans="1:72" x14ac:dyDescent="0.2">
      <c r="A355" s="19" t="s">
        <v>423</v>
      </c>
      <c r="B355" s="1">
        <v>1033</v>
      </c>
      <c r="C355">
        <v>1</v>
      </c>
      <c r="D355" t="s">
        <v>48</v>
      </c>
      <c r="E355" s="2" t="s">
        <v>49</v>
      </c>
      <c r="F355">
        <v>1033</v>
      </c>
      <c r="G355">
        <v>1033</v>
      </c>
      <c r="H355" s="2">
        <v>453</v>
      </c>
      <c r="I355" s="3">
        <v>453</v>
      </c>
      <c r="J355">
        <f>I355-28</f>
        <v>425</v>
      </c>
      <c r="K355" s="9">
        <v>580</v>
      </c>
      <c r="Q355" t="s">
        <v>78</v>
      </c>
      <c r="R355" s="9" t="s">
        <v>80</v>
      </c>
      <c r="W355">
        <v>8</v>
      </c>
      <c r="X355">
        <v>24</v>
      </c>
      <c r="AG355" s="9">
        <f>K355</f>
        <v>580</v>
      </c>
      <c r="AH355" s="9">
        <v>1</v>
      </c>
      <c r="AM355">
        <v>65</v>
      </c>
      <c r="AN355" t="s">
        <v>52</v>
      </c>
      <c r="AO355" t="s">
        <v>53</v>
      </c>
      <c r="AP355">
        <v>-23987</v>
      </c>
      <c r="AQ355">
        <v>0</v>
      </c>
      <c r="AR355" t="s">
        <v>54</v>
      </c>
      <c r="AS355" t="s">
        <v>55</v>
      </c>
      <c r="AT355" t="s">
        <v>55</v>
      </c>
      <c r="AU355" t="s">
        <v>56</v>
      </c>
      <c r="AV355">
        <v>1321</v>
      </c>
      <c r="AW355" t="s">
        <v>57</v>
      </c>
      <c r="AX355" t="s">
        <v>55</v>
      </c>
      <c r="AY355" t="s">
        <v>58</v>
      </c>
      <c r="AZ355" t="s">
        <v>59</v>
      </c>
      <c r="BA355" t="s">
        <v>55</v>
      </c>
      <c r="BB355" t="s">
        <v>49</v>
      </c>
      <c r="BC355" t="s">
        <v>49</v>
      </c>
      <c r="BD355" t="s">
        <v>66</v>
      </c>
      <c r="BE355" t="s">
        <v>55</v>
      </c>
      <c r="BF355">
        <v>25</v>
      </c>
      <c r="BG355" t="s">
        <v>60</v>
      </c>
      <c r="BH355" t="s">
        <v>71</v>
      </c>
      <c r="BI355" t="s">
        <v>62</v>
      </c>
      <c r="BJ355" t="s">
        <v>63</v>
      </c>
      <c r="BK355">
        <v>2001</v>
      </c>
      <c r="BL355">
        <v>1</v>
      </c>
      <c r="BM355">
        <v>1</v>
      </c>
      <c r="BR355">
        <f t="shared" si="33"/>
        <v>273</v>
      </c>
      <c r="BS355">
        <v>180</v>
      </c>
      <c r="BT355">
        <f t="shared" si="31"/>
        <v>2</v>
      </c>
    </row>
    <row r="356" spans="1:72" x14ac:dyDescent="0.2">
      <c r="A356" s="19" t="s">
        <v>424</v>
      </c>
      <c r="B356" s="1">
        <v>91</v>
      </c>
      <c r="C356">
        <v>1</v>
      </c>
      <c r="D356" t="s">
        <v>48</v>
      </c>
      <c r="E356" s="2" t="s">
        <v>49</v>
      </c>
      <c r="F356">
        <v>91</v>
      </c>
      <c r="G356">
        <v>91</v>
      </c>
      <c r="H356" s="2" t="s">
        <v>49</v>
      </c>
      <c r="I356" s="3">
        <v>91</v>
      </c>
      <c r="J356" s="4">
        <v>61</v>
      </c>
      <c r="Q356" s="4" t="s">
        <v>51</v>
      </c>
      <c r="W356">
        <v>3</v>
      </c>
      <c r="X356">
        <v>6</v>
      </c>
      <c r="Y356" s="4">
        <f>J356</f>
        <v>61</v>
      </c>
      <c r="Z356" s="4">
        <v>1</v>
      </c>
      <c r="AM356">
        <v>62</v>
      </c>
      <c r="AN356" t="s">
        <v>52</v>
      </c>
      <c r="AO356" t="s">
        <v>53</v>
      </c>
      <c r="AP356">
        <v>-22645</v>
      </c>
      <c r="AQ356">
        <v>0</v>
      </c>
      <c r="AR356" t="s">
        <v>54</v>
      </c>
      <c r="AS356" t="s">
        <v>55</v>
      </c>
      <c r="AT356" t="s">
        <v>55</v>
      </c>
      <c r="AU356" t="s">
        <v>56</v>
      </c>
      <c r="AV356">
        <v>1322</v>
      </c>
      <c r="AW356" t="s">
        <v>57</v>
      </c>
      <c r="AX356" t="s">
        <v>55</v>
      </c>
      <c r="AY356" t="s">
        <v>49</v>
      </c>
      <c r="AZ356" t="s">
        <v>59</v>
      </c>
      <c r="BA356" t="s">
        <v>55</v>
      </c>
      <c r="BB356" t="s">
        <v>49</v>
      </c>
      <c r="BC356" t="s">
        <v>49</v>
      </c>
      <c r="BD356" t="s">
        <v>49</v>
      </c>
      <c r="BE356" t="s">
        <v>55</v>
      </c>
      <c r="BF356">
        <v>25</v>
      </c>
      <c r="BG356" t="s">
        <v>60</v>
      </c>
      <c r="BH356" t="s">
        <v>82</v>
      </c>
      <c r="BI356" t="s">
        <v>83</v>
      </c>
      <c r="BJ356" t="s">
        <v>63</v>
      </c>
      <c r="BK356">
        <v>2001</v>
      </c>
      <c r="BL356">
        <v>1</v>
      </c>
      <c r="BR356">
        <f t="shared" si="33"/>
        <v>0</v>
      </c>
      <c r="BS356">
        <v>91</v>
      </c>
      <c r="BT356">
        <f t="shared" si="31"/>
        <v>1</v>
      </c>
    </row>
    <row r="357" spans="1:72" x14ac:dyDescent="0.2">
      <c r="A357" s="19" t="s">
        <v>425</v>
      </c>
      <c r="B357" s="1">
        <v>395</v>
      </c>
      <c r="C357">
        <v>1</v>
      </c>
      <c r="D357" t="s">
        <v>48</v>
      </c>
      <c r="E357" s="2">
        <v>365</v>
      </c>
      <c r="F357">
        <v>395</v>
      </c>
      <c r="G357">
        <v>365</v>
      </c>
      <c r="H357" s="2" t="s">
        <v>49</v>
      </c>
      <c r="I357" s="3">
        <v>365</v>
      </c>
      <c r="J357" s="4">
        <v>335</v>
      </c>
      <c r="K357" s="5">
        <v>30</v>
      </c>
      <c r="Q357" s="4" t="s">
        <v>51</v>
      </c>
      <c r="R357" s="5" t="s">
        <v>65</v>
      </c>
      <c r="W357">
        <v>5</v>
      </c>
      <c r="X357">
        <v>10</v>
      </c>
      <c r="Y357" s="4">
        <f>J357</f>
        <v>335</v>
      </c>
      <c r="Z357" s="4">
        <v>1</v>
      </c>
      <c r="AE357" s="5">
        <f>K357</f>
        <v>30</v>
      </c>
      <c r="AF357" s="5">
        <v>1</v>
      </c>
      <c r="AM357">
        <v>72</v>
      </c>
      <c r="AN357" t="s">
        <v>52</v>
      </c>
      <c r="AO357" t="s">
        <v>53</v>
      </c>
      <c r="AP357">
        <v>-26602</v>
      </c>
      <c r="AQ357">
        <v>0</v>
      </c>
      <c r="AR357" t="s">
        <v>54</v>
      </c>
      <c r="AS357" t="s">
        <v>55</v>
      </c>
      <c r="AT357" t="s">
        <v>55</v>
      </c>
      <c r="AU357" t="s">
        <v>56</v>
      </c>
      <c r="AV357">
        <v>1323</v>
      </c>
      <c r="AW357" t="s">
        <v>57</v>
      </c>
      <c r="AX357" t="s">
        <v>55</v>
      </c>
      <c r="AY357" t="s">
        <v>58</v>
      </c>
      <c r="AZ357" t="s">
        <v>59</v>
      </c>
      <c r="BA357" t="s">
        <v>55</v>
      </c>
      <c r="BB357" t="s">
        <v>49</v>
      </c>
      <c r="BC357" t="s">
        <v>49</v>
      </c>
      <c r="BD357" t="s">
        <v>49</v>
      </c>
      <c r="BE357" t="s">
        <v>55</v>
      </c>
      <c r="BF357">
        <v>25</v>
      </c>
      <c r="BG357" t="s">
        <v>60</v>
      </c>
      <c r="BH357" t="s">
        <v>61</v>
      </c>
      <c r="BI357" t="s">
        <v>62</v>
      </c>
      <c r="BJ357" t="s">
        <v>63</v>
      </c>
      <c r="BK357">
        <v>2001</v>
      </c>
      <c r="BL357">
        <v>1</v>
      </c>
      <c r="BM357">
        <v>1</v>
      </c>
      <c r="BR357">
        <f t="shared" si="33"/>
        <v>243</v>
      </c>
      <c r="BS357">
        <v>122</v>
      </c>
      <c r="BT357">
        <f t="shared" si="31"/>
        <v>2</v>
      </c>
    </row>
    <row r="358" spans="1:72" x14ac:dyDescent="0.2">
      <c r="A358" s="19" t="s">
        <v>426</v>
      </c>
      <c r="B358" s="1">
        <v>1035</v>
      </c>
      <c r="C358">
        <v>1</v>
      </c>
      <c r="D358" t="s">
        <v>48</v>
      </c>
      <c r="E358" s="2" t="s">
        <v>49</v>
      </c>
      <c r="F358">
        <v>1035</v>
      </c>
      <c r="G358">
        <v>1035</v>
      </c>
      <c r="H358" s="2" t="s">
        <v>49</v>
      </c>
      <c r="I358" s="3">
        <v>1035</v>
      </c>
      <c r="J358" s="4">
        <v>1035</v>
      </c>
      <c r="Q358" s="4" t="s">
        <v>51</v>
      </c>
      <c r="Y358" s="4">
        <f>J358</f>
        <v>1035</v>
      </c>
      <c r="Z358" s="4">
        <v>1</v>
      </c>
      <c r="AM358">
        <v>74</v>
      </c>
      <c r="AN358" t="s">
        <v>52</v>
      </c>
      <c r="AO358" t="s">
        <v>53</v>
      </c>
      <c r="AP358">
        <v>-27090</v>
      </c>
      <c r="AQ358">
        <v>0</v>
      </c>
      <c r="AR358" t="s">
        <v>54</v>
      </c>
      <c r="AS358" t="s">
        <v>55</v>
      </c>
      <c r="AT358" t="s">
        <v>55</v>
      </c>
      <c r="AU358" t="s">
        <v>56</v>
      </c>
      <c r="AV358">
        <v>1324</v>
      </c>
      <c r="AW358" t="s">
        <v>49</v>
      </c>
      <c r="AX358" t="s">
        <v>55</v>
      </c>
      <c r="AY358" t="s">
        <v>49</v>
      </c>
      <c r="AZ358" t="s">
        <v>59</v>
      </c>
      <c r="BA358" t="s">
        <v>55</v>
      </c>
      <c r="BB358" t="s">
        <v>49</v>
      </c>
      <c r="BC358" t="s">
        <v>49</v>
      </c>
      <c r="BD358" t="s">
        <v>49</v>
      </c>
      <c r="BE358" t="s">
        <v>55</v>
      </c>
      <c r="BF358">
        <v>25</v>
      </c>
      <c r="BG358" t="s">
        <v>60</v>
      </c>
      <c r="BH358" t="s">
        <v>61</v>
      </c>
      <c r="BI358" t="s">
        <v>62</v>
      </c>
      <c r="BJ358" t="s">
        <v>63</v>
      </c>
      <c r="BK358">
        <v>2001</v>
      </c>
      <c r="BL358">
        <v>1</v>
      </c>
      <c r="BR358">
        <f t="shared" si="33"/>
        <v>1035</v>
      </c>
      <c r="BT358">
        <f t="shared" si="31"/>
        <v>1</v>
      </c>
    </row>
    <row r="359" spans="1:72" x14ac:dyDescent="0.2">
      <c r="A359" s="19" t="s">
        <v>427</v>
      </c>
      <c r="B359" s="1">
        <v>976</v>
      </c>
      <c r="C359">
        <v>1</v>
      </c>
      <c r="D359" t="s">
        <v>48</v>
      </c>
      <c r="E359" s="2" t="s">
        <v>49</v>
      </c>
      <c r="F359">
        <v>976</v>
      </c>
      <c r="G359">
        <v>976</v>
      </c>
      <c r="H359" s="2" t="s">
        <v>49</v>
      </c>
      <c r="I359" s="3">
        <v>976</v>
      </c>
      <c r="J359" t="s">
        <v>50</v>
      </c>
      <c r="Q359" t="s">
        <v>50</v>
      </c>
      <c r="AM359">
        <v>77</v>
      </c>
      <c r="AN359" t="s">
        <v>101</v>
      </c>
      <c r="AO359" t="s">
        <v>49</v>
      </c>
      <c r="AP359">
        <v>-28183</v>
      </c>
      <c r="AQ359">
        <v>0</v>
      </c>
      <c r="AR359" t="s">
        <v>54</v>
      </c>
      <c r="AS359" t="s">
        <v>49</v>
      </c>
      <c r="AT359" t="s">
        <v>55</v>
      </c>
      <c r="AU359" t="s">
        <v>56</v>
      </c>
      <c r="AV359">
        <v>1325</v>
      </c>
      <c r="AW359" t="s">
        <v>49</v>
      </c>
      <c r="AX359" t="s">
        <v>55</v>
      </c>
      <c r="AY359" t="s">
        <v>49</v>
      </c>
      <c r="AZ359" t="s">
        <v>59</v>
      </c>
      <c r="BA359" t="s">
        <v>55</v>
      </c>
      <c r="BB359" t="s">
        <v>49</v>
      </c>
      <c r="BC359" t="s">
        <v>49</v>
      </c>
      <c r="BD359" t="s">
        <v>49</v>
      </c>
      <c r="BE359" t="s">
        <v>55</v>
      </c>
      <c r="BF359">
        <v>25</v>
      </c>
      <c r="BG359" t="s">
        <v>60</v>
      </c>
      <c r="BH359" t="s">
        <v>82</v>
      </c>
      <c r="BI359" t="s">
        <v>83</v>
      </c>
      <c r="BJ359" t="s">
        <v>63</v>
      </c>
      <c r="BK359">
        <v>2002</v>
      </c>
      <c r="BT359">
        <f t="shared" si="31"/>
        <v>0</v>
      </c>
    </row>
    <row r="360" spans="1:72" x14ac:dyDescent="0.2">
      <c r="A360" s="19" t="s">
        <v>428</v>
      </c>
      <c r="B360" s="1">
        <v>1248</v>
      </c>
      <c r="C360">
        <v>1</v>
      </c>
      <c r="D360" t="s">
        <v>48</v>
      </c>
      <c r="E360" s="2" t="s">
        <v>49</v>
      </c>
      <c r="F360">
        <v>1248</v>
      </c>
      <c r="G360">
        <v>944</v>
      </c>
      <c r="H360" s="2">
        <v>395</v>
      </c>
      <c r="I360" s="3">
        <v>395</v>
      </c>
      <c r="J360">
        <v>365</v>
      </c>
      <c r="K360" s="5">
        <v>581</v>
      </c>
      <c r="Q360" t="s">
        <v>342</v>
      </c>
      <c r="R360" s="5" t="s">
        <v>65</v>
      </c>
      <c r="W360">
        <v>8</v>
      </c>
      <c r="X360">
        <v>24</v>
      </c>
      <c r="AE360" s="5">
        <f>K360</f>
        <v>581</v>
      </c>
      <c r="AF360" s="5">
        <v>1</v>
      </c>
      <c r="AM360">
        <v>61</v>
      </c>
      <c r="AN360" t="s">
        <v>52</v>
      </c>
      <c r="AO360" t="s">
        <v>53</v>
      </c>
      <c r="AP360">
        <v>-22339</v>
      </c>
      <c r="AQ360">
        <v>0</v>
      </c>
      <c r="AR360" t="s">
        <v>54</v>
      </c>
      <c r="AS360" t="s">
        <v>55</v>
      </c>
      <c r="AT360" t="s">
        <v>55</v>
      </c>
      <c r="AU360" t="s">
        <v>56</v>
      </c>
      <c r="AV360">
        <v>1326</v>
      </c>
      <c r="AW360" t="s">
        <v>57</v>
      </c>
      <c r="AX360" t="s">
        <v>55</v>
      </c>
      <c r="AY360" t="s">
        <v>114</v>
      </c>
      <c r="AZ360" t="s">
        <v>59</v>
      </c>
      <c r="BA360" t="s">
        <v>55</v>
      </c>
      <c r="BB360" t="s">
        <v>49</v>
      </c>
      <c r="BC360" t="s">
        <v>49</v>
      </c>
      <c r="BD360" t="s">
        <v>106</v>
      </c>
      <c r="BE360" t="s">
        <v>55</v>
      </c>
      <c r="BF360">
        <v>25</v>
      </c>
      <c r="BG360" t="s">
        <v>60</v>
      </c>
      <c r="BH360" t="s">
        <v>61</v>
      </c>
      <c r="BI360" t="s">
        <v>62</v>
      </c>
      <c r="BJ360" t="s">
        <v>63</v>
      </c>
      <c r="BK360">
        <v>2002</v>
      </c>
      <c r="BL360">
        <v>1</v>
      </c>
      <c r="BM360">
        <v>1</v>
      </c>
      <c r="BR360">
        <f>I360-BS360</f>
        <v>243</v>
      </c>
      <c r="BS360">
        <v>152</v>
      </c>
      <c r="BT360">
        <f t="shared" si="31"/>
        <v>2</v>
      </c>
    </row>
    <row r="361" spans="1:72" x14ac:dyDescent="0.2">
      <c r="A361" s="19" t="s">
        <v>429</v>
      </c>
      <c r="B361" s="1">
        <v>2009</v>
      </c>
      <c r="C361">
        <v>1</v>
      </c>
      <c r="D361" t="s">
        <v>48</v>
      </c>
      <c r="E361" s="2" t="s">
        <v>49</v>
      </c>
      <c r="F361">
        <v>2009</v>
      </c>
      <c r="G361">
        <v>1979</v>
      </c>
      <c r="H361" s="2">
        <v>244</v>
      </c>
      <c r="I361" s="3">
        <v>244</v>
      </c>
      <c r="J361" s="4">
        <v>214</v>
      </c>
      <c r="K361">
        <v>1734</v>
      </c>
      <c r="Q361" s="4" t="s">
        <v>51</v>
      </c>
      <c r="R361" t="s">
        <v>430</v>
      </c>
      <c r="W361">
        <v>8</v>
      </c>
      <c r="X361">
        <v>16</v>
      </c>
      <c r="Y361" s="4">
        <f>J361</f>
        <v>214</v>
      </c>
      <c r="Z361" s="4">
        <v>1</v>
      </c>
      <c r="AM361">
        <v>38</v>
      </c>
      <c r="AN361" t="s">
        <v>52</v>
      </c>
      <c r="AO361" t="s">
        <v>53</v>
      </c>
      <c r="AP361">
        <v>-13910</v>
      </c>
      <c r="AQ361">
        <v>0</v>
      </c>
      <c r="AR361" t="s">
        <v>54</v>
      </c>
      <c r="AS361" t="s">
        <v>55</v>
      </c>
      <c r="AT361" t="s">
        <v>55</v>
      </c>
      <c r="AU361" t="s">
        <v>56</v>
      </c>
      <c r="AV361">
        <v>1328</v>
      </c>
      <c r="AW361" t="s">
        <v>57</v>
      </c>
      <c r="AX361" t="s">
        <v>55</v>
      </c>
      <c r="AY361" t="s">
        <v>114</v>
      </c>
      <c r="AZ361" t="s">
        <v>59</v>
      </c>
      <c r="BA361" t="s">
        <v>55</v>
      </c>
      <c r="BB361" t="s">
        <v>49</v>
      </c>
      <c r="BC361" t="s">
        <v>49</v>
      </c>
      <c r="BD361" t="s">
        <v>106</v>
      </c>
      <c r="BE361" t="s">
        <v>55</v>
      </c>
      <c r="BF361">
        <v>25</v>
      </c>
      <c r="BG361" t="s">
        <v>60</v>
      </c>
      <c r="BH361" t="s">
        <v>61</v>
      </c>
      <c r="BI361" t="s">
        <v>62</v>
      </c>
      <c r="BJ361" t="s">
        <v>63</v>
      </c>
      <c r="BK361">
        <v>2001</v>
      </c>
      <c r="BL361">
        <v>1</v>
      </c>
      <c r="BM361">
        <v>1</v>
      </c>
      <c r="BR361">
        <f>I361-BS361</f>
        <v>30</v>
      </c>
      <c r="BS361">
        <v>214</v>
      </c>
      <c r="BT361">
        <f t="shared" si="31"/>
        <v>2</v>
      </c>
    </row>
    <row r="362" spans="1:72" x14ac:dyDescent="0.2">
      <c r="A362" s="19" t="s">
        <v>431</v>
      </c>
      <c r="B362" s="1">
        <v>457</v>
      </c>
      <c r="C362">
        <v>1</v>
      </c>
      <c r="D362" t="s">
        <v>48</v>
      </c>
      <c r="E362" s="2" t="s">
        <v>49</v>
      </c>
      <c r="F362">
        <v>457</v>
      </c>
      <c r="G362">
        <v>90</v>
      </c>
      <c r="H362" s="2" t="s">
        <v>49</v>
      </c>
      <c r="I362" s="3">
        <v>457</v>
      </c>
      <c r="J362" t="s">
        <v>50</v>
      </c>
      <c r="Q362" t="s">
        <v>50</v>
      </c>
      <c r="AM362">
        <v>76</v>
      </c>
      <c r="AN362" t="s">
        <v>52</v>
      </c>
      <c r="AO362" t="s">
        <v>53</v>
      </c>
      <c r="AP362">
        <v>-28093</v>
      </c>
      <c r="AQ362">
        <v>0</v>
      </c>
      <c r="AR362" t="s">
        <v>54</v>
      </c>
      <c r="AS362" t="s">
        <v>49</v>
      </c>
      <c r="AT362" t="s">
        <v>49</v>
      </c>
      <c r="AU362" t="s">
        <v>56</v>
      </c>
      <c r="AV362">
        <v>1329</v>
      </c>
      <c r="AW362" t="s">
        <v>49</v>
      </c>
      <c r="AX362" t="s">
        <v>55</v>
      </c>
      <c r="AY362" t="s">
        <v>49</v>
      </c>
      <c r="AZ362" t="s">
        <v>59</v>
      </c>
      <c r="BA362" t="s">
        <v>49</v>
      </c>
      <c r="BB362" t="s">
        <v>49</v>
      </c>
      <c r="BC362" t="s">
        <v>49</v>
      </c>
      <c r="BD362" t="s">
        <v>49</v>
      </c>
      <c r="BE362" t="s">
        <v>49</v>
      </c>
      <c r="BF362">
        <v>25</v>
      </c>
      <c r="BG362" t="s">
        <v>60</v>
      </c>
      <c r="BH362" t="s">
        <v>142</v>
      </c>
      <c r="BI362" t="s">
        <v>62</v>
      </c>
      <c r="BJ362" t="s">
        <v>63</v>
      </c>
      <c r="BK362">
        <v>2002</v>
      </c>
      <c r="BT362">
        <f t="shared" si="31"/>
        <v>0</v>
      </c>
    </row>
    <row r="363" spans="1:72" x14ac:dyDescent="0.2">
      <c r="A363" s="19" t="s">
        <v>432</v>
      </c>
      <c r="B363" s="1">
        <v>565</v>
      </c>
      <c r="C363">
        <v>1</v>
      </c>
      <c r="D363" t="s">
        <v>48</v>
      </c>
      <c r="E363" s="2" t="s">
        <v>49</v>
      </c>
      <c r="F363">
        <v>565</v>
      </c>
      <c r="G363">
        <v>565</v>
      </c>
      <c r="H363" s="2">
        <v>342</v>
      </c>
      <c r="I363" s="3">
        <v>342</v>
      </c>
      <c r="J363" s="4">
        <v>312</v>
      </c>
      <c r="Q363" s="4" t="s">
        <v>51</v>
      </c>
      <c r="W363">
        <v>6</v>
      </c>
      <c r="X363">
        <v>12</v>
      </c>
      <c r="Y363" s="4">
        <f>J363</f>
        <v>312</v>
      </c>
      <c r="Z363" s="4">
        <v>1</v>
      </c>
      <c r="AM363">
        <v>71</v>
      </c>
      <c r="AN363" t="s">
        <v>52</v>
      </c>
      <c r="AO363" t="s">
        <v>53</v>
      </c>
      <c r="AP363">
        <v>-26059</v>
      </c>
      <c r="AQ363">
        <v>0</v>
      </c>
      <c r="AR363" t="s">
        <v>54</v>
      </c>
      <c r="AS363" t="s">
        <v>55</v>
      </c>
      <c r="AT363" t="s">
        <v>55</v>
      </c>
      <c r="AU363" t="s">
        <v>56</v>
      </c>
      <c r="AV363">
        <v>1623</v>
      </c>
      <c r="AW363" t="s">
        <v>57</v>
      </c>
      <c r="AX363" t="s">
        <v>55</v>
      </c>
      <c r="AY363" t="s">
        <v>58</v>
      </c>
      <c r="AZ363" t="s">
        <v>59</v>
      </c>
      <c r="BA363" t="s">
        <v>55</v>
      </c>
      <c r="BB363" t="s">
        <v>49</v>
      </c>
      <c r="BC363" t="s">
        <v>49</v>
      </c>
      <c r="BD363" t="s">
        <v>66</v>
      </c>
      <c r="BE363" t="s">
        <v>55</v>
      </c>
      <c r="BF363">
        <v>25</v>
      </c>
      <c r="BG363" t="s">
        <v>60</v>
      </c>
      <c r="BH363" t="s">
        <v>71</v>
      </c>
      <c r="BI363" t="s">
        <v>83</v>
      </c>
      <c r="BJ363" t="s">
        <v>63</v>
      </c>
      <c r="BK363">
        <v>2006</v>
      </c>
      <c r="BL363">
        <v>1</v>
      </c>
      <c r="BR363">
        <f>I363-BS363</f>
        <v>204</v>
      </c>
      <c r="BS363">
        <v>138</v>
      </c>
      <c r="BT363">
        <f t="shared" si="31"/>
        <v>1</v>
      </c>
    </row>
    <row r="364" spans="1:72" x14ac:dyDescent="0.2">
      <c r="A364" s="19" t="s">
        <v>433</v>
      </c>
      <c r="B364" s="1">
        <v>840</v>
      </c>
      <c r="C364">
        <v>1</v>
      </c>
      <c r="D364" t="s">
        <v>48</v>
      </c>
      <c r="E364" s="2" t="s">
        <v>49</v>
      </c>
      <c r="F364">
        <v>840</v>
      </c>
      <c r="G364">
        <v>548</v>
      </c>
      <c r="H364" s="2">
        <v>526</v>
      </c>
      <c r="I364" s="3">
        <v>526</v>
      </c>
      <c r="J364" s="4">
        <v>526</v>
      </c>
      <c r="P364" t="s">
        <v>843</v>
      </c>
      <c r="Q364" s="4" t="s">
        <v>51</v>
      </c>
      <c r="W364">
        <v>8</v>
      </c>
      <c r="X364">
        <v>16</v>
      </c>
      <c r="Y364" s="4">
        <f>J364</f>
        <v>526</v>
      </c>
      <c r="Z364" s="4">
        <v>1</v>
      </c>
      <c r="AM364">
        <v>66</v>
      </c>
      <c r="AN364" t="s">
        <v>52</v>
      </c>
      <c r="AO364" t="s">
        <v>53</v>
      </c>
      <c r="AP364">
        <v>-24297</v>
      </c>
      <c r="AQ364">
        <v>0</v>
      </c>
      <c r="AR364" t="s">
        <v>54</v>
      </c>
      <c r="AS364" t="s">
        <v>55</v>
      </c>
      <c r="AT364" t="s">
        <v>55</v>
      </c>
      <c r="AU364" t="s">
        <v>56</v>
      </c>
      <c r="AV364">
        <v>1625</v>
      </c>
      <c r="AW364" t="s">
        <v>57</v>
      </c>
      <c r="AX364" t="s">
        <v>55</v>
      </c>
      <c r="AY364" t="s">
        <v>92</v>
      </c>
      <c r="AZ364" t="s">
        <v>59</v>
      </c>
      <c r="BA364" t="s">
        <v>55</v>
      </c>
      <c r="BB364" t="s">
        <v>49</v>
      </c>
      <c r="BC364" t="s">
        <v>49</v>
      </c>
      <c r="BD364" t="s">
        <v>66</v>
      </c>
      <c r="BE364" t="s">
        <v>55</v>
      </c>
      <c r="BF364">
        <v>25</v>
      </c>
      <c r="BG364" t="s">
        <v>60</v>
      </c>
      <c r="BH364" t="s">
        <v>61</v>
      </c>
      <c r="BI364" t="s">
        <v>62</v>
      </c>
      <c r="BJ364" t="s">
        <v>63</v>
      </c>
      <c r="BK364">
        <v>2006</v>
      </c>
      <c r="BL364">
        <v>1</v>
      </c>
      <c r="BR364">
        <f>I364-BS364</f>
        <v>526</v>
      </c>
      <c r="BT364">
        <f t="shared" si="31"/>
        <v>1</v>
      </c>
    </row>
    <row r="365" spans="1:72" x14ac:dyDescent="0.2">
      <c r="A365" s="19" t="s">
        <v>434</v>
      </c>
      <c r="B365" s="1">
        <v>517</v>
      </c>
      <c r="C365">
        <v>1</v>
      </c>
      <c r="D365" t="s">
        <v>48</v>
      </c>
      <c r="E365" s="2" t="s">
        <v>49</v>
      </c>
      <c r="F365">
        <v>517</v>
      </c>
      <c r="G365">
        <v>480</v>
      </c>
      <c r="H365" s="2">
        <v>318</v>
      </c>
      <c r="I365" s="3">
        <v>318</v>
      </c>
      <c r="J365">
        <f>I365-20</f>
        <v>298</v>
      </c>
      <c r="K365" s="5">
        <v>198</v>
      </c>
      <c r="Q365" t="s">
        <v>78</v>
      </c>
      <c r="R365" s="5" t="s">
        <v>65</v>
      </c>
      <c r="W365">
        <v>7</v>
      </c>
      <c r="X365">
        <v>21</v>
      </c>
      <c r="AE365" s="5">
        <f>K365</f>
        <v>198</v>
      </c>
      <c r="AF365" s="5">
        <v>1</v>
      </c>
      <c r="AM365">
        <v>65</v>
      </c>
      <c r="AN365" t="s">
        <v>126</v>
      </c>
      <c r="AO365" t="s">
        <v>53</v>
      </c>
      <c r="AP365">
        <v>-23932</v>
      </c>
      <c r="AQ365">
        <v>0</v>
      </c>
      <c r="AR365" t="s">
        <v>54</v>
      </c>
      <c r="AS365" t="s">
        <v>55</v>
      </c>
      <c r="AT365" t="s">
        <v>55</v>
      </c>
      <c r="AU365" t="s">
        <v>56</v>
      </c>
      <c r="AV365">
        <v>1626</v>
      </c>
      <c r="AW365" t="s">
        <v>57</v>
      </c>
      <c r="AX365" t="s">
        <v>55</v>
      </c>
      <c r="AY365" t="s">
        <v>114</v>
      </c>
      <c r="AZ365" t="s">
        <v>59</v>
      </c>
      <c r="BA365" t="s">
        <v>55</v>
      </c>
      <c r="BB365" t="s">
        <v>49</v>
      </c>
      <c r="BC365" t="s">
        <v>49</v>
      </c>
      <c r="BD365" t="s">
        <v>66</v>
      </c>
      <c r="BE365" t="s">
        <v>55</v>
      </c>
      <c r="BF365">
        <v>25</v>
      </c>
      <c r="BG365" t="s">
        <v>60</v>
      </c>
      <c r="BH365" t="s">
        <v>82</v>
      </c>
      <c r="BI365" t="s">
        <v>62</v>
      </c>
      <c r="BJ365" t="s">
        <v>63</v>
      </c>
      <c r="BK365">
        <v>2006</v>
      </c>
      <c r="BL365">
        <v>1</v>
      </c>
      <c r="BM365">
        <v>1</v>
      </c>
      <c r="BR365">
        <f>I365-BS365</f>
        <v>111</v>
      </c>
      <c r="BS365">
        <v>207</v>
      </c>
      <c r="BT365">
        <f t="shared" si="31"/>
        <v>2</v>
      </c>
    </row>
    <row r="366" spans="1:72" x14ac:dyDescent="0.2">
      <c r="A366" s="19" t="s">
        <v>435</v>
      </c>
      <c r="B366" s="1">
        <v>394</v>
      </c>
      <c r="C366">
        <v>1</v>
      </c>
      <c r="D366" t="s">
        <v>48</v>
      </c>
      <c r="E366" s="2" t="s">
        <v>49</v>
      </c>
      <c r="F366">
        <v>394</v>
      </c>
      <c r="G366">
        <v>11</v>
      </c>
      <c r="H366" s="2" t="s">
        <v>49</v>
      </c>
      <c r="I366" s="3">
        <v>394</v>
      </c>
      <c r="J366" t="s">
        <v>50</v>
      </c>
      <c r="P366" t="s">
        <v>852</v>
      </c>
      <c r="Q366" t="s">
        <v>50</v>
      </c>
      <c r="AM366">
        <v>73</v>
      </c>
      <c r="AN366" t="s">
        <v>52</v>
      </c>
      <c r="AO366" t="s">
        <v>53</v>
      </c>
      <c r="AP366">
        <v>-26784</v>
      </c>
      <c r="AQ366">
        <v>0</v>
      </c>
      <c r="AR366" t="s">
        <v>54</v>
      </c>
      <c r="AS366" t="s">
        <v>55</v>
      </c>
      <c r="AT366" t="s">
        <v>55</v>
      </c>
      <c r="AU366" t="s">
        <v>56</v>
      </c>
      <c r="AV366">
        <v>1627</v>
      </c>
      <c r="AW366" t="s">
        <v>49</v>
      </c>
      <c r="AX366" t="s">
        <v>55</v>
      </c>
      <c r="AY366" t="s">
        <v>49</v>
      </c>
      <c r="AZ366" t="s">
        <v>59</v>
      </c>
      <c r="BA366" t="s">
        <v>55</v>
      </c>
      <c r="BB366" t="s">
        <v>49</v>
      </c>
      <c r="BC366" t="s">
        <v>49</v>
      </c>
      <c r="BD366" t="s">
        <v>49</v>
      </c>
      <c r="BE366" t="s">
        <v>55</v>
      </c>
      <c r="BF366">
        <v>25</v>
      </c>
      <c r="BG366" t="s">
        <v>60</v>
      </c>
      <c r="BH366" t="s">
        <v>61</v>
      </c>
      <c r="BI366" t="s">
        <v>62</v>
      </c>
      <c r="BJ366" t="s">
        <v>63</v>
      </c>
      <c r="BK366">
        <v>2003</v>
      </c>
      <c r="BT366">
        <f t="shared" si="31"/>
        <v>0</v>
      </c>
    </row>
    <row r="367" spans="1:72" x14ac:dyDescent="0.2">
      <c r="A367" s="19" t="s">
        <v>436</v>
      </c>
      <c r="B367" s="1">
        <v>626</v>
      </c>
      <c r="C367">
        <v>1</v>
      </c>
      <c r="D367" t="s">
        <v>48</v>
      </c>
      <c r="E367" s="2" t="s">
        <v>49</v>
      </c>
      <c r="F367">
        <v>626</v>
      </c>
      <c r="G367">
        <v>626</v>
      </c>
      <c r="H367" s="2">
        <v>286</v>
      </c>
      <c r="I367" s="3">
        <v>286</v>
      </c>
      <c r="J367" s="4">
        <v>266</v>
      </c>
      <c r="K367" s="7">
        <v>328</v>
      </c>
      <c r="Q367" s="4" t="s">
        <v>51</v>
      </c>
      <c r="R367" s="7" t="s">
        <v>75</v>
      </c>
      <c r="W367">
        <v>8</v>
      </c>
      <c r="X367">
        <v>16</v>
      </c>
      <c r="Y367" s="4">
        <f>J367</f>
        <v>266</v>
      </c>
      <c r="Z367" s="4">
        <v>1</v>
      </c>
      <c r="AI367" s="7">
        <f>K367</f>
        <v>328</v>
      </c>
      <c r="AJ367" s="7">
        <v>1</v>
      </c>
      <c r="AK367" s="8"/>
      <c r="AL367" s="8"/>
      <c r="AM367">
        <v>67</v>
      </c>
      <c r="AN367" t="s">
        <v>49</v>
      </c>
      <c r="AO367" t="s">
        <v>53</v>
      </c>
      <c r="AP367">
        <v>-24488</v>
      </c>
      <c r="AQ367">
        <v>0</v>
      </c>
      <c r="AR367" t="s">
        <v>54</v>
      </c>
      <c r="AS367" t="s">
        <v>55</v>
      </c>
      <c r="AT367" t="s">
        <v>55</v>
      </c>
      <c r="AU367" t="s">
        <v>56</v>
      </c>
      <c r="AV367">
        <v>1628</v>
      </c>
      <c r="AW367" t="s">
        <v>57</v>
      </c>
      <c r="AX367" t="s">
        <v>55</v>
      </c>
      <c r="AY367" t="s">
        <v>92</v>
      </c>
      <c r="AZ367" t="s">
        <v>59</v>
      </c>
      <c r="BA367" t="s">
        <v>55</v>
      </c>
      <c r="BB367" t="s">
        <v>49</v>
      </c>
      <c r="BC367" t="s">
        <v>49</v>
      </c>
      <c r="BD367" t="s">
        <v>66</v>
      </c>
      <c r="BE367" t="s">
        <v>55</v>
      </c>
      <c r="BF367">
        <v>25</v>
      </c>
      <c r="BG367" t="s">
        <v>60</v>
      </c>
      <c r="BH367" t="s">
        <v>61</v>
      </c>
      <c r="BI367" t="s">
        <v>62</v>
      </c>
      <c r="BJ367" t="s">
        <v>63</v>
      </c>
      <c r="BK367">
        <v>2002</v>
      </c>
      <c r="BL367">
        <v>1</v>
      </c>
      <c r="BM367">
        <v>1</v>
      </c>
      <c r="BR367">
        <f>I367-BS367</f>
        <v>105</v>
      </c>
      <c r="BS367">
        <v>181</v>
      </c>
      <c r="BT367">
        <f t="shared" si="31"/>
        <v>2</v>
      </c>
    </row>
    <row r="368" spans="1:72" x14ac:dyDescent="0.2">
      <c r="A368" s="19" t="s">
        <v>437</v>
      </c>
      <c r="B368" s="1">
        <v>1162</v>
      </c>
      <c r="C368">
        <v>1</v>
      </c>
      <c r="D368" t="s">
        <v>48</v>
      </c>
      <c r="E368" s="2" t="s">
        <v>49</v>
      </c>
      <c r="F368">
        <v>1162</v>
      </c>
      <c r="G368">
        <v>239</v>
      </c>
      <c r="H368" s="2" t="s">
        <v>49</v>
      </c>
      <c r="I368" s="3">
        <v>1162</v>
      </c>
      <c r="J368" s="4">
        <v>1132</v>
      </c>
      <c r="Q368" s="4" t="s">
        <v>51</v>
      </c>
      <c r="W368">
        <v>6</v>
      </c>
      <c r="X368">
        <v>12</v>
      </c>
      <c r="Y368" s="4">
        <f>J368</f>
        <v>1132</v>
      </c>
      <c r="Z368" s="4">
        <v>1</v>
      </c>
      <c r="AM368">
        <v>73</v>
      </c>
      <c r="AN368" t="s">
        <v>52</v>
      </c>
      <c r="AO368" t="s">
        <v>53</v>
      </c>
      <c r="AP368">
        <v>-27005</v>
      </c>
      <c r="AQ368">
        <v>0</v>
      </c>
      <c r="AR368" t="s">
        <v>54</v>
      </c>
      <c r="AS368" t="s">
        <v>55</v>
      </c>
      <c r="AT368" t="s">
        <v>55</v>
      </c>
      <c r="AU368" t="s">
        <v>56</v>
      </c>
      <c r="AV368">
        <v>1630</v>
      </c>
      <c r="AW368" t="s">
        <v>49</v>
      </c>
      <c r="AX368" t="s">
        <v>55</v>
      </c>
      <c r="AY368" t="s">
        <v>58</v>
      </c>
      <c r="AZ368" t="s">
        <v>59</v>
      </c>
      <c r="BA368" t="s">
        <v>55</v>
      </c>
      <c r="BB368" t="s">
        <v>49</v>
      </c>
      <c r="BC368" t="s">
        <v>49</v>
      </c>
      <c r="BD368" t="s">
        <v>49</v>
      </c>
      <c r="BE368" t="s">
        <v>55</v>
      </c>
      <c r="BF368">
        <v>25</v>
      </c>
      <c r="BG368" t="s">
        <v>60</v>
      </c>
      <c r="BH368" t="s">
        <v>61</v>
      </c>
      <c r="BI368" t="s">
        <v>62</v>
      </c>
      <c r="BJ368" t="s">
        <v>63</v>
      </c>
      <c r="BK368">
        <v>2002</v>
      </c>
      <c r="BL368">
        <v>1</v>
      </c>
      <c r="BR368">
        <f>I368-BS368</f>
        <v>1003</v>
      </c>
      <c r="BS368">
        <v>159</v>
      </c>
      <c r="BT368">
        <f t="shared" si="31"/>
        <v>1</v>
      </c>
    </row>
    <row r="369" spans="1:72" x14ac:dyDescent="0.2">
      <c r="A369" s="19" t="s">
        <v>438</v>
      </c>
      <c r="B369" s="1">
        <v>9</v>
      </c>
      <c r="C369">
        <v>1</v>
      </c>
      <c r="D369" t="s">
        <v>48</v>
      </c>
      <c r="E369" s="2" t="s">
        <v>49</v>
      </c>
      <c r="F369">
        <v>9</v>
      </c>
      <c r="G369">
        <v>9</v>
      </c>
      <c r="H369" s="2" t="s">
        <v>49</v>
      </c>
      <c r="I369" s="3">
        <v>9</v>
      </c>
      <c r="Q369" t="s">
        <v>50</v>
      </c>
      <c r="AM369">
        <v>73</v>
      </c>
      <c r="AN369" t="s">
        <v>52</v>
      </c>
      <c r="AO369" t="s">
        <v>55</v>
      </c>
      <c r="AP369">
        <v>-26687</v>
      </c>
      <c r="AQ369">
        <v>0</v>
      </c>
      <c r="AR369" t="s">
        <v>54</v>
      </c>
      <c r="AS369" t="s">
        <v>55</v>
      </c>
      <c r="AT369" t="s">
        <v>55</v>
      </c>
      <c r="AU369" t="s">
        <v>56</v>
      </c>
      <c r="AV369">
        <v>1631</v>
      </c>
      <c r="AW369" t="s">
        <v>70</v>
      </c>
      <c r="AX369" t="s">
        <v>55</v>
      </c>
      <c r="AY369" t="s">
        <v>49</v>
      </c>
      <c r="AZ369" t="s">
        <v>59</v>
      </c>
      <c r="BA369" t="s">
        <v>55</v>
      </c>
      <c r="BB369" t="s">
        <v>49</v>
      </c>
      <c r="BC369" t="s">
        <v>49</v>
      </c>
      <c r="BD369" t="s">
        <v>49</v>
      </c>
      <c r="BE369" t="s">
        <v>55</v>
      </c>
      <c r="BF369">
        <v>25</v>
      </c>
      <c r="BG369" t="s">
        <v>60</v>
      </c>
      <c r="BH369" t="s">
        <v>61</v>
      </c>
      <c r="BI369" t="s">
        <v>62</v>
      </c>
      <c r="BJ369" t="s">
        <v>63</v>
      </c>
      <c r="BK369">
        <v>2002</v>
      </c>
      <c r="BT369">
        <f t="shared" si="31"/>
        <v>0</v>
      </c>
    </row>
    <row r="370" spans="1:72" x14ac:dyDescent="0.2">
      <c r="A370" s="19" t="s">
        <v>439</v>
      </c>
      <c r="B370" s="1">
        <v>1799</v>
      </c>
      <c r="C370">
        <v>1</v>
      </c>
      <c r="D370" t="s">
        <v>48</v>
      </c>
      <c r="E370" s="2" t="s">
        <v>49</v>
      </c>
      <c r="F370">
        <v>1799</v>
      </c>
      <c r="G370">
        <v>1732</v>
      </c>
      <c r="H370" s="2">
        <v>537</v>
      </c>
      <c r="I370" s="3">
        <v>537</v>
      </c>
      <c r="J370">
        <f>I370-82</f>
        <v>455</v>
      </c>
      <c r="K370" s="4">
        <v>1233</v>
      </c>
      <c r="Q370" t="s">
        <v>96</v>
      </c>
      <c r="R370" s="4" t="s">
        <v>51</v>
      </c>
      <c r="W370">
        <v>8</v>
      </c>
      <c r="X370">
        <v>24</v>
      </c>
      <c r="Y370" s="4">
        <f>K370</f>
        <v>1233</v>
      </c>
      <c r="Z370" s="4">
        <v>1</v>
      </c>
      <c r="AM370">
        <v>68</v>
      </c>
      <c r="AN370" t="s">
        <v>52</v>
      </c>
      <c r="AO370" t="s">
        <v>53</v>
      </c>
      <c r="AP370">
        <v>-24992</v>
      </c>
      <c r="AQ370">
        <v>0</v>
      </c>
      <c r="AR370" t="s">
        <v>54</v>
      </c>
      <c r="AS370" t="s">
        <v>55</v>
      </c>
      <c r="AT370" t="s">
        <v>55</v>
      </c>
      <c r="AU370" t="s">
        <v>56</v>
      </c>
      <c r="AV370">
        <v>1632</v>
      </c>
      <c r="AW370" t="s">
        <v>57</v>
      </c>
      <c r="AX370" t="s">
        <v>55</v>
      </c>
      <c r="AY370" t="s">
        <v>58</v>
      </c>
      <c r="AZ370" t="s">
        <v>59</v>
      </c>
      <c r="BA370" t="s">
        <v>55</v>
      </c>
      <c r="BB370" t="s">
        <v>49</v>
      </c>
      <c r="BC370" t="s">
        <v>49</v>
      </c>
      <c r="BD370" t="s">
        <v>66</v>
      </c>
      <c r="BE370" t="s">
        <v>55</v>
      </c>
      <c r="BF370">
        <v>25</v>
      </c>
      <c r="BG370" t="s">
        <v>60</v>
      </c>
      <c r="BH370" t="s">
        <v>61</v>
      </c>
      <c r="BI370" t="s">
        <v>83</v>
      </c>
      <c r="BJ370" t="s">
        <v>63</v>
      </c>
      <c r="BK370">
        <v>2002</v>
      </c>
      <c r="BL370">
        <v>1</v>
      </c>
      <c r="BM370">
        <v>1</v>
      </c>
      <c r="BR370">
        <f t="shared" ref="BR370:BR378" si="34">I370-BS370</f>
        <v>337</v>
      </c>
      <c r="BS370">
        <v>200</v>
      </c>
      <c r="BT370">
        <f t="shared" si="31"/>
        <v>2</v>
      </c>
    </row>
    <row r="371" spans="1:72" x14ac:dyDescent="0.2">
      <c r="A371" s="19" t="s">
        <v>440</v>
      </c>
      <c r="B371" s="1">
        <v>1891</v>
      </c>
      <c r="C371">
        <v>1</v>
      </c>
      <c r="D371" t="s">
        <v>48</v>
      </c>
      <c r="E371" s="2" t="s">
        <v>49</v>
      </c>
      <c r="F371">
        <v>1891</v>
      </c>
      <c r="G371">
        <v>1843</v>
      </c>
      <c r="H371" s="2">
        <v>616</v>
      </c>
      <c r="I371" s="3">
        <v>616</v>
      </c>
      <c r="J371">
        <f>I371-26</f>
        <v>590</v>
      </c>
      <c r="K371" s="4">
        <v>1274</v>
      </c>
      <c r="Q371" t="s">
        <v>78</v>
      </c>
      <c r="R371" s="4" t="s">
        <v>51</v>
      </c>
      <c r="W371">
        <v>8</v>
      </c>
      <c r="X371">
        <v>24</v>
      </c>
      <c r="Y371" s="4">
        <f>K371</f>
        <v>1274</v>
      </c>
      <c r="Z371" s="4">
        <v>1</v>
      </c>
      <c r="AM371">
        <v>64</v>
      </c>
      <c r="AN371" t="s">
        <v>52</v>
      </c>
      <c r="AO371" t="s">
        <v>53</v>
      </c>
      <c r="AP371">
        <v>-23407</v>
      </c>
      <c r="AQ371">
        <v>0</v>
      </c>
      <c r="AR371" t="s">
        <v>54</v>
      </c>
      <c r="AS371" t="s">
        <v>55</v>
      </c>
      <c r="AT371" t="s">
        <v>55</v>
      </c>
      <c r="AU371" t="s">
        <v>56</v>
      </c>
      <c r="AV371">
        <v>1633</v>
      </c>
      <c r="AW371" t="s">
        <v>57</v>
      </c>
      <c r="AX371" t="s">
        <v>55</v>
      </c>
      <c r="AY371" t="s">
        <v>58</v>
      </c>
      <c r="AZ371" t="s">
        <v>59</v>
      </c>
      <c r="BA371" t="s">
        <v>55</v>
      </c>
      <c r="BB371" t="s">
        <v>49</v>
      </c>
      <c r="BC371" t="s">
        <v>49</v>
      </c>
      <c r="BD371" t="s">
        <v>66</v>
      </c>
      <c r="BE371" t="s">
        <v>55</v>
      </c>
      <c r="BF371">
        <v>25</v>
      </c>
      <c r="BG371" t="s">
        <v>60</v>
      </c>
      <c r="BH371" t="s">
        <v>61</v>
      </c>
      <c r="BI371" t="s">
        <v>62</v>
      </c>
      <c r="BJ371" t="s">
        <v>63</v>
      </c>
      <c r="BK371">
        <v>2002</v>
      </c>
      <c r="BL371">
        <v>1</v>
      </c>
      <c r="BM371">
        <v>1</v>
      </c>
      <c r="BR371">
        <f t="shared" si="34"/>
        <v>432</v>
      </c>
      <c r="BS371">
        <v>184</v>
      </c>
      <c r="BT371">
        <f t="shared" si="31"/>
        <v>2</v>
      </c>
    </row>
    <row r="372" spans="1:72" x14ac:dyDescent="0.2">
      <c r="A372" s="19" t="s">
        <v>441</v>
      </c>
      <c r="B372" s="1">
        <v>1091</v>
      </c>
      <c r="C372">
        <v>1</v>
      </c>
      <c r="D372" t="s">
        <v>48</v>
      </c>
      <c r="E372" s="2" t="s">
        <v>49</v>
      </c>
      <c r="F372">
        <v>1091</v>
      </c>
      <c r="G372">
        <v>1081</v>
      </c>
      <c r="H372" s="2">
        <v>380</v>
      </c>
      <c r="I372" s="3">
        <v>380</v>
      </c>
      <c r="J372">
        <f>I372-29</f>
        <v>351</v>
      </c>
      <c r="P372" t="s">
        <v>853</v>
      </c>
      <c r="Q372" t="s">
        <v>342</v>
      </c>
      <c r="W372">
        <v>8</v>
      </c>
      <c r="X372">
        <v>24</v>
      </c>
      <c r="AM372">
        <v>76</v>
      </c>
      <c r="AN372" t="s">
        <v>52</v>
      </c>
      <c r="AO372" t="s">
        <v>53</v>
      </c>
      <c r="AP372">
        <v>-27749</v>
      </c>
      <c r="AQ372">
        <v>0</v>
      </c>
      <c r="AR372" t="s">
        <v>54</v>
      </c>
      <c r="AS372" t="s">
        <v>55</v>
      </c>
      <c r="AT372" t="s">
        <v>55</v>
      </c>
      <c r="AU372" t="s">
        <v>56</v>
      </c>
      <c r="AV372">
        <v>1634</v>
      </c>
      <c r="AW372" t="s">
        <v>57</v>
      </c>
      <c r="AX372" t="s">
        <v>55</v>
      </c>
      <c r="AY372" t="s">
        <v>58</v>
      </c>
      <c r="AZ372" t="s">
        <v>59</v>
      </c>
      <c r="BA372" t="s">
        <v>55</v>
      </c>
      <c r="BB372" t="s">
        <v>49</v>
      </c>
      <c r="BC372" t="s">
        <v>49</v>
      </c>
      <c r="BD372" t="s">
        <v>66</v>
      </c>
      <c r="BE372" t="s">
        <v>55</v>
      </c>
      <c r="BF372">
        <v>25</v>
      </c>
      <c r="BG372" t="s">
        <v>60</v>
      </c>
      <c r="BH372" t="s">
        <v>71</v>
      </c>
      <c r="BI372" t="s">
        <v>62</v>
      </c>
      <c r="BJ372" t="s">
        <v>63</v>
      </c>
      <c r="BK372">
        <v>2002</v>
      </c>
      <c r="BL372">
        <v>1</v>
      </c>
      <c r="BR372">
        <f t="shared" si="34"/>
        <v>174</v>
      </c>
      <c r="BS372">
        <v>206</v>
      </c>
      <c r="BT372">
        <f t="shared" si="31"/>
        <v>1</v>
      </c>
    </row>
    <row r="373" spans="1:72" x14ac:dyDescent="0.2">
      <c r="A373" s="19" t="s">
        <v>442</v>
      </c>
      <c r="B373" s="1">
        <v>1583</v>
      </c>
      <c r="C373">
        <v>1</v>
      </c>
      <c r="D373" t="s">
        <v>48</v>
      </c>
      <c r="E373" s="2" t="s">
        <v>49</v>
      </c>
      <c r="F373">
        <v>1583</v>
      </c>
      <c r="G373">
        <v>1558</v>
      </c>
      <c r="H373" s="2">
        <v>614</v>
      </c>
      <c r="I373" s="3">
        <v>614</v>
      </c>
      <c r="J373">
        <v>590</v>
      </c>
      <c r="K373" s="4">
        <v>969</v>
      </c>
      <c r="Q373" t="s">
        <v>78</v>
      </c>
      <c r="R373" s="4" t="s">
        <v>51</v>
      </c>
      <c r="W373">
        <v>8</v>
      </c>
      <c r="X373">
        <v>24</v>
      </c>
      <c r="Y373" s="4">
        <f>K373</f>
        <v>969</v>
      </c>
      <c r="Z373" s="4">
        <v>1</v>
      </c>
      <c r="AM373">
        <v>71</v>
      </c>
      <c r="AN373" t="s">
        <v>52</v>
      </c>
      <c r="AO373" t="s">
        <v>53</v>
      </c>
      <c r="AP373">
        <v>-26199</v>
      </c>
      <c r="AQ373">
        <v>0</v>
      </c>
      <c r="AR373" t="s">
        <v>54</v>
      </c>
      <c r="AS373" t="s">
        <v>55</v>
      </c>
      <c r="AT373" t="s">
        <v>55</v>
      </c>
      <c r="AU373" t="s">
        <v>56</v>
      </c>
      <c r="AV373">
        <v>1635</v>
      </c>
      <c r="AW373" t="s">
        <v>57</v>
      </c>
      <c r="AX373" t="s">
        <v>55</v>
      </c>
      <c r="AY373" t="s">
        <v>58</v>
      </c>
      <c r="AZ373" t="s">
        <v>59</v>
      </c>
      <c r="BA373" t="s">
        <v>55</v>
      </c>
      <c r="BB373" t="s">
        <v>49</v>
      </c>
      <c r="BC373" t="s">
        <v>49</v>
      </c>
      <c r="BD373" t="s">
        <v>66</v>
      </c>
      <c r="BE373" t="s">
        <v>55</v>
      </c>
      <c r="BF373">
        <v>25</v>
      </c>
      <c r="BG373" t="s">
        <v>60</v>
      </c>
      <c r="BH373" t="s">
        <v>61</v>
      </c>
      <c r="BI373" t="s">
        <v>62</v>
      </c>
      <c r="BJ373" t="s">
        <v>63</v>
      </c>
      <c r="BK373">
        <v>2002</v>
      </c>
      <c r="BL373">
        <v>1</v>
      </c>
      <c r="BM373">
        <v>1</v>
      </c>
      <c r="BR373">
        <f t="shared" si="34"/>
        <v>381</v>
      </c>
      <c r="BS373">
        <v>233</v>
      </c>
      <c r="BT373">
        <f t="shared" si="31"/>
        <v>2</v>
      </c>
    </row>
    <row r="374" spans="1:72" x14ac:dyDescent="0.2">
      <c r="A374" s="19" t="s">
        <v>443</v>
      </c>
      <c r="B374" s="1">
        <v>454</v>
      </c>
      <c r="C374">
        <v>1</v>
      </c>
      <c r="D374" t="s">
        <v>48</v>
      </c>
      <c r="E374" s="2" t="s">
        <v>49</v>
      </c>
      <c r="F374">
        <v>454</v>
      </c>
      <c r="G374">
        <v>454</v>
      </c>
      <c r="H374" s="2">
        <v>242</v>
      </c>
      <c r="I374" s="3">
        <v>242</v>
      </c>
      <c r="J374">
        <f>I374-31</f>
        <v>211</v>
      </c>
      <c r="Q374" t="s">
        <v>411</v>
      </c>
      <c r="W374">
        <v>4</v>
      </c>
      <c r="X374">
        <v>8</v>
      </c>
      <c r="AM374">
        <v>59</v>
      </c>
      <c r="AN374" t="s">
        <v>52</v>
      </c>
      <c r="AO374" t="s">
        <v>53</v>
      </c>
      <c r="AP374">
        <v>-21550</v>
      </c>
      <c r="AQ374">
        <v>0</v>
      </c>
      <c r="AR374" t="s">
        <v>54</v>
      </c>
      <c r="AS374" t="s">
        <v>55</v>
      </c>
      <c r="AT374" t="s">
        <v>55</v>
      </c>
      <c r="AU374" t="s">
        <v>56</v>
      </c>
      <c r="AV374">
        <v>1870</v>
      </c>
      <c r="AW374" t="s">
        <v>57</v>
      </c>
      <c r="AX374" t="s">
        <v>55</v>
      </c>
      <c r="AY374" t="s">
        <v>114</v>
      </c>
      <c r="AZ374" t="s">
        <v>59</v>
      </c>
      <c r="BA374" t="s">
        <v>55</v>
      </c>
      <c r="BB374" t="s">
        <v>49</v>
      </c>
      <c r="BC374" t="s">
        <v>49</v>
      </c>
      <c r="BD374" t="s">
        <v>66</v>
      </c>
      <c r="BE374" t="s">
        <v>55</v>
      </c>
      <c r="BF374">
        <v>25</v>
      </c>
      <c r="BG374" t="s">
        <v>60</v>
      </c>
      <c r="BH374" t="s">
        <v>142</v>
      </c>
      <c r="BI374" t="s">
        <v>62</v>
      </c>
      <c r="BJ374" t="s">
        <v>63</v>
      </c>
      <c r="BK374">
        <v>1994</v>
      </c>
      <c r="BL374">
        <v>1</v>
      </c>
      <c r="BR374">
        <f t="shared" si="34"/>
        <v>85</v>
      </c>
      <c r="BS374">
        <v>157</v>
      </c>
      <c r="BT374">
        <f t="shared" si="31"/>
        <v>1</v>
      </c>
    </row>
    <row r="375" spans="1:72" x14ac:dyDescent="0.2">
      <c r="A375" s="19" t="s">
        <v>444</v>
      </c>
      <c r="B375" s="1">
        <v>760</v>
      </c>
      <c r="C375">
        <v>1</v>
      </c>
      <c r="D375" t="s">
        <v>48</v>
      </c>
      <c r="E375" s="2" t="s">
        <v>49</v>
      </c>
      <c r="F375">
        <v>760</v>
      </c>
      <c r="G375">
        <v>760</v>
      </c>
      <c r="H375" s="2">
        <v>230</v>
      </c>
      <c r="I375" s="3">
        <v>230</v>
      </c>
      <c r="J375" s="11">
        <f>I375-47</f>
        <v>183</v>
      </c>
      <c r="K375" s="6">
        <v>527</v>
      </c>
      <c r="Q375" s="11" t="s">
        <v>90</v>
      </c>
      <c r="R375" s="6" t="s">
        <v>74</v>
      </c>
      <c r="W375">
        <v>6</v>
      </c>
      <c r="X375">
        <v>12</v>
      </c>
      <c r="AA375" s="11">
        <f>J375</f>
        <v>183</v>
      </c>
      <c r="AB375" s="11">
        <v>1</v>
      </c>
      <c r="AC375" s="6">
        <f>K375</f>
        <v>527</v>
      </c>
      <c r="AD375" s="6">
        <v>1</v>
      </c>
      <c r="AM375">
        <v>70</v>
      </c>
      <c r="AN375" t="s">
        <v>52</v>
      </c>
      <c r="AO375" t="s">
        <v>53</v>
      </c>
      <c r="AP375">
        <v>-25626</v>
      </c>
      <c r="AQ375">
        <v>0</v>
      </c>
      <c r="AR375" t="s">
        <v>54</v>
      </c>
      <c r="AS375" t="s">
        <v>55</v>
      </c>
      <c r="AT375" t="s">
        <v>55</v>
      </c>
      <c r="AU375" t="s">
        <v>56</v>
      </c>
      <c r="AV375">
        <v>1871</v>
      </c>
      <c r="AW375" t="s">
        <v>57</v>
      </c>
      <c r="AX375" t="s">
        <v>55</v>
      </c>
      <c r="AY375" t="s">
        <v>81</v>
      </c>
      <c r="AZ375" t="s">
        <v>59</v>
      </c>
      <c r="BA375" t="s">
        <v>55</v>
      </c>
      <c r="BB375" t="s">
        <v>49</v>
      </c>
      <c r="BC375" t="s">
        <v>49</v>
      </c>
      <c r="BD375" t="s">
        <v>66</v>
      </c>
      <c r="BE375" t="s">
        <v>55</v>
      </c>
      <c r="BF375">
        <v>25</v>
      </c>
      <c r="BG375" t="s">
        <v>60</v>
      </c>
      <c r="BH375" t="s">
        <v>142</v>
      </c>
      <c r="BI375" t="s">
        <v>62</v>
      </c>
      <c r="BJ375" t="s">
        <v>63</v>
      </c>
      <c r="BK375">
        <v>1993</v>
      </c>
      <c r="BL375">
        <v>1</v>
      </c>
      <c r="BM375">
        <v>1</v>
      </c>
      <c r="BR375">
        <f t="shared" si="34"/>
        <v>57</v>
      </c>
      <c r="BS375">
        <v>173</v>
      </c>
      <c r="BT375">
        <f t="shared" si="31"/>
        <v>2</v>
      </c>
    </row>
    <row r="376" spans="1:72" x14ac:dyDescent="0.2">
      <c r="A376" s="19" t="s">
        <v>445</v>
      </c>
      <c r="B376" s="1">
        <v>730</v>
      </c>
      <c r="C376">
        <v>1</v>
      </c>
      <c r="D376" t="s">
        <v>48</v>
      </c>
      <c r="E376" s="2" t="s">
        <v>49</v>
      </c>
      <c r="F376">
        <v>730</v>
      </c>
      <c r="G376">
        <v>549</v>
      </c>
      <c r="H376" s="2">
        <v>549</v>
      </c>
      <c r="I376" s="3">
        <v>549</v>
      </c>
      <c r="J376">
        <f>I376-31</f>
        <v>518</v>
      </c>
      <c r="K376" s="6">
        <f>730-549</f>
        <v>181</v>
      </c>
      <c r="Q376" t="s">
        <v>411</v>
      </c>
      <c r="R376" s="6" t="s">
        <v>74</v>
      </c>
      <c r="AC376" s="6">
        <f>K376</f>
        <v>181</v>
      </c>
      <c r="AD376" s="6">
        <v>0</v>
      </c>
      <c r="AM376">
        <v>81</v>
      </c>
      <c r="AN376" t="s">
        <v>101</v>
      </c>
      <c r="AO376" t="s">
        <v>53</v>
      </c>
      <c r="AP376">
        <v>-29614</v>
      </c>
      <c r="AQ376">
        <v>0</v>
      </c>
      <c r="AR376" t="s">
        <v>54</v>
      </c>
      <c r="AS376" t="s">
        <v>55</v>
      </c>
      <c r="AT376" t="s">
        <v>55</v>
      </c>
      <c r="AU376" t="s">
        <v>56</v>
      </c>
      <c r="AV376">
        <v>1877</v>
      </c>
      <c r="AW376" t="s">
        <v>57</v>
      </c>
      <c r="AX376" t="s">
        <v>55</v>
      </c>
      <c r="AY376" t="s">
        <v>58</v>
      </c>
      <c r="AZ376" t="s">
        <v>59</v>
      </c>
      <c r="BA376" t="s">
        <v>55</v>
      </c>
      <c r="BB376" t="s">
        <v>49</v>
      </c>
      <c r="BC376" t="s">
        <v>49</v>
      </c>
      <c r="BD376" t="s">
        <v>66</v>
      </c>
      <c r="BE376" t="s">
        <v>55</v>
      </c>
      <c r="BF376">
        <v>25</v>
      </c>
      <c r="BG376" t="s">
        <v>60</v>
      </c>
      <c r="BH376" t="s">
        <v>61</v>
      </c>
      <c r="BI376" t="s">
        <v>62</v>
      </c>
      <c r="BJ376" t="s">
        <v>63</v>
      </c>
      <c r="BK376">
        <v>1993</v>
      </c>
      <c r="BL376">
        <v>1</v>
      </c>
      <c r="BM376">
        <v>1</v>
      </c>
      <c r="BR376">
        <f t="shared" si="34"/>
        <v>549</v>
      </c>
      <c r="BT376">
        <f t="shared" si="31"/>
        <v>2</v>
      </c>
    </row>
    <row r="377" spans="1:72" x14ac:dyDescent="0.2">
      <c r="A377" s="19" t="s">
        <v>446</v>
      </c>
      <c r="B377" s="1">
        <v>2587</v>
      </c>
      <c r="C377">
        <v>1</v>
      </c>
      <c r="D377" t="s">
        <v>48</v>
      </c>
      <c r="E377" s="2" t="s">
        <v>49</v>
      </c>
      <c r="F377">
        <v>2587</v>
      </c>
      <c r="G377">
        <v>2587</v>
      </c>
      <c r="H377" s="2">
        <v>971</v>
      </c>
      <c r="I377" s="3">
        <v>971</v>
      </c>
      <c r="J377">
        <f>I377-61</f>
        <v>910</v>
      </c>
      <c r="K377" s="4">
        <v>1611</v>
      </c>
      <c r="Q377" t="s">
        <v>411</v>
      </c>
      <c r="R377" s="4" t="s">
        <v>51</v>
      </c>
      <c r="W377">
        <v>6</v>
      </c>
      <c r="X377">
        <v>12</v>
      </c>
      <c r="Y377" s="4">
        <f>K377</f>
        <v>1611</v>
      </c>
      <c r="Z377" s="4">
        <v>1</v>
      </c>
      <c r="AM377">
        <v>60</v>
      </c>
      <c r="AN377" t="s">
        <v>52</v>
      </c>
      <c r="AO377" t="s">
        <v>53</v>
      </c>
      <c r="AP377">
        <v>-22034</v>
      </c>
      <c r="AQ377">
        <v>0</v>
      </c>
      <c r="AR377" t="s">
        <v>54</v>
      </c>
      <c r="AS377" t="s">
        <v>55</v>
      </c>
      <c r="AT377" t="s">
        <v>55</v>
      </c>
      <c r="AU377" t="s">
        <v>56</v>
      </c>
      <c r="AV377">
        <v>1878</v>
      </c>
      <c r="AW377" t="s">
        <v>57</v>
      </c>
      <c r="AX377" t="s">
        <v>55</v>
      </c>
      <c r="AY377" t="s">
        <v>58</v>
      </c>
      <c r="AZ377" t="s">
        <v>59</v>
      </c>
      <c r="BA377" t="s">
        <v>55</v>
      </c>
      <c r="BB377" t="s">
        <v>49</v>
      </c>
      <c r="BC377" t="s">
        <v>49</v>
      </c>
      <c r="BD377" t="s">
        <v>66</v>
      </c>
      <c r="BE377" t="s">
        <v>55</v>
      </c>
      <c r="BF377">
        <v>25</v>
      </c>
      <c r="BG377" t="s">
        <v>60</v>
      </c>
      <c r="BH377" t="s">
        <v>61</v>
      </c>
      <c r="BI377" t="s">
        <v>62</v>
      </c>
      <c r="BJ377" t="s">
        <v>63</v>
      </c>
      <c r="BK377">
        <v>1994</v>
      </c>
      <c r="BL377">
        <v>1</v>
      </c>
      <c r="BM377">
        <v>1</v>
      </c>
      <c r="BR377">
        <f t="shared" si="34"/>
        <v>971</v>
      </c>
      <c r="BT377">
        <f t="shared" si="31"/>
        <v>2</v>
      </c>
    </row>
    <row r="378" spans="1:72" x14ac:dyDescent="0.2">
      <c r="A378" s="19" t="s">
        <v>447</v>
      </c>
      <c r="B378" s="1">
        <v>396</v>
      </c>
      <c r="C378">
        <v>1</v>
      </c>
      <c r="D378" t="s">
        <v>48</v>
      </c>
      <c r="E378" s="2" t="s">
        <v>49</v>
      </c>
      <c r="F378">
        <v>396</v>
      </c>
      <c r="G378">
        <v>396</v>
      </c>
      <c r="H378" s="2" t="s">
        <v>49</v>
      </c>
      <c r="I378" s="3">
        <v>184</v>
      </c>
      <c r="J378" s="4">
        <v>184</v>
      </c>
      <c r="P378" t="s">
        <v>854</v>
      </c>
      <c r="Q378" s="4" t="s">
        <v>51</v>
      </c>
      <c r="W378">
        <v>6</v>
      </c>
      <c r="X378">
        <v>12</v>
      </c>
      <c r="Y378" s="4">
        <f>J378</f>
        <v>184</v>
      </c>
      <c r="Z378" s="4">
        <v>1</v>
      </c>
      <c r="AM378">
        <v>60</v>
      </c>
      <c r="AN378" t="s">
        <v>52</v>
      </c>
      <c r="AO378" t="s">
        <v>53</v>
      </c>
      <c r="AP378">
        <v>-22126</v>
      </c>
      <c r="AQ378">
        <v>0</v>
      </c>
      <c r="AR378" t="s">
        <v>54</v>
      </c>
      <c r="AS378" t="s">
        <v>55</v>
      </c>
      <c r="AT378" t="s">
        <v>55</v>
      </c>
      <c r="AU378" t="s">
        <v>56</v>
      </c>
      <c r="AV378">
        <v>2042</v>
      </c>
      <c r="AW378" t="s">
        <v>57</v>
      </c>
      <c r="AX378" t="s">
        <v>55</v>
      </c>
      <c r="AY378" t="s">
        <v>81</v>
      </c>
      <c r="AZ378" t="s">
        <v>448</v>
      </c>
      <c r="BA378" t="s">
        <v>55</v>
      </c>
      <c r="BB378" t="s">
        <v>49</v>
      </c>
      <c r="BC378" t="s">
        <v>49</v>
      </c>
      <c r="BD378" t="s">
        <v>66</v>
      </c>
      <c r="BE378" t="s">
        <v>55</v>
      </c>
      <c r="BF378">
        <v>25</v>
      </c>
      <c r="BG378" t="s">
        <v>60</v>
      </c>
      <c r="BH378" t="s">
        <v>82</v>
      </c>
      <c r="BI378" t="s">
        <v>62</v>
      </c>
      <c r="BJ378" t="s">
        <v>63</v>
      </c>
      <c r="BK378">
        <v>2006</v>
      </c>
      <c r="BL378">
        <v>1</v>
      </c>
      <c r="BR378">
        <f t="shared" si="34"/>
        <v>61</v>
      </c>
      <c r="BS378">
        <v>123</v>
      </c>
      <c r="BT378">
        <f t="shared" si="31"/>
        <v>1</v>
      </c>
    </row>
    <row r="379" spans="1:72" x14ac:dyDescent="0.2">
      <c r="A379" s="19" t="s">
        <v>632</v>
      </c>
      <c r="B379" s="1" t="s">
        <v>50</v>
      </c>
      <c r="C379">
        <v>0</v>
      </c>
      <c r="D379" s="8" t="s">
        <v>49</v>
      </c>
      <c r="E379" s="12" t="s">
        <v>49</v>
      </c>
      <c r="F379" s="8" t="s">
        <v>49</v>
      </c>
      <c r="G379" s="8" t="s">
        <v>49</v>
      </c>
      <c r="H379" s="12" t="s">
        <v>49</v>
      </c>
      <c r="I379" s="3" t="s">
        <v>50</v>
      </c>
      <c r="J379" s="8" t="s">
        <v>50</v>
      </c>
      <c r="K379" s="8"/>
      <c r="L379" s="8"/>
      <c r="M379" s="8"/>
      <c r="N379" s="8"/>
      <c r="O379" s="8"/>
      <c r="P379" s="8"/>
      <c r="Q379" s="8" t="s">
        <v>50</v>
      </c>
      <c r="R379" s="8"/>
      <c r="S379" s="8"/>
      <c r="T379" s="8"/>
      <c r="U379" s="8"/>
      <c r="V379" s="8"/>
      <c r="W379" s="8"/>
      <c r="X379" s="8"/>
      <c r="Y379" s="8"/>
      <c r="Z379" s="8"/>
      <c r="AA379" s="8"/>
      <c r="AB379" s="8"/>
      <c r="AC379" s="8"/>
      <c r="AD379" s="8"/>
      <c r="AE379" s="8"/>
      <c r="AF379" s="8"/>
      <c r="AG379" s="8"/>
      <c r="AH379" s="8"/>
      <c r="AI379" s="8"/>
      <c r="AJ379" s="8"/>
      <c r="AK379" s="8"/>
      <c r="AL379" s="8"/>
      <c r="AM379" s="8">
        <v>80</v>
      </c>
      <c r="AN379" s="8" t="s">
        <v>49</v>
      </c>
      <c r="AO379" s="8" t="s">
        <v>49</v>
      </c>
      <c r="AP379" s="8">
        <v>-29256</v>
      </c>
      <c r="AQ379" s="8">
        <v>0</v>
      </c>
      <c r="AR379" s="8" t="s">
        <v>54</v>
      </c>
      <c r="AS379" s="8" t="s">
        <v>49</v>
      </c>
      <c r="AT379" s="8" t="s">
        <v>49</v>
      </c>
      <c r="AU379" s="8" t="s">
        <v>49</v>
      </c>
      <c r="AV379" s="8">
        <v>2390</v>
      </c>
      <c r="AW379" s="8" t="s">
        <v>49</v>
      </c>
      <c r="AX379" s="8" t="s">
        <v>55</v>
      </c>
      <c r="AY379" s="8" t="s">
        <v>49</v>
      </c>
      <c r="AZ379" s="8" t="s">
        <v>49</v>
      </c>
      <c r="BA379" s="8" t="s">
        <v>49</v>
      </c>
      <c r="BB379" s="8" t="s">
        <v>49</v>
      </c>
      <c r="BC379" s="8" t="s">
        <v>49</v>
      </c>
      <c r="BD379" s="8" t="s">
        <v>49</v>
      </c>
      <c r="BE379" s="8" t="s">
        <v>49</v>
      </c>
      <c r="BF379" s="8">
        <v>25</v>
      </c>
      <c r="BG379" s="8" t="s">
        <v>49</v>
      </c>
      <c r="BH379" s="8" t="s">
        <v>49</v>
      </c>
      <c r="BI379" s="8" t="s">
        <v>49</v>
      </c>
      <c r="BJ379" s="8" t="s">
        <v>63</v>
      </c>
      <c r="BK379" s="8">
        <v>2003</v>
      </c>
      <c r="BT379">
        <f t="shared" si="31"/>
        <v>0</v>
      </c>
    </row>
    <row r="380" spans="1:72" x14ac:dyDescent="0.2">
      <c r="A380" s="19" t="s">
        <v>449</v>
      </c>
      <c r="B380" s="1">
        <v>1492</v>
      </c>
      <c r="C380">
        <v>1</v>
      </c>
      <c r="D380" t="s">
        <v>48</v>
      </c>
      <c r="E380" s="2" t="s">
        <v>49</v>
      </c>
      <c r="F380">
        <v>1492</v>
      </c>
      <c r="G380">
        <v>1492</v>
      </c>
      <c r="H380" s="2" t="s">
        <v>49</v>
      </c>
      <c r="I380" s="3">
        <v>1492</v>
      </c>
      <c r="J380" s="4">
        <v>1461</v>
      </c>
      <c r="Q380" s="4" t="s">
        <v>51</v>
      </c>
      <c r="W380" s="8">
        <v>6</v>
      </c>
      <c r="X380" s="8">
        <v>12</v>
      </c>
      <c r="Y380" s="4">
        <f>J380</f>
        <v>1461</v>
      </c>
      <c r="Z380" s="4">
        <v>1</v>
      </c>
      <c r="AM380">
        <v>57</v>
      </c>
      <c r="AN380" t="s">
        <v>52</v>
      </c>
      <c r="AO380" t="s">
        <v>53</v>
      </c>
      <c r="AP380">
        <v>-20938</v>
      </c>
      <c r="AQ380">
        <v>0</v>
      </c>
      <c r="AR380" t="s">
        <v>54</v>
      </c>
      <c r="AS380" t="s">
        <v>55</v>
      </c>
      <c r="AT380" t="s">
        <v>55</v>
      </c>
      <c r="AU380" t="s">
        <v>56</v>
      </c>
      <c r="AV380">
        <v>2391</v>
      </c>
      <c r="AW380" t="s">
        <v>70</v>
      </c>
      <c r="AX380" t="s">
        <v>55</v>
      </c>
      <c r="AY380" t="s">
        <v>58</v>
      </c>
      <c r="AZ380" t="s">
        <v>59</v>
      </c>
      <c r="BA380" t="s">
        <v>55</v>
      </c>
      <c r="BB380" t="s">
        <v>49</v>
      </c>
      <c r="BC380" t="s">
        <v>49</v>
      </c>
      <c r="BD380" t="s">
        <v>49</v>
      </c>
      <c r="BE380" t="s">
        <v>55</v>
      </c>
      <c r="BF380">
        <v>25</v>
      </c>
      <c r="BG380" t="s">
        <v>60</v>
      </c>
      <c r="BH380" t="s">
        <v>82</v>
      </c>
      <c r="BI380" t="s">
        <v>62</v>
      </c>
      <c r="BJ380" t="s">
        <v>63</v>
      </c>
      <c r="BK380">
        <v>2003</v>
      </c>
      <c r="BL380">
        <v>1</v>
      </c>
      <c r="BR380">
        <f>I380-BS380</f>
        <v>1339</v>
      </c>
      <c r="BS380">
        <v>153</v>
      </c>
      <c r="BT380">
        <f t="shared" si="31"/>
        <v>1</v>
      </c>
    </row>
    <row r="381" spans="1:72" x14ac:dyDescent="0.2">
      <c r="A381" s="19" t="s">
        <v>450</v>
      </c>
      <c r="B381" s="1">
        <v>31</v>
      </c>
      <c r="C381">
        <v>1</v>
      </c>
      <c r="D381" t="s">
        <v>48</v>
      </c>
      <c r="E381" s="2" t="s">
        <v>49</v>
      </c>
      <c r="F381">
        <v>31</v>
      </c>
      <c r="G381">
        <v>31</v>
      </c>
      <c r="H381" s="2" t="s">
        <v>49</v>
      </c>
      <c r="I381" s="3">
        <v>31</v>
      </c>
      <c r="Q381" t="s">
        <v>50</v>
      </c>
      <c r="AM381">
        <v>75</v>
      </c>
      <c r="AN381" t="s">
        <v>52</v>
      </c>
      <c r="AO381" t="s">
        <v>55</v>
      </c>
      <c r="AP381">
        <v>-27666</v>
      </c>
      <c r="AQ381">
        <v>0</v>
      </c>
      <c r="AR381" t="s">
        <v>54</v>
      </c>
      <c r="AS381" t="s">
        <v>55</v>
      </c>
      <c r="AT381" t="s">
        <v>55</v>
      </c>
      <c r="AU381" t="s">
        <v>56</v>
      </c>
      <c r="AV381">
        <v>2392</v>
      </c>
      <c r="AW381" t="s">
        <v>49</v>
      </c>
      <c r="AX381" t="s">
        <v>55</v>
      </c>
      <c r="AY381" t="s">
        <v>49</v>
      </c>
      <c r="AZ381" t="s">
        <v>59</v>
      </c>
      <c r="BA381" t="s">
        <v>55</v>
      </c>
      <c r="BB381" t="s">
        <v>49</v>
      </c>
      <c r="BC381" t="s">
        <v>49</v>
      </c>
      <c r="BD381" t="s">
        <v>49</v>
      </c>
      <c r="BE381" t="s">
        <v>55</v>
      </c>
      <c r="BF381">
        <v>25</v>
      </c>
      <c r="BG381" t="s">
        <v>60</v>
      </c>
      <c r="BH381" t="s">
        <v>142</v>
      </c>
      <c r="BI381" t="s">
        <v>83</v>
      </c>
      <c r="BJ381" t="s">
        <v>63</v>
      </c>
      <c r="BK381">
        <v>2003</v>
      </c>
      <c r="BT381">
        <f t="shared" si="31"/>
        <v>0</v>
      </c>
    </row>
    <row r="382" spans="1:72" x14ac:dyDescent="0.2">
      <c r="A382" s="19" t="s">
        <v>451</v>
      </c>
      <c r="B382" s="1">
        <v>1157</v>
      </c>
      <c r="C382">
        <v>1</v>
      </c>
      <c r="D382" t="s">
        <v>48</v>
      </c>
      <c r="E382" s="2" t="s">
        <v>49</v>
      </c>
      <c r="F382">
        <v>1157</v>
      </c>
      <c r="G382">
        <v>1157</v>
      </c>
      <c r="H382" s="2">
        <v>305</v>
      </c>
      <c r="I382" s="3">
        <v>305</v>
      </c>
      <c r="J382" s="4">
        <v>274</v>
      </c>
      <c r="K382" s="5">
        <v>852</v>
      </c>
      <c r="Q382" s="4" t="s">
        <v>51</v>
      </c>
      <c r="R382" s="5" t="s">
        <v>65</v>
      </c>
      <c r="W382">
        <v>6</v>
      </c>
      <c r="X382">
        <v>12</v>
      </c>
      <c r="Y382" s="4">
        <f>J382</f>
        <v>274</v>
      </c>
      <c r="Z382" s="4">
        <v>1</v>
      </c>
      <c r="AE382" s="5">
        <f>K382</f>
        <v>852</v>
      </c>
      <c r="AF382" s="5">
        <v>1</v>
      </c>
      <c r="AM382">
        <v>81</v>
      </c>
      <c r="AN382" t="s">
        <v>101</v>
      </c>
      <c r="AO382" t="s">
        <v>53</v>
      </c>
      <c r="AP382">
        <v>-29584</v>
      </c>
      <c r="AQ382">
        <v>0</v>
      </c>
      <c r="AR382" t="s">
        <v>54</v>
      </c>
      <c r="AS382" t="s">
        <v>55</v>
      </c>
      <c r="AT382" t="s">
        <v>55</v>
      </c>
      <c r="AU382" t="s">
        <v>56</v>
      </c>
      <c r="AV382">
        <v>2393</v>
      </c>
      <c r="AW382" t="s">
        <v>57</v>
      </c>
      <c r="AX382" t="s">
        <v>55</v>
      </c>
      <c r="AY382" t="s">
        <v>114</v>
      </c>
      <c r="AZ382" t="s">
        <v>59</v>
      </c>
      <c r="BA382" t="s">
        <v>55</v>
      </c>
      <c r="BB382" t="s">
        <v>49</v>
      </c>
      <c r="BC382" t="s">
        <v>49</v>
      </c>
      <c r="BD382" t="s">
        <v>66</v>
      </c>
      <c r="BE382" t="s">
        <v>55</v>
      </c>
      <c r="BF382">
        <v>25</v>
      </c>
      <c r="BG382" t="s">
        <v>60</v>
      </c>
      <c r="BH382" t="s">
        <v>142</v>
      </c>
      <c r="BI382" t="s">
        <v>62</v>
      </c>
      <c r="BJ382" t="s">
        <v>63</v>
      </c>
      <c r="BK382">
        <v>2003</v>
      </c>
      <c r="BL382">
        <v>1</v>
      </c>
      <c r="BM382">
        <v>1</v>
      </c>
      <c r="BR382">
        <f>I382-BS382</f>
        <v>182</v>
      </c>
      <c r="BS382">
        <v>123</v>
      </c>
      <c r="BT382">
        <f t="shared" si="31"/>
        <v>2</v>
      </c>
    </row>
    <row r="383" spans="1:72" x14ac:dyDescent="0.2">
      <c r="A383" s="19" t="s">
        <v>452</v>
      </c>
      <c r="B383" s="1">
        <v>92</v>
      </c>
      <c r="C383">
        <v>1</v>
      </c>
      <c r="D383" t="s">
        <v>48</v>
      </c>
      <c r="E383" s="2" t="s">
        <v>49</v>
      </c>
      <c r="F383">
        <v>92</v>
      </c>
      <c r="G383">
        <v>92</v>
      </c>
      <c r="H383" s="2" t="s">
        <v>49</v>
      </c>
      <c r="I383" s="3">
        <v>92</v>
      </c>
      <c r="Q383" t="s">
        <v>50</v>
      </c>
      <c r="AM383">
        <v>71</v>
      </c>
      <c r="AN383" t="s">
        <v>52</v>
      </c>
      <c r="AO383" t="s">
        <v>49</v>
      </c>
      <c r="AP383">
        <v>-26144</v>
      </c>
      <c r="AQ383">
        <v>0</v>
      </c>
      <c r="AR383" t="s">
        <v>54</v>
      </c>
      <c r="AS383" t="s">
        <v>55</v>
      </c>
      <c r="AT383" t="s">
        <v>55</v>
      </c>
      <c r="AU383" t="s">
        <v>56</v>
      </c>
      <c r="AV383">
        <v>2396</v>
      </c>
      <c r="AW383" t="s">
        <v>49</v>
      </c>
      <c r="AX383" t="s">
        <v>55</v>
      </c>
      <c r="AY383" t="s">
        <v>49</v>
      </c>
      <c r="AZ383" t="s">
        <v>59</v>
      </c>
      <c r="BA383" t="s">
        <v>55</v>
      </c>
      <c r="BB383" t="s">
        <v>49</v>
      </c>
      <c r="BC383" t="s">
        <v>49</v>
      </c>
      <c r="BD383" t="s">
        <v>49</v>
      </c>
      <c r="BE383" t="s">
        <v>55</v>
      </c>
      <c r="BF383">
        <v>25</v>
      </c>
      <c r="BG383" t="s">
        <v>60</v>
      </c>
      <c r="BH383" t="s">
        <v>71</v>
      </c>
      <c r="BI383" t="s">
        <v>62</v>
      </c>
      <c r="BJ383" t="s">
        <v>63</v>
      </c>
      <c r="BK383">
        <v>2004</v>
      </c>
      <c r="BT383">
        <f t="shared" si="31"/>
        <v>0</v>
      </c>
    </row>
    <row r="384" spans="1:72" x14ac:dyDescent="0.2">
      <c r="A384" s="19" t="s">
        <v>453</v>
      </c>
      <c r="B384" s="1">
        <v>365</v>
      </c>
      <c r="C384">
        <v>1</v>
      </c>
      <c r="D384" t="s">
        <v>48</v>
      </c>
      <c r="E384" s="2" t="s">
        <v>49</v>
      </c>
      <c r="F384">
        <v>365</v>
      </c>
      <c r="G384">
        <v>365</v>
      </c>
      <c r="H384" s="2" t="s">
        <v>49</v>
      </c>
      <c r="I384" s="3">
        <v>365</v>
      </c>
      <c r="J384" t="s">
        <v>50</v>
      </c>
      <c r="Q384" t="s">
        <v>50</v>
      </c>
      <c r="AM384">
        <v>59</v>
      </c>
      <c r="AN384" t="s">
        <v>52</v>
      </c>
      <c r="AO384" t="s">
        <v>49</v>
      </c>
      <c r="AP384">
        <v>-21581</v>
      </c>
      <c r="AQ384">
        <v>0</v>
      </c>
      <c r="AR384" t="s">
        <v>54</v>
      </c>
      <c r="AS384" t="s">
        <v>55</v>
      </c>
      <c r="AT384" t="s">
        <v>55</v>
      </c>
      <c r="AU384" t="s">
        <v>56</v>
      </c>
      <c r="AV384">
        <v>2397</v>
      </c>
      <c r="AW384" t="s">
        <v>49</v>
      </c>
      <c r="AX384" t="s">
        <v>55</v>
      </c>
      <c r="AY384" t="s">
        <v>49</v>
      </c>
      <c r="AZ384" t="s">
        <v>59</v>
      </c>
      <c r="BA384" t="s">
        <v>55</v>
      </c>
      <c r="BB384" t="s">
        <v>49</v>
      </c>
      <c r="BC384" t="s">
        <v>49</v>
      </c>
      <c r="BD384" t="s">
        <v>49</v>
      </c>
      <c r="BE384" t="s">
        <v>55</v>
      </c>
      <c r="BF384">
        <v>25</v>
      </c>
      <c r="BG384" t="s">
        <v>60</v>
      </c>
      <c r="BH384" t="s">
        <v>71</v>
      </c>
      <c r="BI384" t="s">
        <v>83</v>
      </c>
      <c r="BJ384" t="s">
        <v>63</v>
      </c>
      <c r="BK384">
        <v>2004</v>
      </c>
      <c r="BT384">
        <f t="shared" si="31"/>
        <v>0</v>
      </c>
    </row>
    <row r="385" spans="1:72" x14ac:dyDescent="0.2">
      <c r="A385" s="19" t="s">
        <v>454</v>
      </c>
      <c r="B385" s="1">
        <v>1369</v>
      </c>
      <c r="C385">
        <v>1</v>
      </c>
      <c r="D385" t="s">
        <v>48</v>
      </c>
      <c r="E385" s="2" t="s">
        <v>49</v>
      </c>
      <c r="F385">
        <v>1369</v>
      </c>
      <c r="G385">
        <v>1369</v>
      </c>
      <c r="H385" s="2">
        <v>577</v>
      </c>
      <c r="I385" s="3">
        <v>577</v>
      </c>
      <c r="J385" s="4">
        <f>I385-31</f>
        <v>546</v>
      </c>
      <c r="K385" s="4">
        <v>761</v>
      </c>
      <c r="Q385" s="4" t="s">
        <v>51</v>
      </c>
      <c r="R385" s="4" t="s">
        <v>51</v>
      </c>
      <c r="W385">
        <v>6</v>
      </c>
      <c r="X385">
        <v>12</v>
      </c>
      <c r="Y385" s="4">
        <f>J385+K385</f>
        <v>1307</v>
      </c>
      <c r="Z385" s="4">
        <v>1</v>
      </c>
      <c r="AM385">
        <v>71</v>
      </c>
      <c r="AN385" t="s">
        <v>52</v>
      </c>
      <c r="AO385" t="s">
        <v>53</v>
      </c>
      <c r="AP385">
        <v>-26266</v>
      </c>
      <c r="AQ385">
        <v>0</v>
      </c>
      <c r="AR385" t="s">
        <v>54</v>
      </c>
      <c r="AS385" t="s">
        <v>55</v>
      </c>
      <c r="AT385" t="s">
        <v>55</v>
      </c>
      <c r="AU385" t="s">
        <v>56</v>
      </c>
      <c r="AV385">
        <v>2398</v>
      </c>
      <c r="AW385" t="s">
        <v>57</v>
      </c>
      <c r="AX385" t="s">
        <v>55</v>
      </c>
      <c r="AY385" t="s">
        <v>58</v>
      </c>
      <c r="AZ385" t="s">
        <v>59</v>
      </c>
      <c r="BA385" t="s">
        <v>55</v>
      </c>
      <c r="BB385" t="s">
        <v>49</v>
      </c>
      <c r="BC385" t="s">
        <v>49</v>
      </c>
      <c r="BD385" t="s">
        <v>66</v>
      </c>
      <c r="BE385" t="s">
        <v>55</v>
      </c>
      <c r="BF385">
        <v>25</v>
      </c>
      <c r="BG385" t="s">
        <v>60</v>
      </c>
      <c r="BH385" t="s">
        <v>61</v>
      </c>
      <c r="BI385" t="s">
        <v>62</v>
      </c>
      <c r="BJ385" t="s">
        <v>63</v>
      </c>
      <c r="BK385">
        <v>2004</v>
      </c>
      <c r="BL385">
        <v>1</v>
      </c>
      <c r="BM385">
        <v>1</v>
      </c>
      <c r="BR385">
        <f>I385-BS385</f>
        <v>426</v>
      </c>
      <c r="BS385">
        <v>151</v>
      </c>
      <c r="BT385">
        <f t="shared" si="31"/>
        <v>2</v>
      </c>
    </row>
    <row r="386" spans="1:72" x14ac:dyDescent="0.2">
      <c r="A386" s="19" t="s">
        <v>455</v>
      </c>
      <c r="B386" s="1">
        <v>608</v>
      </c>
      <c r="C386">
        <v>1</v>
      </c>
      <c r="D386" t="s">
        <v>48</v>
      </c>
      <c r="E386" s="2" t="s">
        <v>49</v>
      </c>
      <c r="F386">
        <v>608</v>
      </c>
      <c r="G386">
        <v>608</v>
      </c>
      <c r="H386" s="2">
        <v>243</v>
      </c>
      <c r="I386" s="3">
        <v>243</v>
      </c>
      <c r="J386" s="4">
        <f>I386-61</f>
        <v>182</v>
      </c>
      <c r="P386" t="s">
        <v>855</v>
      </c>
      <c r="Q386" s="4" t="s">
        <v>51</v>
      </c>
      <c r="W386">
        <v>4</v>
      </c>
      <c r="X386">
        <v>8</v>
      </c>
      <c r="Y386" s="4">
        <f>J386</f>
        <v>182</v>
      </c>
      <c r="Z386" s="4">
        <v>1</v>
      </c>
      <c r="AM386">
        <v>80</v>
      </c>
      <c r="AN386" t="s">
        <v>52</v>
      </c>
      <c r="AO386" t="s">
        <v>53</v>
      </c>
      <c r="AP386">
        <v>-29373</v>
      </c>
      <c r="AQ386">
        <v>0</v>
      </c>
      <c r="AR386" t="s">
        <v>54</v>
      </c>
      <c r="AS386" t="s">
        <v>55</v>
      </c>
      <c r="AT386" t="s">
        <v>55</v>
      </c>
      <c r="AU386" t="s">
        <v>56</v>
      </c>
      <c r="AV386">
        <v>2399</v>
      </c>
      <c r="AW386" t="s">
        <v>57</v>
      </c>
      <c r="AX386" t="s">
        <v>55</v>
      </c>
      <c r="AY386" t="s">
        <v>114</v>
      </c>
      <c r="AZ386" t="s">
        <v>59</v>
      </c>
      <c r="BA386" t="s">
        <v>55</v>
      </c>
      <c r="BB386" t="s">
        <v>49</v>
      </c>
      <c r="BC386" t="s">
        <v>49</v>
      </c>
      <c r="BD386" t="s">
        <v>66</v>
      </c>
      <c r="BE386" t="s">
        <v>55</v>
      </c>
      <c r="BF386">
        <v>25</v>
      </c>
      <c r="BG386" t="s">
        <v>60</v>
      </c>
      <c r="BH386" t="s">
        <v>82</v>
      </c>
      <c r="BI386" t="s">
        <v>62</v>
      </c>
      <c r="BJ386" t="s">
        <v>63</v>
      </c>
      <c r="BK386">
        <v>2004</v>
      </c>
      <c r="BL386">
        <v>1</v>
      </c>
      <c r="BR386">
        <f>I386-BS386</f>
        <v>61</v>
      </c>
      <c r="BS386">
        <v>182</v>
      </c>
      <c r="BT386">
        <f t="shared" si="31"/>
        <v>1</v>
      </c>
    </row>
    <row r="387" spans="1:72" x14ac:dyDescent="0.2">
      <c r="A387" s="19" t="s">
        <v>456</v>
      </c>
      <c r="B387" s="1">
        <v>1278</v>
      </c>
      <c r="C387">
        <v>1</v>
      </c>
      <c r="D387" t="s">
        <v>48</v>
      </c>
      <c r="E387" s="2" t="s">
        <v>49</v>
      </c>
      <c r="F387">
        <v>1278</v>
      </c>
      <c r="G387">
        <v>1278</v>
      </c>
      <c r="H387" s="2">
        <v>577</v>
      </c>
      <c r="I387" s="3">
        <v>577</v>
      </c>
      <c r="J387" s="4">
        <v>516</v>
      </c>
      <c r="K387" s="4">
        <v>701</v>
      </c>
      <c r="Q387" s="4" t="s">
        <v>51</v>
      </c>
      <c r="R387" s="4" t="s">
        <v>51</v>
      </c>
      <c r="W387">
        <v>6</v>
      </c>
      <c r="X387">
        <v>12</v>
      </c>
      <c r="Y387" s="4">
        <f>J387+K387</f>
        <v>1217</v>
      </c>
      <c r="Z387" s="4">
        <v>1</v>
      </c>
      <c r="AM387">
        <v>76</v>
      </c>
      <c r="AN387" t="s">
        <v>52</v>
      </c>
      <c r="AO387" t="s">
        <v>53</v>
      </c>
      <c r="AP387">
        <v>-27789</v>
      </c>
      <c r="AQ387">
        <v>0</v>
      </c>
      <c r="AR387" t="s">
        <v>54</v>
      </c>
      <c r="AS387" t="s">
        <v>55</v>
      </c>
      <c r="AT387" t="s">
        <v>55</v>
      </c>
      <c r="AU387" t="s">
        <v>56</v>
      </c>
      <c r="AV387">
        <v>2400</v>
      </c>
      <c r="AW387" t="s">
        <v>57</v>
      </c>
      <c r="AX387" t="s">
        <v>55</v>
      </c>
      <c r="AY387" t="s">
        <v>58</v>
      </c>
      <c r="AZ387" t="s">
        <v>59</v>
      </c>
      <c r="BA387" t="s">
        <v>55</v>
      </c>
      <c r="BB387" t="s">
        <v>49</v>
      </c>
      <c r="BC387" t="s">
        <v>49</v>
      </c>
      <c r="BD387" t="s">
        <v>66</v>
      </c>
      <c r="BE387" t="s">
        <v>55</v>
      </c>
      <c r="BF387">
        <v>25</v>
      </c>
      <c r="BG387" t="s">
        <v>60</v>
      </c>
      <c r="BH387" t="s">
        <v>71</v>
      </c>
      <c r="BI387" t="s">
        <v>62</v>
      </c>
      <c r="BJ387" t="s">
        <v>63</v>
      </c>
      <c r="BK387">
        <v>2004</v>
      </c>
      <c r="BL387">
        <v>1</v>
      </c>
      <c r="BM387">
        <v>1</v>
      </c>
      <c r="BR387">
        <f>I387-BS387</f>
        <v>395</v>
      </c>
      <c r="BS387">
        <v>182</v>
      </c>
      <c r="BT387">
        <f t="shared" si="31"/>
        <v>2</v>
      </c>
    </row>
    <row r="388" spans="1:72" x14ac:dyDescent="0.2">
      <c r="A388" s="19" t="s">
        <v>457</v>
      </c>
      <c r="B388" s="1">
        <v>90</v>
      </c>
      <c r="C388">
        <v>1</v>
      </c>
      <c r="D388" t="s">
        <v>48</v>
      </c>
      <c r="E388" s="2" t="s">
        <v>49</v>
      </c>
      <c r="F388">
        <v>90</v>
      </c>
      <c r="G388">
        <v>90</v>
      </c>
      <c r="H388" s="2" t="s">
        <v>49</v>
      </c>
      <c r="I388" s="3" t="s">
        <v>49</v>
      </c>
      <c r="Q388" t="s">
        <v>50</v>
      </c>
      <c r="AM388">
        <v>64</v>
      </c>
      <c r="AN388" t="s">
        <v>52</v>
      </c>
      <c r="AO388" t="s">
        <v>49</v>
      </c>
      <c r="AP388">
        <v>-23711</v>
      </c>
      <c r="AQ388">
        <v>0</v>
      </c>
      <c r="AR388" t="s">
        <v>54</v>
      </c>
      <c r="AS388" t="s">
        <v>55</v>
      </c>
      <c r="AT388" t="s">
        <v>55</v>
      </c>
      <c r="AU388" t="s">
        <v>56</v>
      </c>
      <c r="AV388">
        <v>2401</v>
      </c>
      <c r="AW388" t="s">
        <v>49</v>
      </c>
      <c r="AX388" t="s">
        <v>55</v>
      </c>
      <c r="AY388" t="s">
        <v>49</v>
      </c>
      <c r="AZ388" t="s">
        <v>59</v>
      </c>
      <c r="BA388" t="s">
        <v>55</v>
      </c>
      <c r="BB388" t="s">
        <v>49</v>
      </c>
      <c r="BC388" t="s">
        <v>49</v>
      </c>
      <c r="BD388" t="s">
        <v>49</v>
      </c>
      <c r="BE388" t="s">
        <v>55</v>
      </c>
      <c r="BF388">
        <v>25</v>
      </c>
      <c r="BG388" t="s">
        <v>60</v>
      </c>
      <c r="BH388" t="s">
        <v>61</v>
      </c>
      <c r="BI388" t="s">
        <v>62</v>
      </c>
      <c r="BJ388" t="s">
        <v>63</v>
      </c>
      <c r="BK388">
        <v>2004</v>
      </c>
      <c r="BT388">
        <f t="shared" si="31"/>
        <v>0</v>
      </c>
    </row>
    <row r="389" spans="1:72" x14ac:dyDescent="0.2">
      <c r="A389" s="19" t="s">
        <v>458</v>
      </c>
      <c r="B389" s="1">
        <v>882</v>
      </c>
      <c r="C389">
        <v>1</v>
      </c>
      <c r="D389" t="s">
        <v>48</v>
      </c>
      <c r="E389" s="2" t="s">
        <v>49</v>
      </c>
      <c r="F389">
        <v>882</v>
      </c>
      <c r="G389">
        <v>882</v>
      </c>
      <c r="H389" s="2">
        <v>425</v>
      </c>
      <c r="I389" s="3">
        <v>425</v>
      </c>
      <c r="J389" s="4">
        <v>425</v>
      </c>
      <c r="P389" t="s">
        <v>813</v>
      </c>
      <c r="Q389" s="4" t="s">
        <v>51</v>
      </c>
      <c r="W389">
        <v>6</v>
      </c>
      <c r="X389">
        <v>12</v>
      </c>
      <c r="Y389" s="4">
        <f>J389</f>
        <v>425</v>
      </c>
      <c r="Z389" s="4">
        <v>1</v>
      </c>
      <c r="AM389">
        <v>38</v>
      </c>
      <c r="AN389" t="s">
        <v>52</v>
      </c>
      <c r="AO389" t="s">
        <v>53</v>
      </c>
      <c r="AP389">
        <v>-14184</v>
      </c>
      <c r="AQ389">
        <v>0</v>
      </c>
      <c r="AR389" t="s">
        <v>54</v>
      </c>
      <c r="AS389" t="s">
        <v>55</v>
      </c>
      <c r="AT389" t="s">
        <v>55</v>
      </c>
      <c r="AU389" t="s">
        <v>56</v>
      </c>
      <c r="AV389">
        <v>2404</v>
      </c>
      <c r="AW389" t="s">
        <v>57</v>
      </c>
      <c r="AX389" t="s">
        <v>55</v>
      </c>
      <c r="AY389" t="s">
        <v>58</v>
      </c>
      <c r="AZ389" t="s">
        <v>448</v>
      </c>
      <c r="BA389" t="s">
        <v>55</v>
      </c>
      <c r="BB389" t="s">
        <v>49</v>
      </c>
      <c r="BC389" t="s">
        <v>49</v>
      </c>
      <c r="BD389" t="s">
        <v>66</v>
      </c>
      <c r="BE389" t="s">
        <v>55</v>
      </c>
      <c r="BF389">
        <v>25</v>
      </c>
      <c r="BG389" t="s">
        <v>60</v>
      </c>
      <c r="BH389" t="s">
        <v>71</v>
      </c>
      <c r="BI389" t="s">
        <v>62</v>
      </c>
      <c r="BJ389" t="s">
        <v>63</v>
      </c>
      <c r="BK389">
        <v>2005</v>
      </c>
      <c r="BL389">
        <v>1</v>
      </c>
      <c r="BR389">
        <f t="shared" ref="BR389:BR397" si="35">I389-BS389</f>
        <v>119</v>
      </c>
      <c r="BS389">
        <v>306</v>
      </c>
      <c r="BT389">
        <f t="shared" si="31"/>
        <v>1</v>
      </c>
    </row>
    <row r="390" spans="1:72" x14ac:dyDescent="0.2">
      <c r="A390" s="19" t="s">
        <v>637</v>
      </c>
      <c r="B390" s="1">
        <v>942</v>
      </c>
      <c r="C390">
        <v>1</v>
      </c>
      <c r="D390" s="8" t="s">
        <v>48</v>
      </c>
      <c r="E390" s="12" t="s">
        <v>49</v>
      </c>
      <c r="F390" s="8">
        <v>942</v>
      </c>
      <c r="G390" s="8">
        <v>942</v>
      </c>
      <c r="H390" s="12">
        <v>333</v>
      </c>
      <c r="I390" s="3">
        <v>333</v>
      </c>
      <c r="J390" s="4">
        <f>I390-61</f>
        <v>272</v>
      </c>
      <c r="K390" s="8"/>
      <c r="L390" s="8"/>
      <c r="M390" s="8"/>
      <c r="N390" s="8"/>
      <c r="O390" s="8"/>
      <c r="P390" s="8"/>
      <c r="Q390" s="4" t="s">
        <v>51</v>
      </c>
      <c r="R390" s="8"/>
      <c r="S390" s="8"/>
      <c r="T390" s="8"/>
      <c r="U390" s="8"/>
      <c r="V390" s="8"/>
      <c r="W390" s="8">
        <v>6</v>
      </c>
      <c r="X390" s="8">
        <v>12</v>
      </c>
      <c r="Y390" s="4">
        <f>J390</f>
        <v>272</v>
      </c>
      <c r="Z390" s="4">
        <v>1</v>
      </c>
      <c r="AA390" s="8"/>
      <c r="AB390" s="8"/>
      <c r="AC390" s="8"/>
      <c r="AD390" s="8"/>
      <c r="AE390" s="8"/>
      <c r="AF390" s="8"/>
      <c r="AG390" s="8"/>
      <c r="AH390" s="8"/>
      <c r="AI390" s="8"/>
      <c r="AJ390" s="8"/>
      <c r="AK390" s="8"/>
      <c r="AL390" s="8"/>
      <c r="AM390" s="8">
        <v>37</v>
      </c>
      <c r="AN390" s="8" t="s">
        <v>52</v>
      </c>
      <c r="AO390" s="8" t="s">
        <v>53</v>
      </c>
      <c r="AP390" s="8">
        <v>-13606</v>
      </c>
      <c r="AQ390" s="8">
        <v>0</v>
      </c>
      <c r="AR390" s="8" t="s">
        <v>54</v>
      </c>
      <c r="AS390" s="8" t="s">
        <v>55</v>
      </c>
      <c r="AT390" s="8" t="s">
        <v>55</v>
      </c>
      <c r="AU390" s="8" t="s">
        <v>56</v>
      </c>
      <c r="AV390" s="8">
        <v>2408</v>
      </c>
      <c r="AW390" s="8" t="s">
        <v>57</v>
      </c>
      <c r="AX390" s="8" t="s">
        <v>55</v>
      </c>
      <c r="AY390" s="8" t="s">
        <v>114</v>
      </c>
      <c r="AZ390" s="8" t="s">
        <v>59</v>
      </c>
      <c r="BA390" s="8" t="s">
        <v>55</v>
      </c>
      <c r="BB390" s="8" t="s">
        <v>49</v>
      </c>
      <c r="BC390" s="8" t="s">
        <v>49</v>
      </c>
      <c r="BD390" s="8" t="s">
        <v>66</v>
      </c>
      <c r="BE390" s="8" t="s">
        <v>55</v>
      </c>
      <c r="BF390" s="8">
        <v>25</v>
      </c>
      <c r="BG390" s="8" t="s">
        <v>511</v>
      </c>
      <c r="BH390" s="8" t="s">
        <v>61</v>
      </c>
      <c r="BI390" s="8" t="s">
        <v>83</v>
      </c>
      <c r="BJ390" s="8" t="s">
        <v>63</v>
      </c>
      <c r="BK390" s="8">
        <v>2005</v>
      </c>
      <c r="BL390">
        <v>1</v>
      </c>
      <c r="BR390">
        <f t="shared" si="35"/>
        <v>151</v>
      </c>
      <c r="BS390">
        <v>182</v>
      </c>
      <c r="BT390">
        <f t="shared" si="31"/>
        <v>1</v>
      </c>
    </row>
    <row r="391" spans="1:72" x14ac:dyDescent="0.2">
      <c r="A391" s="19" t="s">
        <v>459</v>
      </c>
      <c r="B391" s="1">
        <v>820</v>
      </c>
      <c r="C391">
        <v>1</v>
      </c>
      <c r="D391" t="s">
        <v>48</v>
      </c>
      <c r="E391" s="2" t="s">
        <v>49</v>
      </c>
      <c r="F391">
        <v>820</v>
      </c>
      <c r="G391">
        <v>820</v>
      </c>
      <c r="H391" s="2">
        <v>303</v>
      </c>
      <c r="I391" s="3">
        <v>303</v>
      </c>
      <c r="J391" s="4">
        <f>I391-31</f>
        <v>272</v>
      </c>
      <c r="Q391" s="4" t="s">
        <v>51</v>
      </c>
      <c r="W391" s="8">
        <v>6</v>
      </c>
      <c r="X391" s="8">
        <v>12</v>
      </c>
      <c r="Y391" s="4">
        <f>J391</f>
        <v>272</v>
      </c>
      <c r="Z391" s="4">
        <v>1</v>
      </c>
      <c r="AM391">
        <v>71</v>
      </c>
      <c r="AN391" t="s">
        <v>52</v>
      </c>
      <c r="AO391" t="s">
        <v>53</v>
      </c>
      <c r="AP391">
        <v>-26267</v>
      </c>
      <c r="AQ391">
        <v>0</v>
      </c>
      <c r="AR391" t="s">
        <v>54</v>
      </c>
      <c r="AS391" t="s">
        <v>55</v>
      </c>
      <c r="AT391" t="s">
        <v>55</v>
      </c>
      <c r="AU391" t="s">
        <v>56</v>
      </c>
      <c r="AV391">
        <v>2409</v>
      </c>
      <c r="AW391" t="s">
        <v>57</v>
      </c>
      <c r="AX391" t="s">
        <v>55</v>
      </c>
      <c r="AY391" t="s">
        <v>58</v>
      </c>
      <c r="AZ391" t="s">
        <v>59</v>
      </c>
      <c r="BA391" t="s">
        <v>55</v>
      </c>
      <c r="BB391" t="s">
        <v>49</v>
      </c>
      <c r="BC391" t="s">
        <v>49</v>
      </c>
      <c r="BD391" t="s">
        <v>66</v>
      </c>
      <c r="BE391" t="s">
        <v>55</v>
      </c>
      <c r="BF391">
        <v>25</v>
      </c>
      <c r="BG391" t="s">
        <v>60</v>
      </c>
      <c r="BH391" t="s">
        <v>61</v>
      </c>
      <c r="BI391" t="s">
        <v>83</v>
      </c>
      <c r="BJ391" t="s">
        <v>63</v>
      </c>
      <c r="BK391">
        <v>2005</v>
      </c>
      <c r="BL391">
        <v>1</v>
      </c>
      <c r="BR391">
        <f t="shared" si="35"/>
        <v>122</v>
      </c>
      <c r="BS391">
        <v>181</v>
      </c>
      <c r="BT391">
        <f t="shared" si="31"/>
        <v>1</v>
      </c>
    </row>
    <row r="392" spans="1:72" x14ac:dyDescent="0.2">
      <c r="A392" s="19" t="s">
        <v>638</v>
      </c>
      <c r="B392" s="1">
        <v>2399</v>
      </c>
      <c r="C392">
        <v>1</v>
      </c>
      <c r="D392" s="8" t="s">
        <v>48</v>
      </c>
      <c r="E392" s="12" t="s">
        <v>49</v>
      </c>
      <c r="F392" s="8">
        <v>2399</v>
      </c>
      <c r="G392" s="8">
        <v>2399</v>
      </c>
      <c r="H392" s="12">
        <v>183</v>
      </c>
      <c r="I392" s="3">
        <v>183</v>
      </c>
      <c r="J392" s="8">
        <v>183</v>
      </c>
      <c r="K392" s="8">
        <v>547</v>
      </c>
      <c r="L392" s="8">
        <v>976</v>
      </c>
      <c r="M392" s="8">
        <v>180</v>
      </c>
      <c r="N392" s="8">
        <v>508</v>
      </c>
      <c r="O392" s="8"/>
      <c r="P392" s="8" t="s">
        <v>856</v>
      </c>
      <c r="Q392" s="8" t="s">
        <v>411</v>
      </c>
      <c r="R392" s="8" t="s">
        <v>357</v>
      </c>
      <c r="S392" s="8" t="s">
        <v>399</v>
      </c>
      <c r="T392" s="8" t="s">
        <v>399</v>
      </c>
      <c r="U392" s="8"/>
      <c r="V392" s="8"/>
      <c r="W392" s="8"/>
      <c r="X392" s="8"/>
      <c r="Y392" s="8"/>
      <c r="Z392" s="8"/>
      <c r="AA392" s="8"/>
      <c r="AB392" s="8"/>
      <c r="AC392" s="8"/>
      <c r="AD392" s="8"/>
      <c r="AE392" s="8"/>
      <c r="AF392" s="8"/>
      <c r="AG392" s="8"/>
      <c r="AH392" s="8"/>
      <c r="AI392" s="8"/>
      <c r="AJ392" s="8"/>
      <c r="AK392" s="8"/>
      <c r="AL392" s="8"/>
      <c r="AM392" s="8">
        <v>39</v>
      </c>
      <c r="AN392" s="8" t="s">
        <v>52</v>
      </c>
      <c r="AO392" s="8" t="s">
        <v>53</v>
      </c>
      <c r="AP392" s="8">
        <v>-14574</v>
      </c>
      <c r="AQ392" s="8">
        <v>0</v>
      </c>
      <c r="AR392" s="8" t="s">
        <v>54</v>
      </c>
      <c r="AS392" s="8" t="s">
        <v>55</v>
      </c>
      <c r="AT392" s="8" t="s">
        <v>55</v>
      </c>
      <c r="AU392" s="8" t="s">
        <v>56</v>
      </c>
      <c r="AV392" s="8">
        <v>1688</v>
      </c>
      <c r="AW392" s="8" t="s">
        <v>57</v>
      </c>
      <c r="AX392" s="8" t="s">
        <v>55</v>
      </c>
      <c r="AY392" s="8" t="s">
        <v>92</v>
      </c>
      <c r="AZ392" s="8" t="s">
        <v>59</v>
      </c>
      <c r="BA392" s="8" t="s">
        <v>55</v>
      </c>
      <c r="BB392" s="8" t="s">
        <v>49</v>
      </c>
      <c r="BC392" s="8" t="s">
        <v>49</v>
      </c>
      <c r="BD392" s="8" t="s">
        <v>106</v>
      </c>
      <c r="BE392" s="8" t="s">
        <v>55</v>
      </c>
      <c r="BF392" s="8">
        <v>29</v>
      </c>
      <c r="BG392" s="8" t="s">
        <v>511</v>
      </c>
      <c r="BH392" s="8" t="s">
        <v>49</v>
      </c>
      <c r="BI392" s="8" t="s">
        <v>62</v>
      </c>
      <c r="BJ392" s="8" t="s">
        <v>63</v>
      </c>
      <c r="BK392" s="8">
        <v>1992</v>
      </c>
      <c r="BL392">
        <v>1</v>
      </c>
      <c r="BM392">
        <v>1</v>
      </c>
      <c r="BN392">
        <v>1</v>
      </c>
      <c r="BO392">
        <v>1</v>
      </c>
      <c r="BP392">
        <v>1</v>
      </c>
      <c r="BR392">
        <f t="shared" si="35"/>
        <v>57</v>
      </c>
      <c r="BS392">
        <v>126</v>
      </c>
      <c r="BT392">
        <f t="shared" si="31"/>
        <v>5</v>
      </c>
    </row>
    <row r="393" spans="1:72" x14ac:dyDescent="0.2">
      <c r="A393" s="19" t="s">
        <v>639</v>
      </c>
      <c r="B393" s="1">
        <v>1448</v>
      </c>
      <c r="C393">
        <v>1</v>
      </c>
      <c r="D393" s="8" t="s">
        <v>48</v>
      </c>
      <c r="E393" s="12" t="s">
        <v>49</v>
      </c>
      <c r="F393" s="8">
        <v>1448</v>
      </c>
      <c r="G393" s="8">
        <v>1360</v>
      </c>
      <c r="H393" s="12" t="s">
        <v>49</v>
      </c>
      <c r="I393" s="3">
        <v>1448</v>
      </c>
      <c r="J393" s="8">
        <v>1440</v>
      </c>
      <c r="K393" s="8"/>
      <c r="L393" s="8"/>
      <c r="M393" s="8"/>
      <c r="N393" s="8"/>
      <c r="O393" s="8"/>
      <c r="P393" s="8"/>
      <c r="Q393" s="8" t="s">
        <v>608</v>
      </c>
      <c r="R393" s="8"/>
      <c r="S393" s="8"/>
      <c r="T393" s="8"/>
      <c r="U393" s="8"/>
      <c r="V393" s="8"/>
      <c r="W393" s="8"/>
      <c r="X393" s="8"/>
      <c r="Y393" s="8"/>
      <c r="Z393" s="8"/>
      <c r="AA393" s="8"/>
      <c r="AB393" s="8"/>
      <c r="AC393" s="8"/>
      <c r="AD393" s="8"/>
      <c r="AE393" s="8"/>
      <c r="AF393" s="8"/>
      <c r="AG393" s="8"/>
      <c r="AH393" s="8"/>
      <c r="AI393" s="8"/>
      <c r="AJ393" s="8"/>
      <c r="AK393" s="8"/>
      <c r="AL393" s="8"/>
      <c r="AM393" s="8">
        <v>66</v>
      </c>
      <c r="AN393" s="8" t="s">
        <v>52</v>
      </c>
      <c r="AO393" s="8" t="s">
        <v>53</v>
      </c>
      <c r="AP393" s="8">
        <v>-24318</v>
      </c>
      <c r="AQ393" s="8">
        <v>0</v>
      </c>
      <c r="AR393" s="8" t="s">
        <v>54</v>
      </c>
      <c r="AS393" s="8" t="s">
        <v>55</v>
      </c>
      <c r="AT393" s="8" t="s">
        <v>55</v>
      </c>
      <c r="AU393" s="8" t="s">
        <v>56</v>
      </c>
      <c r="AV393" s="8">
        <v>1690</v>
      </c>
      <c r="AW393" s="8" t="s">
        <v>57</v>
      </c>
      <c r="AX393" s="8" t="s">
        <v>55</v>
      </c>
      <c r="AY393" s="8" t="s">
        <v>49</v>
      </c>
      <c r="AZ393" s="8" t="s">
        <v>59</v>
      </c>
      <c r="BA393" s="8" t="s">
        <v>55</v>
      </c>
      <c r="BB393" s="8" t="s">
        <v>49</v>
      </c>
      <c r="BC393" s="8" t="s">
        <v>49</v>
      </c>
      <c r="BD393" s="8" t="s">
        <v>49</v>
      </c>
      <c r="BE393" s="8" t="s">
        <v>55</v>
      </c>
      <c r="BF393" s="8">
        <v>29</v>
      </c>
      <c r="BG393" s="8" t="s">
        <v>511</v>
      </c>
      <c r="BH393" s="8" t="s">
        <v>142</v>
      </c>
      <c r="BI393" s="8" t="s">
        <v>62</v>
      </c>
      <c r="BJ393" s="8" t="s">
        <v>63</v>
      </c>
      <c r="BK393" s="8">
        <v>1993</v>
      </c>
      <c r="BL393">
        <v>1</v>
      </c>
      <c r="BR393">
        <f t="shared" si="35"/>
        <v>1322</v>
      </c>
      <c r="BS393">
        <v>126</v>
      </c>
      <c r="BT393">
        <f t="shared" si="31"/>
        <v>1</v>
      </c>
    </row>
    <row r="394" spans="1:72" x14ac:dyDescent="0.2">
      <c r="A394" s="19" t="s">
        <v>640</v>
      </c>
      <c r="B394" s="1">
        <v>1470</v>
      </c>
      <c r="C394">
        <v>1</v>
      </c>
      <c r="D394" s="8" t="s">
        <v>48</v>
      </c>
      <c r="E394" s="12" t="s">
        <v>49</v>
      </c>
      <c r="F394" s="8">
        <v>1470</v>
      </c>
      <c r="G394" s="8">
        <v>1435</v>
      </c>
      <c r="H394" s="12">
        <v>613</v>
      </c>
      <c r="I394" s="3">
        <v>613</v>
      </c>
      <c r="J394" s="4">
        <v>613</v>
      </c>
      <c r="K394" s="4">
        <v>230</v>
      </c>
      <c r="L394" s="23">
        <v>120</v>
      </c>
      <c r="M394" s="5">
        <v>245</v>
      </c>
      <c r="N394" s="8">
        <v>221</v>
      </c>
      <c r="O394" s="8"/>
      <c r="P394" s="8"/>
      <c r="Q394" s="4" t="s">
        <v>51</v>
      </c>
      <c r="R394" s="4" t="s">
        <v>51</v>
      </c>
      <c r="S394" s="23" t="s">
        <v>80</v>
      </c>
      <c r="T394" s="5" t="s">
        <v>65</v>
      </c>
      <c r="U394" s="8" t="s">
        <v>399</v>
      </c>
      <c r="V394" s="8"/>
      <c r="W394" s="8">
        <v>6</v>
      </c>
      <c r="X394" s="8">
        <v>12</v>
      </c>
      <c r="Y394" s="4">
        <f>J394+K394</f>
        <v>843</v>
      </c>
      <c r="Z394" s="4">
        <v>1</v>
      </c>
      <c r="AA394" s="8"/>
      <c r="AB394" s="8"/>
      <c r="AC394" s="8"/>
      <c r="AD394" s="8"/>
      <c r="AE394" s="5">
        <f>M394</f>
        <v>245</v>
      </c>
      <c r="AF394" s="5">
        <v>1</v>
      </c>
      <c r="AG394" s="23">
        <f>L394</f>
        <v>120</v>
      </c>
      <c r="AH394" s="23">
        <v>1</v>
      </c>
      <c r="AI394" s="8"/>
      <c r="AJ394" s="8"/>
      <c r="AK394" s="8"/>
      <c r="AL394" s="8"/>
      <c r="AM394" s="8">
        <v>51</v>
      </c>
      <c r="AN394" s="8" t="s">
        <v>52</v>
      </c>
      <c r="AO394" s="8" t="s">
        <v>53</v>
      </c>
      <c r="AP394" s="8">
        <v>-18664</v>
      </c>
      <c r="AQ394" s="8">
        <v>0</v>
      </c>
      <c r="AR394" s="8" t="s">
        <v>54</v>
      </c>
      <c r="AS394" s="8" t="s">
        <v>55</v>
      </c>
      <c r="AT394" s="8" t="s">
        <v>55</v>
      </c>
      <c r="AU394" s="8" t="s">
        <v>56</v>
      </c>
      <c r="AV394" s="8">
        <v>1691</v>
      </c>
      <c r="AW394" s="8" t="s">
        <v>57</v>
      </c>
      <c r="AX394" s="8" t="s">
        <v>55</v>
      </c>
      <c r="AY394" s="8" t="s">
        <v>58</v>
      </c>
      <c r="AZ394" s="8" t="s">
        <v>59</v>
      </c>
      <c r="BA394" s="8" t="s">
        <v>55</v>
      </c>
      <c r="BB394" s="8" t="s">
        <v>49</v>
      </c>
      <c r="BC394" s="8" t="s">
        <v>49</v>
      </c>
      <c r="BD394" s="8" t="s">
        <v>66</v>
      </c>
      <c r="BE394" s="8" t="s">
        <v>55</v>
      </c>
      <c r="BF394" s="8">
        <v>29</v>
      </c>
      <c r="BG394" s="8" t="s">
        <v>511</v>
      </c>
      <c r="BH394" s="8" t="s">
        <v>61</v>
      </c>
      <c r="BI394" s="8" t="s">
        <v>62</v>
      </c>
      <c r="BJ394" s="8" t="s">
        <v>63</v>
      </c>
      <c r="BK394" s="8">
        <v>1995</v>
      </c>
      <c r="BL394">
        <v>1</v>
      </c>
      <c r="BM394">
        <v>1</v>
      </c>
      <c r="BN394">
        <v>1</v>
      </c>
      <c r="BO394">
        <v>1</v>
      </c>
      <c r="BP394">
        <v>1</v>
      </c>
      <c r="BR394">
        <f t="shared" si="35"/>
        <v>460</v>
      </c>
      <c r="BS394">
        <v>153</v>
      </c>
      <c r="BT394">
        <f t="shared" si="31"/>
        <v>5</v>
      </c>
    </row>
    <row r="395" spans="1:72" x14ac:dyDescent="0.2">
      <c r="A395" s="19" t="s">
        <v>641</v>
      </c>
      <c r="B395" s="1">
        <v>2872</v>
      </c>
      <c r="C395">
        <v>1</v>
      </c>
      <c r="D395" s="8" t="s">
        <v>48</v>
      </c>
      <c r="E395" s="12" t="s">
        <v>49</v>
      </c>
      <c r="F395" s="8">
        <v>2872</v>
      </c>
      <c r="G395" s="8">
        <v>2872</v>
      </c>
      <c r="H395" s="12">
        <v>549</v>
      </c>
      <c r="I395" s="3">
        <v>549</v>
      </c>
      <c r="J395" s="4">
        <v>544</v>
      </c>
      <c r="K395" s="4">
        <v>150</v>
      </c>
      <c r="L395" s="23">
        <v>854</v>
      </c>
      <c r="M395" s="5">
        <v>567</v>
      </c>
      <c r="N395" s="4">
        <v>163</v>
      </c>
      <c r="O395" s="8">
        <v>273</v>
      </c>
      <c r="P395" s="8" t="s">
        <v>798</v>
      </c>
      <c r="Q395" s="4" t="s">
        <v>51</v>
      </c>
      <c r="R395" s="4" t="s">
        <v>51</v>
      </c>
      <c r="S395" s="23" t="s">
        <v>80</v>
      </c>
      <c r="T395" s="5" t="s">
        <v>65</v>
      </c>
      <c r="U395" s="4" t="s">
        <v>51</v>
      </c>
      <c r="V395" s="8" t="s">
        <v>264</v>
      </c>
      <c r="W395" s="8">
        <v>3</v>
      </c>
      <c r="X395" s="8">
        <v>6</v>
      </c>
      <c r="Y395" s="4">
        <f>N395+K395+J395</f>
        <v>857</v>
      </c>
      <c r="Z395" s="4">
        <v>1</v>
      </c>
      <c r="AA395" s="8"/>
      <c r="AB395" s="8"/>
      <c r="AC395" s="8"/>
      <c r="AD395" s="8"/>
      <c r="AE395" s="5">
        <f>M395</f>
        <v>567</v>
      </c>
      <c r="AF395" s="5">
        <v>1</v>
      </c>
      <c r="AG395" s="23">
        <f>L395</f>
        <v>854</v>
      </c>
      <c r="AH395" s="23">
        <v>1</v>
      </c>
      <c r="AI395" s="8"/>
      <c r="AJ395" s="8"/>
      <c r="AK395" s="8"/>
      <c r="AL395" s="8"/>
      <c r="AM395" s="8">
        <v>58</v>
      </c>
      <c r="AN395" s="8" t="s">
        <v>126</v>
      </c>
      <c r="AO395" s="8" t="s">
        <v>53</v>
      </c>
      <c r="AP395" s="8">
        <v>-21193</v>
      </c>
      <c r="AQ395" s="8">
        <v>0</v>
      </c>
      <c r="AR395" s="8" t="s">
        <v>54</v>
      </c>
      <c r="AS395" s="8" t="s">
        <v>55</v>
      </c>
      <c r="AT395" s="8" t="s">
        <v>55</v>
      </c>
      <c r="AU395" s="8" t="s">
        <v>56</v>
      </c>
      <c r="AV395" s="8">
        <v>1692</v>
      </c>
      <c r="AW395" s="8" t="s">
        <v>57</v>
      </c>
      <c r="AX395" s="8" t="s">
        <v>55</v>
      </c>
      <c r="AY395" s="8" t="s">
        <v>58</v>
      </c>
      <c r="AZ395" s="8" t="s">
        <v>59</v>
      </c>
      <c r="BA395" s="8" t="s">
        <v>55</v>
      </c>
      <c r="BB395" s="8" t="s">
        <v>49</v>
      </c>
      <c r="BC395" s="8" t="s">
        <v>115</v>
      </c>
      <c r="BD395" s="8" t="s">
        <v>49</v>
      </c>
      <c r="BE395" s="8" t="s">
        <v>55</v>
      </c>
      <c r="BF395" s="8">
        <v>29</v>
      </c>
      <c r="BG395" s="8" t="s">
        <v>511</v>
      </c>
      <c r="BH395" s="8" t="s">
        <v>142</v>
      </c>
      <c r="BI395" s="8" t="s">
        <v>62</v>
      </c>
      <c r="BJ395" s="8" t="s">
        <v>63</v>
      </c>
      <c r="BK395" s="8">
        <v>1997</v>
      </c>
      <c r="BL395">
        <v>1</v>
      </c>
      <c r="BM395">
        <v>1</v>
      </c>
      <c r="BN395">
        <v>1</v>
      </c>
      <c r="BO395">
        <v>1</v>
      </c>
      <c r="BP395">
        <v>1</v>
      </c>
      <c r="BQ395">
        <v>1</v>
      </c>
      <c r="BR395">
        <f t="shared" si="35"/>
        <v>486</v>
      </c>
      <c r="BS395">
        <v>63</v>
      </c>
      <c r="BT395">
        <f t="shared" si="31"/>
        <v>6</v>
      </c>
    </row>
    <row r="396" spans="1:72" x14ac:dyDescent="0.2">
      <c r="A396" s="19" t="s">
        <v>460</v>
      </c>
      <c r="B396" s="1">
        <v>3095</v>
      </c>
      <c r="C396">
        <v>0</v>
      </c>
      <c r="D396" t="s">
        <v>68</v>
      </c>
      <c r="E396" s="2" t="s">
        <v>49</v>
      </c>
      <c r="F396" t="s">
        <v>49</v>
      </c>
      <c r="G396">
        <v>3095</v>
      </c>
      <c r="H396" s="2">
        <v>694</v>
      </c>
      <c r="I396" s="3">
        <v>694</v>
      </c>
      <c r="J396" s="4">
        <f>I396-18</f>
        <v>676</v>
      </c>
      <c r="K396" s="4">
        <v>339</v>
      </c>
      <c r="L396" s="6">
        <v>230</v>
      </c>
      <c r="M396" s="11">
        <v>368</v>
      </c>
      <c r="N396" s="7">
        <v>113</v>
      </c>
      <c r="O396" s="5">
        <v>259</v>
      </c>
      <c r="P396" s="8" t="s">
        <v>798</v>
      </c>
      <c r="Q396" s="4" t="s">
        <v>51</v>
      </c>
      <c r="R396" s="4" t="s">
        <v>51</v>
      </c>
      <c r="S396" s="6" t="s">
        <v>74</v>
      </c>
      <c r="T396" s="11" t="s">
        <v>90</v>
      </c>
      <c r="U396" s="7" t="s">
        <v>75</v>
      </c>
      <c r="V396" s="5" t="s">
        <v>65</v>
      </c>
      <c r="W396" s="8">
        <v>8</v>
      </c>
      <c r="X396" s="8">
        <v>16</v>
      </c>
      <c r="Y396" s="4">
        <f>J396+K396</f>
        <v>1015</v>
      </c>
      <c r="Z396" s="4">
        <v>1</v>
      </c>
      <c r="AA396" s="11">
        <f>M396</f>
        <v>368</v>
      </c>
      <c r="AB396" s="11">
        <v>1</v>
      </c>
      <c r="AC396" s="6">
        <f>L396</f>
        <v>230</v>
      </c>
      <c r="AD396" s="6">
        <v>1</v>
      </c>
      <c r="AE396" s="5">
        <f>O396</f>
        <v>259</v>
      </c>
      <c r="AF396" s="5">
        <v>1</v>
      </c>
      <c r="AI396" s="7">
        <f>N396</f>
        <v>113</v>
      </c>
      <c r="AJ396" s="7">
        <v>1</v>
      </c>
      <c r="AK396" s="8"/>
      <c r="AL396" s="8"/>
      <c r="AM396">
        <v>72</v>
      </c>
      <c r="AN396" t="s">
        <v>101</v>
      </c>
      <c r="AO396" t="s">
        <v>53</v>
      </c>
      <c r="AP396">
        <v>-26300</v>
      </c>
      <c r="AQ396">
        <v>0</v>
      </c>
      <c r="AR396" t="s">
        <v>54</v>
      </c>
      <c r="AS396" t="s">
        <v>55</v>
      </c>
      <c r="AT396" t="s">
        <v>55</v>
      </c>
      <c r="AU396" t="s">
        <v>56</v>
      </c>
      <c r="AV396">
        <v>1693</v>
      </c>
      <c r="AW396" t="s">
        <v>57</v>
      </c>
      <c r="AX396" t="s">
        <v>55</v>
      </c>
      <c r="AY396" t="s">
        <v>58</v>
      </c>
      <c r="AZ396" t="s">
        <v>59</v>
      </c>
      <c r="BA396" t="s">
        <v>55</v>
      </c>
      <c r="BB396" t="s">
        <v>49</v>
      </c>
      <c r="BC396" t="s">
        <v>49</v>
      </c>
      <c r="BD396" t="s">
        <v>106</v>
      </c>
      <c r="BE396" t="s">
        <v>53</v>
      </c>
      <c r="BF396">
        <v>29</v>
      </c>
      <c r="BG396" t="s">
        <v>60</v>
      </c>
      <c r="BH396" t="s">
        <v>82</v>
      </c>
      <c r="BI396" t="s">
        <v>62</v>
      </c>
      <c r="BJ396" t="s">
        <v>63</v>
      </c>
      <c r="BK396">
        <v>2001</v>
      </c>
      <c r="BL396">
        <v>1</v>
      </c>
      <c r="BM396">
        <v>1</v>
      </c>
      <c r="BN396">
        <v>1</v>
      </c>
      <c r="BO396">
        <v>1</v>
      </c>
      <c r="BP396">
        <v>1</v>
      </c>
      <c r="BQ396">
        <v>1</v>
      </c>
      <c r="BR396">
        <f t="shared" si="35"/>
        <v>504</v>
      </c>
      <c r="BS396">
        <v>190</v>
      </c>
      <c r="BT396">
        <f t="shared" si="31"/>
        <v>6</v>
      </c>
    </row>
    <row r="397" spans="1:72" x14ac:dyDescent="0.2">
      <c r="A397" s="19" t="s">
        <v>642</v>
      </c>
      <c r="B397" s="1">
        <v>1187</v>
      </c>
      <c r="C397">
        <v>1</v>
      </c>
      <c r="D397" s="8" t="s">
        <v>48</v>
      </c>
      <c r="E397" s="12" t="s">
        <v>49</v>
      </c>
      <c r="F397" s="8">
        <v>1187</v>
      </c>
      <c r="G397" s="8">
        <v>1172</v>
      </c>
      <c r="H397" s="12" t="s">
        <v>49</v>
      </c>
      <c r="I397" s="3">
        <v>198</v>
      </c>
      <c r="J397" s="4">
        <v>198</v>
      </c>
      <c r="K397" s="11">
        <v>429</v>
      </c>
      <c r="L397" s="5">
        <v>92</v>
      </c>
      <c r="M397" s="7">
        <v>207</v>
      </c>
      <c r="N397" s="11">
        <v>88</v>
      </c>
      <c r="O397" s="23">
        <v>44</v>
      </c>
      <c r="P397" s="8"/>
      <c r="Q397" s="4" t="s">
        <v>51</v>
      </c>
      <c r="R397" s="11" t="s">
        <v>90</v>
      </c>
      <c r="S397" s="5" t="s">
        <v>65</v>
      </c>
      <c r="T397" s="7" t="s">
        <v>75</v>
      </c>
      <c r="U397" s="11" t="s">
        <v>90</v>
      </c>
      <c r="V397" s="23" t="s">
        <v>80</v>
      </c>
      <c r="W397" s="8">
        <v>5</v>
      </c>
      <c r="X397" s="8">
        <v>10</v>
      </c>
      <c r="Y397" s="4">
        <f>J397</f>
        <v>198</v>
      </c>
      <c r="Z397" s="4">
        <v>1</v>
      </c>
      <c r="AA397" s="11">
        <f>N397+K397</f>
        <v>517</v>
      </c>
      <c r="AB397" s="11">
        <v>1</v>
      </c>
      <c r="AC397" s="8"/>
      <c r="AD397" s="8"/>
      <c r="AE397" s="5">
        <f>L397</f>
        <v>92</v>
      </c>
      <c r="AF397" s="5">
        <v>1</v>
      </c>
      <c r="AG397" s="23">
        <f>O397</f>
        <v>44</v>
      </c>
      <c r="AH397" s="23">
        <v>1</v>
      </c>
      <c r="AI397" s="7">
        <f>M397</f>
        <v>207</v>
      </c>
      <c r="AJ397" s="7">
        <v>1</v>
      </c>
      <c r="AK397" s="8"/>
      <c r="AL397" s="8"/>
      <c r="AM397" s="8">
        <v>45</v>
      </c>
      <c r="AN397" s="8" t="s">
        <v>52</v>
      </c>
      <c r="AO397" s="8" t="s">
        <v>53</v>
      </c>
      <c r="AP397" s="8">
        <v>-16522</v>
      </c>
      <c r="AQ397" s="8">
        <v>0</v>
      </c>
      <c r="AR397" s="8" t="s">
        <v>54</v>
      </c>
      <c r="AS397" s="8" t="s">
        <v>55</v>
      </c>
      <c r="AT397" s="8" t="s">
        <v>55</v>
      </c>
      <c r="AU397" s="8" t="s">
        <v>56</v>
      </c>
      <c r="AV397" s="8">
        <v>1694</v>
      </c>
      <c r="AW397" s="8" t="s">
        <v>57</v>
      </c>
      <c r="AX397" s="8" t="s">
        <v>55</v>
      </c>
      <c r="AY397" s="8" t="s">
        <v>92</v>
      </c>
      <c r="AZ397" s="8" t="s">
        <v>59</v>
      </c>
      <c r="BA397" s="8" t="s">
        <v>55</v>
      </c>
      <c r="BB397" s="8" t="s">
        <v>49</v>
      </c>
      <c r="BC397" s="8" t="s">
        <v>49</v>
      </c>
      <c r="BD397" s="8" t="s">
        <v>106</v>
      </c>
      <c r="BE397" s="8" t="s">
        <v>55</v>
      </c>
      <c r="BF397" s="8">
        <v>29</v>
      </c>
      <c r="BG397" s="8" t="s">
        <v>571</v>
      </c>
      <c r="BH397" s="8" t="s">
        <v>142</v>
      </c>
      <c r="BI397" s="8" t="s">
        <v>62</v>
      </c>
      <c r="BJ397" s="8" t="s">
        <v>63</v>
      </c>
      <c r="BK397" s="8">
        <v>2002</v>
      </c>
      <c r="BL397">
        <v>1</v>
      </c>
      <c r="BM397">
        <v>1</v>
      </c>
      <c r="BN397">
        <v>1</v>
      </c>
      <c r="BO397">
        <v>1</v>
      </c>
      <c r="BP397">
        <v>1</v>
      </c>
      <c r="BQ397">
        <v>1</v>
      </c>
      <c r="BR397">
        <f t="shared" si="35"/>
        <v>37</v>
      </c>
      <c r="BS397">
        <v>161</v>
      </c>
      <c r="BT397">
        <f t="shared" si="31"/>
        <v>6</v>
      </c>
    </row>
    <row r="398" spans="1:72" x14ac:dyDescent="0.2">
      <c r="A398" s="19" t="s">
        <v>643</v>
      </c>
      <c r="B398" s="1">
        <v>1229</v>
      </c>
      <c r="C398">
        <v>1</v>
      </c>
      <c r="D398" s="8" t="s">
        <v>48</v>
      </c>
      <c r="E398" s="12" t="s">
        <v>49</v>
      </c>
      <c r="F398" s="8">
        <v>1229</v>
      </c>
      <c r="G398" s="8">
        <v>24</v>
      </c>
      <c r="H398" s="12" t="s">
        <v>49</v>
      </c>
      <c r="I398" s="3">
        <v>1229</v>
      </c>
      <c r="J398" s="8" t="s">
        <v>50</v>
      </c>
      <c r="K398" s="8"/>
      <c r="L398" s="8"/>
      <c r="M398" s="8"/>
      <c r="N398" s="8"/>
      <c r="O398" s="8"/>
      <c r="P398" s="8"/>
      <c r="Q398" s="8" t="s">
        <v>50</v>
      </c>
      <c r="R398" s="8"/>
      <c r="S398" s="8"/>
      <c r="T398" s="8"/>
      <c r="U398" s="8"/>
      <c r="V398" s="8"/>
      <c r="W398" s="8"/>
      <c r="X398" s="8"/>
      <c r="Y398" s="8"/>
      <c r="Z398" s="8"/>
      <c r="AA398" s="8"/>
      <c r="AB398" s="8"/>
      <c r="AC398" s="8"/>
      <c r="AD398" s="8"/>
      <c r="AE398" s="8"/>
      <c r="AF398" s="8"/>
      <c r="AG398" s="8"/>
      <c r="AH398" s="8"/>
      <c r="AI398" s="8"/>
      <c r="AJ398" s="8"/>
      <c r="AK398" s="8"/>
      <c r="AL398" s="8"/>
      <c r="AM398" s="8">
        <v>62</v>
      </c>
      <c r="AN398" s="8" t="s">
        <v>101</v>
      </c>
      <c r="AO398" s="8" t="s">
        <v>49</v>
      </c>
      <c r="AP398" s="8">
        <v>-22894</v>
      </c>
      <c r="AQ398" s="8">
        <v>0</v>
      </c>
      <c r="AR398" s="8" t="s">
        <v>54</v>
      </c>
      <c r="AS398" s="8" t="s">
        <v>49</v>
      </c>
      <c r="AT398" s="8" t="s">
        <v>49</v>
      </c>
      <c r="AU398" s="8" t="s">
        <v>56</v>
      </c>
      <c r="AV398" s="8">
        <v>1695</v>
      </c>
      <c r="AW398" s="8" t="s">
        <v>49</v>
      </c>
      <c r="AX398" s="8" t="s">
        <v>55</v>
      </c>
      <c r="AY398" s="8" t="s">
        <v>49</v>
      </c>
      <c r="AZ398" s="8" t="s">
        <v>59</v>
      </c>
      <c r="BA398" s="8" t="s">
        <v>55</v>
      </c>
      <c r="BB398" s="8" t="s">
        <v>49</v>
      </c>
      <c r="BC398" s="8" t="s">
        <v>49</v>
      </c>
      <c r="BD398" s="8" t="s">
        <v>49</v>
      </c>
      <c r="BE398" s="8" t="s">
        <v>49</v>
      </c>
      <c r="BF398" s="8">
        <v>29</v>
      </c>
      <c r="BG398" s="8" t="s">
        <v>511</v>
      </c>
      <c r="BH398" s="8" t="s">
        <v>82</v>
      </c>
      <c r="BI398" s="8" t="s">
        <v>62</v>
      </c>
      <c r="BJ398" s="8" t="s">
        <v>63</v>
      </c>
      <c r="BK398" s="8">
        <v>2003</v>
      </c>
      <c r="BT398">
        <f t="shared" ref="BT398:BT461" si="36">COUNT(BL398:BQ398)</f>
        <v>0</v>
      </c>
    </row>
    <row r="399" spans="1:72" x14ac:dyDescent="0.2">
      <c r="A399" s="19" t="s">
        <v>644</v>
      </c>
      <c r="B399" s="1">
        <v>1032</v>
      </c>
      <c r="C399">
        <v>1</v>
      </c>
      <c r="D399" s="8" t="s">
        <v>48</v>
      </c>
      <c r="E399" s="12" t="s">
        <v>49</v>
      </c>
      <c r="F399" s="8">
        <v>1032</v>
      </c>
      <c r="G399" s="8">
        <v>1025</v>
      </c>
      <c r="H399" s="12">
        <v>342</v>
      </c>
      <c r="I399" s="3">
        <v>342</v>
      </c>
      <c r="J399" s="4">
        <f>I399-17</f>
        <v>325</v>
      </c>
      <c r="K399" s="5">
        <v>150</v>
      </c>
      <c r="L399" s="7">
        <v>91</v>
      </c>
      <c r="M399" s="11">
        <v>266</v>
      </c>
      <c r="N399" s="6">
        <v>84</v>
      </c>
      <c r="O399" s="8">
        <v>84</v>
      </c>
      <c r="P399" s="8"/>
      <c r="Q399" s="4" t="s">
        <v>51</v>
      </c>
      <c r="R399" s="5" t="s">
        <v>65</v>
      </c>
      <c r="S399" s="7" t="s">
        <v>75</v>
      </c>
      <c r="T399" s="11" t="s">
        <v>90</v>
      </c>
      <c r="U399" s="6" t="s">
        <v>74</v>
      </c>
      <c r="V399" s="8" t="s">
        <v>264</v>
      </c>
      <c r="W399" s="8">
        <v>8</v>
      </c>
      <c r="X399" s="8">
        <v>16</v>
      </c>
      <c r="Y399" s="4">
        <f>J399</f>
        <v>325</v>
      </c>
      <c r="Z399" s="4">
        <v>1</v>
      </c>
      <c r="AA399" s="11">
        <f>M399</f>
        <v>266</v>
      </c>
      <c r="AB399" s="11">
        <v>1</v>
      </c>
      <c r="AC399" s="6">
        <f>N399</f>
        <v>84</v>
      </c>
      <c r="AD399" s="6">
        <v>1</v>
      </c>
      <c r="AE399" s="5">
        <f>K399</f>
        <v>150</v>
      </c>
      <c r="AF399" s="5">
        <v>1</v>
      </c>
      <c r="AG399" s="8"/>
      <c r="AH399" s="8"/>
      <c r="AI399" s="7">
        <f>L399</f>
        <v>91</v>
      </c>
      <c r="AJ399" s="7">
        <v>1</v>
      </c>
      <c r="AK399" s="8"/>
      <c r="AL399" s="8"/>
      <c r="AM399" s="8">
        <v>43</v>
      </c>
      <c r="AN399" s="8" t="s">
        <v>126</v>
      </c>
      <c r="AO399" s="8" t="s">
        <v>53</v>
      </c>
      <c r="AP399" s="8">
        <v>-15818</v>
      </c>
      <c r="AQ399" s="8">
        <v>0</v>
      </c>
      <c r="AR399" s="8" t="s">
        <v>54</v>
      </c>
      <c r="AS399" s="8" t="s">
        <v>55</v>
      </c>
      <c r="AT399" s="8" t="s">
        <v>55</v>
      </c>
      <c r="AU399" s="8" t="s">
        <v>56</v>
      </c>
      <c r="AV399" s="8">
        <v>1696</v>
      </c>
      <c r="AW399" s="8" t="s">
        <v>57</v>
      </c>
      <c r="AX399" s="8" t="s">
        <v>55</v>
      </c>
      <c r="AY399" s="8" t="s">
        <v>114</v>
      </c>
      <c r="AZ399" s="8" t="s">
        <v>59</v>
      </c>
      <c r="BA399" s="8" t="s">
        <v>55</v>
      </c>
      <c r="BB399" s="8" t="s">
        <v>49</v>
      </c>
      <c r="BC399" s="8" t="s">
        <v>49</v>
      </c>
      <c r="BD399" s="8" t="s">
        <v>106</v>
      </c>
      <c r="BE399" s="8" t="s">
        <v>55</v>
      </c>
      <c r="BF399" s="8">
        <v>29</v>
      </c>
      <c r="BG399" s="8" t="s">
        <v>511</v>
      </c>
      <c r="BH399" s="8" t="s">
        <v>61</v>
      </c>
      <c r="BI399" s="8" t="s">
        <v>62</v>
      </c>
      <c r="BJ399" s="8" t="s">
        <v>63</v>
      </c>
      <c r="BK399" s="8">
        <v>2003</v>
      </c>
      <c r="BL399">
        <v>1</v>
      </c>
      <c r="BM399">
        <v>1</v>
      </c>
      <c r="BN399">
        <v>1</v>
      </c>
      <c r="BO399">
        <v>1</v>
      </c>
      <c r="BP399">
        <v>1</v>
      </c>
      <c r="BQ399">
        <v>1</v>
      </c>
      <c r="BR399">
        <f>I399-BS399</f>
        <v>171</v>
      </c>
      <c r="BS399">
        <v>171</v>
      </c>
      <c r="BT399">
        <f t="shared" si="36"/>
        <v>6</v>
      </c>
    </row>
    <row r="400" spans="1:72" x14ac:dyDescent="0.2">
      <c r="A400" s="19" t="s">
        <v>461</v>
      </c>
      <c r="B400" s="1">
        <v>948</v>
      </c>
      <c r="C400">
        <v>1</v>
      </c>
      <c r="D400" t="s">
        <v>48</v>
      </c>
      <c r="E400" s="2" t="s">
        <v>49</v>
      </c>
      <c r="F400">
        <v>948</v>
      </c>
      <c r="G400">
        <v>948</v>
      </c>
      <c r="H400" s="2">
        <v>499</v>
      </c>
      <c r="I400" s="3">
        <v>499</v>
      </c>
      <c r="J400" s="4">
        <f>I400-28</f>
        <v>471</v>
      </c>
      <c r="K400" s="6">
        <v>42</v>
      </c>
      <c r="L400" s="11">
        <v>229</v>
      </c>
      <c r="M400" s="5">
        <v>97</v>
      </c>
      <c r="N400" s="11">
        <v>49</v>
      </c>
      <c r="O400" s="9">
        <v>22</v>
      </c>
      <c r="P400" s="8"/>
      <c r="Q400" s="4" t="s">
        <v>51</v>
      </c>
      <c r="R400" s="6" t="s">
        <v>74</v>
      </c>
      <c r="S400" s="11" t="s">
        <v>90</v>
      </c>
      <c r="T400" s="5" t="s">
        <v>65</v>
      </c>
      <c r="U400" s="11" t="s">
        <v>90</v>
      </c>
      <c r="V400" s="9" t="s">
        <v>80</v>
      </c>
      <c r="W400" s="8">
        <v>8</v>
      </c>
      <c r="X400" s="8">
        <v>15</v>
      </c>
      <c r="Y400" s="4">
        <f>J400</f>
        <v>471</v>
      </c>
      <c r="Z400" s="4">
        <v>1</v>
      </c>
      <c r="AA400" s="11">
        <f>N400+L400</f>
        <v>278</v>
      </c>
      <c r="AB400" s="11">
        <v>1</v>
      </c>
      <c r="AC400" s="6">
        <f>K400</f>
        <v>42</v>
      </c>
      <c r="AD400" s="6">
        <v>1</v>
      </c>
      <c r="AE400" s="5">
        <f>M400</f>
        <v>97</v>
      </c>
      <c r="AF400" s="5">
        <v>1</v>
      </c>
      <c r="AG400" s="9">
        <v>22</v>
      </c>
      <c r="AH400" s="9">
        <v>1</v>
      </c>
      <c r="AM400">
        <v>62</v>
      </c>
      <c r="AN400" t="s">
        <v>52</v>
      </c>
      <c r="AO400" t="s">
        <v>53</v>
      </c>
      <c r="AP400">
        <v>-22933</v>
      </c>
      <c r="AQ400">
        <v>0</v>
      </c>
      <c r="AR400" t="s">
        <v>54</v>
      </c>
      <c r="AS400" t="s">
        <v>55</v>
      </c>
      <c r="AT400" t="s">
        <v>55</v>
      </c>
      <c r="AU400" t="s">
        <v>56</v>
      </c>
      <c r="AV400">
        <v>1697</v>
      </c>
      <c r="AW400" t="s">
        <v>57</v>
      </c>
      <c r="AX400" t="s">
        <v>55</v>
      </c>
      <c r="AY400" t="s">
        <v>58</v>
      </c>
      <c r="AZ400" t="s">
        <v>59</v>
      </c>
      <c r="BA400" t="s">
        <v>55</v>
      </c>
      <c r="BB400" t="s">
        <v>49</v>
      </c>
      <c r="BC400" t="s">
        <v>49</v>
      </c>
      <c r="BD400" t="s">
        <v>66</v>
      </c>
      <c r="BE400" t="s">
        <v>55</v>
      </c>
      <c r="BF400">
        <v>29</v>
      </c>
      <c r="BG400" t="s">
        <v>60</v>
      </c>
      <c r="BH400" t="s">
        <v>82</v>
      </c>
      <c r="BI400" t="s">
        <v>62</v>
      </c>
      <c r="BJ400" t="s">
        <v>63</v>
      </c>
      <c r="BK400">
        <v>2003</v>
      </c>
      <c r="BL400">
        <v>1</v>
      </c>
      <c r="BM400">
        <v>1</v>
      </c>
      <c r="BN400">
        <v>1</v>
      </c>
      <c r="BO400">
        <v>1</v>
      </c>
      <c r="BP400">
        <v>1</v>
      </c>
      <c r="BQ400">
        <v>1</v>
      </c>
      <c r="BR400">
        <f>I400-BS400</f>
        <v>318</v>
      </c>
      <c r="BS400">
        <v>181</v>
      </c>
      <c r="BT400">
        <f t="shared" si="36"/>
        <v>6</v>
      </c>
    </row>
    <row r="401" spans="1:72" x14ac:dyDescent="0.2">
      <c r="A401" s="19" t="s">
        <v>462</v>
      </c>
      <c r="B401" s="1">
        <v>2245</v>
      </c>
      <c r="C401">
        <v>0</v>
      </c>
      <c r="D401" t="s">
        <v>68</v>
      </c>
      <c r="E401" s="2" t="s">
        <v>49</v>
      </c>
      <c r="F401" t="s">
        <v>49</v>
      </c>
      <c r="G401">
        <v>2077</v>
      </c>
      <c r="H401" s="2">
        <v>180</v>
      </c>
      <c r="I401" s="3">
        <v>741</v>
      </c>
      <c r="J401" s="4">
        <f>741-8</f>
        <v>733</v>
      </c>
      <c r="K401" s="4">
        <v>579</v>
      </c>
      <c r="L401" s="10">
        <v>259</v>
      </c>
      <c r="M401" s="9">
        <v>35</v>
      </c>
      <c r="N401" s="5">
        <v>197</v>
      </c>
      <c r="O401" s="6">
        <v>239</v>
      </c>
      <c r="P401" s="8" t="s">
        <v>857</v>
      </c>
      <c r="Q401" s="4" t="s">
        <v>51</v>
      </c>
      <c r="R401" s="4" t="s">
        <v>51</v>
      </c>
      <c r="S401" s="10" t="s">
        <v>87</v>
      </c>
      <c r="T401" s="9" t="s">
        <v>80</v>
      </c>
      <c r="U401" s="5" t="s">
        <v>65</v>
      </c>
      <c r="V401" s="6" t="s">
        <v>74</v>
      </c>
      <c r="W401" s="8">
        <v>9</v>
      </c>
      <c r="X401" s="8">
        <v>18</v>
      </c>
      <c r="Y401" s="4">
        <f>J401+K401</f>
        <v>1312</v>
      </c>
      <c r="Z401" s="4">
        <v>1</v>
      </c>
      <c r="AA401" s="11">
        <v>195</v>
      </c>
      <c r="AB401" s="11">
        <v>0</v>
      </c>
      <c r="AC401" s="6">
        <f>O401</f>
        <v>239</v>
      </c>
      <c r="AD401" s="6">
        <v>1</v>
      </c>
      <c r="AE401" s="5">
        <f>N401</f>
        <v>197</v>
      </c>
      <c r="AF401" s="5">
        <v>1</v>
      </c>
      <c r="AG401" s="9">
        <f>M401</f>
        <v>35</v>
      </c>
      <c r="AH401" s="9">
        <v>1</v>
      </c>
      <c r="AK401" s="10">
        <f>L401</f>
        <v>259</v>
      </c>
      <c r="AL401" s="10">
        <v>1</v>
      </c>
      <c r="AM401">
        <v>53</v>
      </c>
      <c r="AN401" t="s">
        <v>52</v>
      </c>
      <c r="AO401" t="s">
        <v>53</v>
      </c>
      <c r="AP401">
        <v>-19611</v>
      </c>
      <c r="AQ401">
        <v>0</v>
      </c>
      <c r="AR401" t="s">
        <v>54</v>
      </c>
      <c r="AS401" t="s">
        <v>53</v>
      </c>
      <c r="AT401" t="s">
        <v>55</v>
      </c>
      <c r="AU401" t="s">
        <v>56</v>
      </c>
      <c r="AV401">
        <v>1698</v>
      </c>
      <c r="AW401" t="s">
        <v>57</v>
      </c>
      <c r="AX401" t="s">
        <v>55</v>
      </c>
      <c r="AY401" t="s">
        <v>58</v>
      </c>
      <c r="AZ401" t="s">
        <v>111</v>
      </c>
      <c r="BA401" t="s">
        <v>55</v>
      </c>
      <c r="BB401" t="s">
        <v>49</v>
      </c>
      <c r="BC401" t="s">
        <v>49</v>
      </c>
      <c r="BD401" t="s">
        <v>106</v>
      </c>
      <c r="BE401" t="s">
        <v>53</v>
      </c>
      <c r="BF401">
        <v>29</v>
      </c>
      <c r="BG401" t="s">
        <v>60</v>
      </c>
      <c r="BH401" t="s">
        <v>61</v>
      </c>
      <c r="BI401" t="s">
        <v>62</v>
      </c>
      <c r="BJ401" t="s">
        <v>63</v>
      </c>
      <c r="BK401">
        <v>2004</v>
      </c>
      <c r="BL401">
        <v>1</v>
      </c>
      <c r="BM401">
        <v>1</v>
      </c>
      <c r="BN401">
        <v>1</v>
      </c>
      <c r="BO401">
        <v>1</v>
      </c>
      <c r="BP401">
        <v>1</v>
      </c>
      <c r="BQ401">
        <v>1</v>
      </c>
      <c r="BR401">
        <f>I401-BS401</f>
        <v>505</v>
      </c>
      <c r="BS401">
        <v>236</v>
      </c>
      <c r="BT401">
        <f t="shared" si="36"/>
        <v>6</v>
      </c>
    </row>
    <row r="402" spans="1:72" x14ac:dyDescent="0.2">
      <c r="A402" s="19" t="s">
        <v>463</v>
      </c>
      <c r="B402" s="1">
        <v>1106</v>
      </c>
      <c r="C402">
        <v>1</v>
      </c>
      <c r="D402" t="s">
        <v>48</v>
      </c>
      <c r="E402" s="2" t="s">
        <v>49</v>
      </c>
      <c r="F402">
        <v>1106</v>
      </c>
      <c r="G402">
        <v>16</v>
      </c>
      <c r="H402" s="2" t="s">
        <v>49</v>
      </c>
      <c r="I402" s="3">
        <v>1106</v>
      </c>
      <c r="J402" t="s">
        <v>50</v>
      </c>
      <c r="Q402" t="s">
        <v>50</v>
      </c>
      <c r="AM402">
        <v>57</v>
      </c>
      <c r="AN402" t="s">
        <v>52</v>
      </c>
      <c r="AO402" t="s">
        <v>49</v>
      </c>
      <c r="AP402">
        <v>-21130</v>
      </c>
      <c r="AQ402">
        <v>0</v>
      </c>
      <c r="AR402" t="s">
        <v>54</v>
      </c>
      <c r="AS402" t="s">
        <v>49</v>
      </c>
      <c r="AT402" t="s">
        <v>49</v>
      </c>
      <c r="AU402" t="s">
        <v>56</v>
      </c>
      <c r="AV402">
        <v>1699</v>
      </c>
      <c r="AW402" t="s">
        <v>49</v>
      </c>
      <c r="AX402" t="s">
        <v>55</v>
      </c>
      <c r="AY402" t="s">
        <v>49</v>
      </c>
      <c r="AZ402" t="s">
        <v>59</v>
      </c>
      <c r="BA402" t="s">
        <v>49</v>
      </c>
      <c r="BB402" t="s">
        <v>49</v>
      </c>
      <c r="BC402" t="s">
        <v>49</v>
      </c>
      <c r="BD402" t="s">
        <v>49</v>
      </c>
      <c r="BE402" t="s">
        <v>49</v>
      </c>
      <c r="BF402">
        <v>29</v>
      </c>
      <c r="BG402" t="s">
        <v>60</v>
      </c>
      <c r="BH402" t="s">
        <v>61</v>
      </c>
      <c r="BI402" t="s">
        <v>62</v>
      </c>
      <c r="BJ402" t="s">
        <v>63</v>
      </c>
      <c r="BK402">
        <v>2004</v>
      </c>
      <c r="BT402">
        <f t="shared" si="36"/>
        <v>0</v>
      </c>
    </row>
    <row r="403" spans="1:72" x14ac:dyDescent="0.2">
      <c r="A403" s="19" t="s">
        <v>464</v>
      </c>
      <c r="B403" s="1">
        <v>515</v>
      </c>
      <c r="C403">
        <v>1</v>
      </c>
      <c r="D403" t="s">
        <v>48</v>
      </c>
      <c r="E403" s="2" t="s">
        <v>49</v>
      </c>
      <c r="F403">
        <v>515</v>
      </c>
      <c r="G403">
        <v>514</v>
      </c>
      <c r="H403" s="2">
        <v>298</v>
      </c>
      <c r="I403" s="3">
        <v>298</v>
      </c>
      <c r="J403" s="4">
        <f>I403-31</f>
        <v>267</v>
      </c>
      <c r="K403" s="5">
        <v>91</v>
      </c>
      <c r="L403" s="11">
        <v>106</v>
      </c>
      <c r="Q403" s="4" t="s">
        <v>51</v>
      </c>
      <c r="R403" s="5" t="s">
        <v>65</v>
      </c>
      <c r="S403" s="11" t="s">
        <v>90</v>
      </c>
      <c r="W403">
        <v>5</v>
      </c>
      <c r="X403">
        <v>10</v>
      </c>
      <c r="Y403" s="4">
        <f>J403</f>
        <v>267</v>
      </c>
      <c r="Z403" s="4">
        <v>1</v>
      </c>
      <c r="AA403" s="11">
        <f>L403</f>
        <v>106</v>
      </c>
      <c r="AB403" s="11">
        <v>1</v>
      </c>
      <c r="AE403" s="5">
        <f>K403</f>
        <v>91</v>
      </c>
      <c r="AF403" s="5">
        <v>1</v>
      </c>
      <c r="AM403">
        <v>56</v>
      </c>
      <c r="AN403" t="s">
        <v>52</v>
      </c>
      <c r="AO403" t="s">
        <v>55</v>
      </c>
      <c r="AP403">
        <v>-20736</v>
      </c>
      <c r="AQ403">
        <v>0</v>
      </c>
      <c r="AR403" t="s">
        <v>54</v>
      </c>
      <c r="AS403" t="s">
        <v>55</v>
      </c>
      <c r="AT403" t="s">
        <v>55</v>
      </c>
      <c r="AU403" t="s">
        <v>56</v>
      </c>
      <c r="AV403">
        <v>1701</v>
      </c>
      <c r="AW403" t="s">
        <v>57</v>
      </c>
      <c r="AX403" t="s">
        <v>55</v>
      </c>
      <c r="AY403" t="s">
        <v>114</v>
      </c>
      <c r="AZ403" t="s">
        <v>59</v>
      </c>
      <c r="BA403" t="s">
        <v>55</v>
      </c>
      <c r="BB403" t="s">
        <v>49</v>
      </c>
      <c r="BC403" t="s">
        <v>49</v>
      </c>
      <c r="BD403" t="s">
        <v>106</v>
      </c>
      <c r="BE403" t="s">
        <v>55</v>
      </c>
      <c r="BF403">
        <v>29</v>
      </c>
      <c r="BG403" t="s">
        <v>60</v>
      </c>
      <c r="BH403" t="s">
        <v>49</v>
      </c>
      <c r="BI403" t="s">
        <v>62</v>
      </c>
      <c r="BJ403" t="s">
        <v>63</v>
      </c>
      <c r="BK403">
        <v>2004</v>
      </c>
      <c r="BL403">
        <v>1</v>
      </c>
      <c r="BM403">
        <v>1</v>
      </c>
      <c r="BN403">
        <v>1</v>
      </c>
      <c r="BR403">
        <f t="shared" ref="BR403:BR409" si="37">I403-BS403</f>
        <v>138</v>
      </c>
      <c r="BS403">
        <v>160</v>
      </c>
      <c r="BT403">
        <f t="shared" si="36"/>
        <v>3</v>
      </c>
    </row>
    <row r="404" spans="1:72" x14ac:dyDescent="0.2">
      <c r="A404" s="19" t="s">
        <v>465</v>
      </c>
      <c r="B404" s="1">
        <v>728</v>
      </c>
      <c r="C404">
        <v>1</v>
      </c>
      <c r="D404" t="s">
        <v>48</v>
      </c>
      <c r="E404" s="2" t="s">
        <v>49</v>
      </c>
      <c r="F404">
        <v>728</v>
      </c>
      <c r="G404">
        <v>567</v>
      </c>
      <c r="H404" s="2">
        <v>285</v>
      </c>
      <c r="I404" s="3">
        <v>285</v>
      </c>
      <c r="J404" s="4">
        <v>285</v>
      </c>
      <c r="K404" s="5">
        <v>90</v>
      </c>
      <c r="L404" s="9">
        <v>273</v>
      </c>
      <c r="Q404" s="4" t="s">
        <v>51</v>
      </c>
      <c r="R404" s="5" t="s">
        <v>65</v>
      </c>
      <c r="S404" s="9" t="s">
        <v>80</v>
      </c>
      <c r="W404">
        <v>6</v>
      </c>
      <c r="X404">
        <v>12</v>
      </c>
      <c r="Y404" s="4">
        <f>J404</f>
        <v>285</v>
      </c>
      <c r="Z404" s="4">
        <v>1</v>
      </c>
      <c r="AE404" s="5">
        <f>K404</f>
        <v>90</v>
      </c>
      <c r="AF404" s="5">
        <v>1</v>
      </c>
      <c r="AG404" s="9">
        <f>L404</f>
        <v>273</v>
      </c>
      <c r="AH404" s="9">
        <v>1</v>
      </c>
      <c r="AM404">
        <v>84</v>
      </c>
      <c r="AN404" t="s">
        <v>126</v>
      </c>
      <c r="AO404" t="s">
        <v>53</v>
      </c>
      <c r="AP404">
        <v>-30910</v>
      </c>
      <c r="AQ404">
        <v>0</v>
      </c>
      <c r="AR404" t="s">
        <v>54</v>
      </c>
      <c r="AS404" t="s">
        <v>55</v>
      </c>
      <c r="AT404" t="s">
        <v>55</v>
      </c>
      <c r="AU404" t="s">
        <v>56</v>
      </c>
      <c r="AV404">
        <v>1702</v>
      </c>
      <c r="AW404" t="s">
        <v>57</v>
      </c>
      <c r="AX404" t="s">
        <v>55</v>
      </c>
      <c r="AY404" t="s">
        <v>58</v>
      </c>
      <c r="AZ404" t="s">
        <v>59</v>
      </c>
      <c r="BA404" t="s">
        <v>55</v>
      </c>
      <c r="BB404" t="s">
        <v>49</v>
      </c>
      <c r="BC404" t="s">
        <v>49</v>
      </c>
      <c r="BD404" t="s">
        <v>106</v>
      </c>
      <c r="BE404" t="s">
        <v>55</v>
      </c>
      <c r="BF404">
        <v>29</v>
      </c>
      <c r="BG404" t="s">
        <v>60</v>
      </c>
      <c r="BH404" t="s">
        <v>61</v>
      </c>
      <c r="BI404" t="s">
        <v>62</v>
      </c>
      <c r="BJ404" t="s">
        <v>63</v>
      </c>
      <c r="BK404">
        <v>2005</v>
      </c>
      <c r="BL404">
        <v>1</v>
      </c>
      <c r="BM404">
        <v>1</v>
      </c>
      <c r="BN404">
        <v>1</v>
      </c>
      <c r="BR404">
        <f t="shared" si="37"/>
        <v>87</v>
      </c>
      <c r="BS404">
        <v>198</v>
      </c>
      <c r="BT404">
        <f t="shared" si="36"/>
        <v>3</v>
      </c>
    </row>
    <row r="405" spans="1:72" x14ac:dyDescent="0.2">
      <c r="A405" s="19" t="s">
        <v>646</v>
      </c>
      <c r="B405" s="1">
        <v>1815</v>
      </c>
      <c r="C405">
        <v>1</v>
      </c>
      <c r="D405" s="8" t="s">
        <v>48</v>
      </c>
      <c r="E405" s="12" t="s">
        <v>49</v>
      </c>
      <c r="F405" s="8">
        <v>1815</v>
      </c>
      <c r="G405" s="8">
        <v>1815</v>
      </c>
      <c r="H405" s="12">
        <v>324</v>
      </c>
      <c r="I405" s="3">
        <v>324</v>
      </c>
      <c r="J405" s="4">
        <f>I405-16</f>
        <v>308</v>
      </c>
      <c r="K405" s="4">
        <v>266</v>
      </c>
      <c r="L405" s="8">
        <v>573</v>
      </c>
      <c r="M405" s="5">
        <v>260</v>
      </c>
      <c r="N405" s="7">
        <v>143</v>
      </c>
      <c r="O405" s="11">
        <v>27</v>
      </c>
      <c r="P405" s="8" t="s">
        <v>798</v>
      </c>
      <c r="Q405" s="4" t="s">
        <v>51</v>
      </c>
      <c r="R405" s="4" t="s">
        <v>51</v>
      </c>
      <c r="S405" s="8" t="s">
        <v>264</v>
      </c>
      <c r="T405" s="5" t="s">
        <v>65</v>
      </c>
      <c r="U405" s="7" t="s">
        <v>75</v>
      </c>
      <c r="V405" s="11" t="s">
        <v>90</v>
      </c>
      <c r="W405" s="8">
        <v>6</v>
      </c>
      <c r="X405" s="8">
        <v>12</v>
      </c>
      <c r="Y405" s="4">
        <f>J405+K405</f>
        <v>574</v>
      </c>
      <c r="Z405" s="4">
        <v>1</v>
      </c>
      <c r="AA405" s="11">
        <f>O405</f>
        <v>27</v>
      </c>
      <c r="AB405" s="11">
        <v>1</v>
      </c>
      <c r="AC405" s="8"/>
      <c r="AD405" s="8"/>
      <c r="AE405" s="5">
        <f>M405</f>
        <v>260</v>
      </c>
      <c r="AF405" s="5">
        <v>1</v>
      </c>
      <c r="AG405" s="8"/>
      <c r="AH405" s="8"/>
      <c r="AI405" s="7">
        <f>N405</f>
        <v>143</v>
      </c>
      <c r="AJ405" s="7">
        <v>1</v>
      </c>
      <c r="AK405" s="8"/>
      <c r="AL405" s="8"/>
      <c r="AM405" s="8">
        <v>56</v>
      </c>
      <c r="AN405" s="8" t="s">
        <v>52</v>
      </c>
      <c r="AO405" s="8" t="s">
        <v>53</v>
      </c>
      <c r="AP405" s="8">
        <v>-20622</v>
      </c>
      <c r="AQ405" s="8">
        <v>0</v>
      </c>
      <c r="AR405" s="8" t="s">
        <v>54</v>
      </c>
      <c r="AS405" s="8" t="s">
        <v>53</v>
      </c>
      <c r="AT405" s="8" t="s">
        <v>55</v>
      </c>
      <c r="AU405" s="8" t="s">
        <v>56</v>
      </c>
      <c r="AV405" s="8">
        <v>1703</v>
      </c>
      <c r="AW405" s="8" t="s">
        <v>57</v>
      </c>
      <c r="AX405" s="8" t="s">
        <v>55</v>
      </c>
      <c r="AY405" s="8" t="s">
        <v>58</v>
      </c>
      <c r="AZ405" s="8" t="s">
        <v>111</v>
      </c>
      <c r="BA405" s="8" t="s">
        <v>55</v>
      </c>
      <c r="BB405" s="8" t="s">
        <v>49</v>
      </c>
      <c r="BC405" s="8" t="s">
        <v>49</v>
      </c>
      <c r="BD405" s="8" t="s">
        <v>66</v>
      </c>
      <c r="BE405" s="8" t="s">
        <v>53</v>
      </c>
      <c r="BF405" s="8">
        <v>29</v>
      </c>
      <c r="BG405" s="8" t="s">
        <v>511</v>
      </c>
      <c r="BH405" s="8" t="s">
        <v>61</v>
      </c>
      <c r="BI405" s="8" t="s">
        <v>62</v>
      </c>
      <c r="BJ405" s="8" t="s">
        <v>63</v>
      </c>
      <c r="BK405" s="8">
        <v>2005</v>
      </c>
      <c r="BL405">
        <v>1</v>
      </c>
      <c r="BM405">
        <v>1</v>
      </c>
      <c r="BN405">
        <v>1</v>
      </c>
      <c r="BO405">
        <v>1</v>
      </c>
      <c r="BP405">
        <v>1</v>
      </c>
      <c r="BQ405">
        <v>1</v>
      </c>
      <c r="BR405">
        <f t="shared" si="37"/>
        <v>162</v>
      </c>
      <c r="BS405">
        <v>162</v>
      </c>
      <c r="BT405">
        <f t="shared" si="36"/>
        <v>6</v>
      </c>
    </row>
    <row r="406" spans="1:72" x14ac:dyDescent="0.2">
      <c r="A406" s="19" t="s">
        <v>466</v>
      </c>
      <c r="B406" s="1">
        <v>1587</v>
      </c>
      <c r="C406">
        <v>0</v>
      </c>
      <c r="D406" t="s">
        <v>68</v>
      </c>
      <c r="E406" s="2" t="s">
        <v>49</v>
      </c>
      <c r="F406" t="s">
        <v>49</v>
      </c>
      <c r="G406">
        <v>1587</v>
      </c>
      <c r="H406" s="2">
        <v>568</v>
      </c>
      <c r="I406" s="3">
        <v>568</v>
      </c>
      <c r="J406" s="4">
        <f>I406-21</f>
        <v>547</v>
      </c>
      <c r="K406" s="4">
        <v>546</v>
      </c>
      <c r="L406" s="5">
        <v>378</v>
      </c>
      <c r="M406" s="6">
        <v>21</v>
      </c>
      <c r="Q406" s="4" t="s">
        <v>51</v>
      </c>
      <c r="R406" s="4" t="s">
        <v>51</v>
      </c>
      <c r="S406" s="5" t="s">
        <v>65</v>
      </c>
      <c r="T406" s="6" t="s">
        <v>74</v>
      </c>
      <c r="W406" s="8">
        <v>6</v>
      </c>
      <c r="X406" s="8">
        <v>12</v>
      </c>
      <c r="Y406" s="4">
        <f>J406+K406</f>
        <v>1093</v>
      </c>
      <c r="Z406" s="4">
        <v>1</v>
      </c>
      <c r="AC406" s="6">
        <f>M406</f>
        <v>21</v>
      </c>
      <c r="AD406" s="6">
        <v>0</v>
      </c>
      <c r="AE406" s="5">
        <f>L406</f>
        <v>378</v>
      </c>
      <c r="AF406" s="5">
        <v>1</v>
      </c>
      <c r="AM406">
        <v>61</v>
      </c>
      <c r="AN406" t="s">
        <v>52</v>
      </c>
      <c r="AO406" t="s">
        <v>53</v>
      </c>
      <c r="AP406">
        <v>-22511</v>
      </c>
      <c r="AQ406">
        <v>0</v>
      </c>
      <c r="AR406" t="s">
        <v>54</v>
      </c>
      <c r="AS406" t="s">
        <v>55</v>
      </c>
      <c r="AT406" t="s">
        <v>55</v>
      </c>
      <c r="AU406" t="s">
        <v>56</v>
      </c>
      <c r="AV406">
        <v>1704</v>
      </c>
      <c r="AW406" t="s">
        <v>57</v>
      </c>
      <c r="AX406" t="s">
        <v>55</v>
      </c>
      <c r="AY406" t="s">
        <v>58</v>
      </c>
      <c r="AZ406" t="s">
        <v>59</v>
      </c>
      <c r="BA406" t="s">
        <v>55</v>
      </c>
      <c r="BB406" t="s">
        <v>49</v>
      </c>
      <c r="BC406" t="s">
        <v>115</v>
      </c>
      <c r="BD406" t="s">
        <v>106</v>
      </c>
      <c r="BE406" t="s">
        <v>55</v>
      </c>
      <c r="BF406">
        <v>29</v>
      </c>
      <c r="BG406" t="s">
        <v>60</v>
      </c>
      <c r="BH406" t="s">
        <v>142</v>
      </c>
      <c r="BI406" t="s">
        <v>62</v>
      </c>
      <c r="BJ406" t="s">
        <v>63</v>
      </c>
      <c r="BK406">
        <v>2005</v>
      </c>
      <c r="BL406">
        <v>1</v>
      </c>
      <c r="BM406">
        <v>1</v>
      </c>
      <c r="BN406">
        <v>1</v>
      </c>
      <c r="BO406">
        <v>0</v>
      </c>
      <c r="BR406">
        <f t="shared" si="37"/>
        <v>399</v>
      </c>
      <c r="BS406">
        <v>169</v>
      </c>
      <c r="BT406">
        <f t="shared" si="36"/>
        <v>4</v>
      </c>
    </row>
    <row r="407" spans="1:72" x14ac:dyDescent="0.2">
      <c r="A407" s="19" t="s">
        <v>647</v>
      </c>
      <c r="B407" s="1">
        <v>555</v>
      </c>
      <c r="C407">
        <v>1</v>
      </c>
      <c r="D407" s="8" t="s">
        <v>48</v>
      </c>
      <c r="E407" s="12" t="s">
        <v>49</v>
      </c>
      <c r="F407" s="8">
        <v>555</v>
      </c>
      <c r="G407" s="8">
        <v>555</v>
      </c>
      <c r="H407" s="12">
        <v>283</v>
      </c>
      <c r="I407" s="3">
        <v>283</v>
      </c>
      <c r="J407" s="4">
        <f>I407-13</f>
        <v>270</v>
      </c>
      <c r="K407" s="7">
        <v>129</v>
      </c>
      <c r="L407" s="5">
        <v>108</v>
      </c>
      <c r="M407" s="11">
        <v>31</v>
      </c>
      <c r="N407" s="8"/>
      <c r="O407" s="8"/>
      <c r="P407" s="8"/>
      <c r="Q407" s="4" t="s">
        <v>51</v>
      </c>
      <c r="R407" s="7" t="s">
        <v>75</v>
      </c>
      <c r="S407" s="5" t="s">
        <v>65</v>
      </c>
      <c r="T407" s="11" t="s">
        <v>90</v>
      </c>
      <c r="U407" s="8"/>
      <c r="V407" s="8"/>
      <c r="W407" s="8">
        <v>8</v>
      </c>
      <c r="X407" s="8">
        <v>14</v>
      </c>
      <c r="Y407" s="4">
        <f>J407</f>
        <v>270</v>
      </c>
      <c r="Z407" s="4">
        <v>1</v>
      </c>
      <c r="AA407" s="11">
        <f>M407</f>
        <v>31</v>
      </c>
      <c r="AB407" s="11">
        <v>1</v>
      </c>
      <c r="AC407" s="8"/>
      <c r="AD407" s="8"/>
      <c r="AE407" s="5">
        <f>L407</f>
        <v>108</v>
      </c>
      <c r="AF407" s="5">
        <v>1</v>
      </c>
      <c r="AG407" s="8"/>
      <c r="AH407" s="8"/>
      <c r="AI407" s="7">
        <f>K407</f>
        <v>129</v>
      </c>
      <c r="AJ407" s="7">
        <v>1</v>
      </c>
      <c r="AK407" s="8"/>
      <c r="AL407" s="8"/>
      <c r="AM407" s="8">
        <v>47</v>
      </c>
      <c r="AN407" s="8" t="s">
        <v>52</v>
      </c>
      <c r="AO407" s="8" t="s">
        <v>53</v>
      </c>
      <c r="AP407" s="8">
        <v>-17530</v>
      </c>
      <c r="AQ407" s="8">
        <v>0</v>
      </c>
      <c r="AR407" s="8" t="s">
        <v>54</v>
      </c>
      <c r="AS407" s="8" t="s">
        <v>55</v>
      </c>
      <c r="AT407" s="8" t="s">
        <v>55</v>
      </c>
      <c r="AU407" s="8" t="s">
        <v>56</v>
      </c>
      <c r="AV407" s="8">
        <v>1705</v>
      </c>
      <c r="AW407" s="8" t="s">
        <v>57</v>
      </c>
      <c r="AX407" s="8" t="s">
        <v>55</v>
      </c>
      <c r="AY407" s="8" t="s">
        <v>58</v>
      </c>
      <c r="AZ407" s="8" t="s">
        <v>59</v>
      </c>
      <c r="BA407" s="8" t="s">
        <v>55</v>
      </c>
      <c r="BB407" s="8" t="s">
        <v>49</v>
      </c>
      <c r="BC407" s="8" t="s">
        <v>49</v>
      </c>
      <c r="BD407" s="8" t="s">
        <v>106</v>
      </c>
      <c r="BE407" s="8" t="s">
        <v>55</v>
      </c>
      <c r="BF407" s="8">
        <v>29</v>
      </c>
      <c r="BG407" s="8" t="s">
        <v>511</v>
      </c>
      <c r="BH407" s="8" t="s">
        <v>82</v>
      </c>
      <c r="BI407" s="8" t="s">
        <v>62</v>
      </c>
      <c r="BJ407" s="8" t="s">
        <v>63</v>
      </c>
      <c r="BK407" s="8">
        <v>2005</v>
      </c>
      <c r="BL407">
        <v>1</v>
      </c>
      <c r="BM407">
        <v>1</v>
      </c>
      <c r="BN407">
        <v>1</v>
      </c>
      <c r="BO407">
        <v>1</v>
      </c>
      <c r="BR407">
        <f t="shared" si="37"/>
        <v>116</v>
      </c>
      <c r="BS407">
        <v>167</v>
      </c>
      <c r="BT407">
        <f t="shared" si="36"/>
        <v>4</v>
      </c>
    </row>
    <row r="408" spans="1:72" x14ac:dyDescent="0.2">
      <c r="A408" s="19" t="s">
        <v>648</v>
      </c>
      <c r="B408" s="1">
        <v>1375</v>
      </c>
      <c r="C408">
        <v>0</v>
      </c>
      <c r="D408" s="8" t="s">
        <v>68</v>
      </c>
      <c r="E408" s="12" t="s">
        <v>49</v>
      </c>
      <c r="F408" s="8" t="s">
        <v>49</v>
      </c>
      <c r="G408" s="8">
        <v>1276</v>
      </c>
      <c r="H408" s="12">
        <v>1200</v>
      </c>
      <c r="I408" s="3">
        <v>1200</v>
      </c>
      <c r="J408" s="4">
        <f>I408-24</f>
        <v>1176</v>
      </c>
      <c r="K408" s="8">
        <v>99</v>
      </c>
      <c r="L408" s="8"/>
      <c r="M408" s="8"/>
      <c r="N408" s="8"/>
      <c r="O408" s="8"/>
      <c r="P408" s="8"/>
      <c r="Q408" s="4" t="s">
        <v>51</v>
      </c>
      <c r="R408" s="8" t="s">
        <v>255</v>
      </c>
      <c r="S408" s="8"/>
      <c r="T408" s="8"/>
      <c r="U408" s="8"/>
      <c r="V408" s="8"/>
      <c r="W408" s="8">
        <v>6</v>
      </c>
      <c r="X408" s="8">
        <v>12</v>
      </c>
      <c r="Y408" s="4">
        <f>J408</f>
        <v>1176</v>
      </c>
      <c r="Z408" s="4">
        <v>1</v>
      </c>
      <c r="AA408" s="8"/>
      <c r="AB408" s="8"/>
      <c r="AC408" s="8"/>
      <c r="AD408" s="8"/>
      <c r="AE408" s="8"/>
      <c r="AF408" s="8"/>
      <c r="AG408" s="8"/>
      <c r="AH408" s="8"/>
      <c r="AI408" s="8"/>
      <c r="AJ408" s="8"/>
      <c r="AK408" s="8"/>
      <c r="AL408" s="8"/>
      <c r="AM408" s="8">
        <v>41</v>
      </c>
      <c r="AN408" s="8" t="s">
        <v>101</v>
      </c>
      <c r="AO408" s="8" t="s">
        <v>53</v>
      </c>
      <c r="AP408" s="8">
        <v>-15017</v>
      </c>
      <c r="AQ408" s="8">
        <v>0</v>
      </c>
      <c r="AR408" s="8" t="s">
        <v>54</v>
      </c>
      <c r="AS408" s="8" t="s">
        <v>55</v>
      </c>
      <c r="AT408" s="8" t="s">
        <v>55</v>
      </c>
      <c r="AU408" s="8" t="s">
        <v>56</v>
      </c>
      <c r="AV408" s="8">
        <v>1707</v>
      </c>
      <c r="AW408" s="8" t="s">
        <v>49</v>
      </c>
      <c r="AX408" s="8" t="s">
        <v>55</v>
      </c>
      <c r="AY408" s="8" t="s">
        <v>58</v>
      </c>
      <c r="AZ408" s="8" t="s">
        <v>59</v>
      </c>
      <c r="BA408" s="8" t="s">
        <v>55</v>
      </c>
      <c r="BB408" s="8" t="s">
        <v>49</v>
      </c>
      <c r="BC408" s="8" t="s">
        <v>49</v>
      </c>
      <c r="BD408" s="8" t="s">
        <v>66</v>
      </c>
      <c r="BE408" s="8" t="s">
        <v>55</v>
      </c>
      <c r="BF408" s="8">
        <v>29</v>
      </c>
      <c r="BG408" s="8" t="s">
        <v>60</v>
      </c>
      <c r="BH408" s="8" t="s">
        <v>71</v>
      </c>
      <c r="BI408" s="8" t="s">
        <v>521</v>
      </c>
      <c r="BJ408" s="8" t="s">
        <v>63</v>
      </c>
      <c r="BK408" s="8">
        <v>2006</v>
      </c>
      <c r="BL408">
        <v>1</v>
      </c>
      <c r="BM408">
        <v>0</v>
      </c>
      <c r="BR408">
        <f t="shared" si="37"/>
        <v>1058</v>
      </c>
      <c r="BS408">
        <v>142</v>
      </c>
      <c r="BT408">
        <f t="shared" si="36"/>
        <v>2</v>
      </c>
    </row>
    <row r="409" spans="1:72" x14ac:dyDescent="0.2">
      <c r="A409" s="19" t="s">
        <v>649</v>
      </c>
      <c r="B409" s="1">
        <v>951</v>
      </c>
      <c r="C409">
        <v>1</v>
      </c>
      <c r="D409" s="8" t="s">
        <v>48</v>
      </c>
      <c r="E409" s="12" t="s">
        <v>49</v>
      </c>
      <c r="F409" s="8">
        <v>951</v>
      </c>
      <c r="G409" s="8">
        <v>889</v>
      </c>
      <c r="H409" s="12">
        <v>315</v>
      </c>
      <c r="I409" s="3">
        <v>315</v>
      </c>
      <c r="J409" s="4">
        <f>I409-31</f>
        <v>284</v>
      </c>
      <c r="K409" s="5">
        <v>146</v>
      </c>
      <c r="L409" s="7">
        <v>88</v>
      </c>
      <c r="M409" s="11">
        <v>126</v>
      </c>
      <c r="N409" s="6">
        <v>98</v>
      </c>
      <c r="O409" s="23">
        <v>171</v>
      </c>
      <c r="P409" s="8" t="s">
        <v>830</v>
      </c>
      <c r="Q409" s="4" t="s">
        <v>51</v>
      </c>
      <c r="R409" s="5" t="s">
        <v>65</v>
      </c>
      <c r="S409" s="7" t="s">
        <v>75</v>
      </c>
      <c r="T409" s="11" t="s">
        <v>90</v>
      </c>
      <c r="U409" s="6" t="s">
        <v>74</v>
      </c>
      <c r="V409" s="23" t="s">
        <v>80</v>
      </c>
      <c r="W409" s="8">
        <v>6</v>
      </c>
      <c r="X409" s="8">
        <v>12</v>
      </c>
      <c r="Y409" s="4">
        <v>284</v>
      </c>
      <c r="Z409" s="4">
        <v>1</v>
      </c>
      <c r="AA409" s="11">
        <v>126</v>
      </c>
      <c r="AB409" s="11">
        <v>1</v>
      </c>
      <c r="AC409" s="6">
        <v>98</v>
      </c>
      <c r="AD409" s="6">
        <v>1</v>
      </c>
      <c r="AE409" s="5">
        <f>K409</f>
        <v>146</v>
      </c>
      <c r="AF409" s="5">
        <v>1</v>
      </c>
      <c r="AG409" s="23">
        <v>171</v>
      </c>
      <c r="AH409" s="23">
        <v>1</v>
      </c>
      <c r="AI409" s="7">
        <v>88</v>
      </c>
      <c r="AJ409" s="7">
        <v>1</v>
      </c>
      <c r="AK409" s="8"/>
      <c r="AL409" s="8"/>
      <c r="AM409" s="8">
        <v>54</v>
      </c>
      <c r="AN409" s="8" t="s">
        <v>52</v>
      </c>
      <c r="AO409" s="8" t="s">
        <v>53</v>
      </c>
      <c r="AP409" s="8">
        <v>-19968</v>
      </c>
      <c r="AQ409" s="8">
        <v>0</v>
      </c>
      <c r="AR409" s="8" t="s">
        <v>54</v>
      </c>
      <c r="AS409" s="8" t="s">
        <v>55</v>
      </c>
      <c r="AT409" s="8" t="s">
        <v>55</v>
      </c>
      <c r="AU409" s="8" t="s">
        <v>56</v>
      </c>
      <c r="AV409" s="8">
        <v>1710</v>
      </c>
      <c r="AW409" s="8" t="s">
        <v>57</v>
      </c>
      <c r="AX409" s="8" t="s">
        <v>55</v>
      </c>
      <c r="AY409" s="8" t="s">
        <v>114</v>
      </c>
      <c r="AZ409" s="8" t="s">
        <v>59</v>
      </c>
      <c r="BA409" s="8" t="s">
        <v>55</v>
      </c>
      <c r="BB409" s="8" t="s">
        <v>49</v>
      </c>
      <c r="BC409" s="8" t="s">
        <v>49</v>
      </c>
      <c r="BD409" s="8" t="s">
        <v>66</v>
      </c>
      <c r="BE409" s="8" t="s">
        <v>53</v>
      </c>
      <c r="BF409" s="8">
        <v>29</v>
      </c>
      <c r="BG409" s="8" t="s">
        <v>511</v>
      </c>
      <c r="BH409" s="8" t="s">
        <v>61</v>
      </c>
      <c r="BI409" s="8" t="s">
        <v>62</v>
      </c>
      <c r="BJ409" s="8" t="s">
        <v>63</v>
      </c>
      <c r="BK409" s="8">
        <v>2006</v>
      </c>
      <c r="BL409">
        <v>1</v>
      </c>
      <c r="BM409">
        <v>1</v>
      </c>
      <c r="BN409">
        <v>1</v>
      </c>
      <c r="BO409">
        <v>1</v>
      </c>
      <c r="BP409">
        <v>1</v>
      </c>
      <c r="BQ409">
        <v>1</v>
      </c>
      <c r="BR409">
        <f t="shared" si="37"/>
        <v>165</v>
      </c>
      <c r="BS409">
        <v>150</v>
      </c>
      <c r="BT409">
        <f t="shared" si="36"/>
        <v>6</v>
      </c>
    </row>
    <row r="410" spans="1:72" x14ac:dyDescent="0.2">
      <c r="A410" s="19" t="s">
        <v>650</v>
      </c>
      <c r="B410" s="1">
        <v>1053</v>
      </c>
      <c r="C410">
        <v>0</v>
      </c>
      <c r="D410" s="8" t="s">
        <v>68</v>
      </c>
      <c r="E410" s="12" t="s">
        <v>49</v>
      </c>
      <c r="F410" s="8" t="s">
        <v>49</v>
      </c>
      <c r="G410" s="8">
        <v>1053</v>
      </c>
      <c r="H410" s="12" t="s">
        <v>49</v>
      </c>
      <c r="I410" s="3" t="s">
        <v>69</v>
      </c>
      <c r="J410" s="4">
        <v>1023</v>
      </c>
      <c r="K410" s="8"/>
      <c r="L410" s="8"/>
      <c r="M410" s="8"/>
      <c r="N410" s="8"/>
      <c r="O410" s="8"/>
      <c r="P410" s="8" t="s">
        <v>830</v>
      </c>
      <c r="Q410" s="4" t="s">
        <v>51</v>
      </c>
      <c r="R410" s="8"/>
      <c r="S410" s="8"/>
      <c r="T410" s="8"/>
      <c r="U410" s="8"/>
      <c r="V410" s="8"/>
      <c r="W410" s="8">
        <v>6</v>
      </c>
      <c r="X410" s="8">
        <v>12</v>
      </c>
      <c r="Y410" s="4">
        <f>J410</f>
        <v>1023</v>
      </c>
      <c r="Z410" s="4">
        <v>0</v>
      </c>
      <c r="AA410" s="8"/>
      <c r="AB410" s="8"/>
      <c r="AC410" s="8"/>
      <c r="AD410" s="8"/>
      <c r="AE410" s="8"/>
      <c r="AF410" s="8"/>
      <c r="AG410" s="8"/>
      <c r="AH410" s="8"/>
      <c r="AI410" s="8"/>
      <c r="AJ410" s="8"/>
      <c r="AK410" s="8"/>
      <c r="AL410" s="8"/>
      <c r="AM410" s="8">
        <v>45</v>
      </c>
      <c r="AN410" s="8" t="s">
        <v>52</v>
      </c>
      <c r="AO410" s="8" t="s">
        <v>53</v>
      </c>
      <c r="AP410" s="8">
        <v>-16485</v>
      </c>
      <c r="AQ410" s="8">
        <v>0</v>
      </c>
      <c r="AR410" s="8" t="s">
        <v>54</v>
      </c>
      <c r="AS410" s="8" t="s">
        <v>55</v>
      </c>
      <c r="AT410" s="8" t="s">
        <v>55</v>
      </c>
      <c r="AU410" s="8" t="s">
        <v>56</v>
      </c>
      <c r="AV410" s="8">
        <v>1711</v>
      </c>
      <c r="AW410" s="8" t="s">
        <v>70</v>
      </c>
      <c r="AX410" s="8" t="s">
        <v>55</v>
      </c>
      <c r="AY410" s="8" t="s">
        <v>58</v>
      </c>
      <c r="AZ410" s="8" t="s">
        <v>111</v>
      </c>
      <c r="BA410" s="8" t="s">
        <v>55</v>
      </c>
      <c r="BB410" s="8" t="s">
        <v>49</v>
      </c>
      <c r="BC410" s="8" t="s">
        <v>49</v>
      </c>
      <c r="BD410" s="8" t="s">
        <v>49</v>
      </c>
      <c r="BE410" s="8" t="s">
        <v>53</v>
      </c>
      <c r="BF410" s="8">
        <v>29</v>
      </c>
      <c r="BG410" s="8" t="s">
        <v>511</v>
      </c>
      <c r="BH410" s="8" t="s">
        <v>71</v>
      </c>
      <c r="BI410" s="8" t="s">
        <v>62</v>
      </c>
      <c r="BJ410" s="8" t="s">
        <v>63</v>
      </c>
      <c r="BK410" s="8">
        <v>2006</v>
      </c>
      <c r="BL410">
        <v>0</v>
      </c>
      <c r="BR410">
        <f>B410-BS410</f>
        <v>917</v>
      </c>
      <c r="BS410">
        <v>136</v>
      </c>
      <c r="BT410">
        <f t="shared" si="36"/>
        <v>1</v>
      </c>
    </row>
    <row r="411" spans="1:72" x14ac:dyDescent="0.2">
      <c r="A411" s="19" t="s">
        <v>467</v>
      </c>
      <c r="B411" s="1">
        <v>528</v>
      </c>
      <c r="C411">
        <v>1</v>
      </c>
      <c r="D411" t="s">
        <v>48</v>
      </c>
      <c r="E411" s="2" t="s">
        <v>49</v>
      </c>
      <c r="F411">
        <v>528</v>
      </c>
      <c r="G411">
        <v>517</v>
      </c>
      <c r="H411" s="2" t="s">
        <v>49</v>
      </c>
      <c r="I411" s="3">
        <v>528</v>
      </c>
      <c r="J411" s="4">
        <v>466</v>
      </c>
      <c r="Q411" s="4" t="s">
        <v>51</v>
      </c>
      <c r="W411" s="8">
        <v>3</v>
      </c>
      <c r="X411" s="8">
        <v>6</v>
      </c>
      <c r="Y411" s="4">
        <f>J411</f>
        <v>466</v>
      </c>
      <c r="Z411" s="4">
        <v>1</v>
      </c>
      <c r="AM411">
        <v>80</v>
      </c>
      <c r="AN411" t="s">
        <v>52</v>
      </c>
      <c r="AO411" t="s">
        <v>53</v>
      </c>
      <c r="AP411">
        <v>-29337</v>
      </c>
      <c r="AQ411">
        <v>0</v>
      </c>
      <c r="AR411" t="s">
        <v>54</v>
      </c>
      <c r="AS411" t="s">
        <v>55</v>
      </c>
      <c r="AT411" t="s">
        <v>55</v>
      </c>
      <c r="AU411" t="s">
        <v>56</v>
      </c>
      <c r="AV411">
        <v>1761</v>
      </c>
      <c r="AW411" t="s">
        <v>57</v>
      </c>
      <c r="AX411" t="s">
        <v>55</v>
      </c>
      <c r="AY411" t="s">
        <v>92</v>
      </c>
      <c r="AZ411" t="s">
        <v>180</v>
      </c>
      <c r="BA411" t="s">
        <v>55</v>
      </c>
      <c r="BB411" t="s">
        <v>49</v>
      </c>
      <c r="BC411" t="s">
        <v>49</v>
      </c>
      <c r="BD411" t="s">
        <v>49</v>
      </c>
      <c r="BE411" t="s">
        <v>55</v>
      </c>
      <c r="BF411">
        <v>29</v>
      </c>
      <c r="BG411" t="s">
        <v>60</v>
      </c>
      <c r="BH411" t="s">
        <v>82</v>
      </c>
      <c r="BI411" t="s">
        <v>62</v>
      </c>
      <c r="BJ411" t="s">
        <v>63</v>
      </c>
      <c r="BK411">
        <v>1998</v>
      </c>
      <c r="BL411">
        <v>1</v>
      </c>
      <c r="BR411">
        <f t="shared" ref="BR411:BR416" si="38">I411-BS411</f>
        <v>313</v>
      </c>
      <c r="BS411">
        <v>215</v>
      </c>
      <c r="BT411">
        <f t="shared" si="36"/>
        <v>1</v>
      </c>
    </row>
    <row r="412" spans="1:72" x14ac:dyDescent="0.2">
      <c r="A412" s="19" t="s">
        <v>651</v>
      </c>
      <c r="B412" s="1">
        <v>2634</v>
      </c>
      <c r="C412">
        <v>1</v>
      </c>
      <c r="D412" s="8" t="s">
        <v>48</v>
      </c>
      <c r="E412" s="12" t="s">
        <v>49</v>
      </c>
      <c r="F412" s="8">
        <v>2634</v>
      </c>
      <c r="G412" s="8">
        <v>2606</v>
      </c>
      <c r="H412" s="12">
        <v>1374</v>
      </c>
      <c r="I412" s="3">
        <v>1374</v>
      </c>
      <c r="J412" s="4">
        <f>I412-7</f>
        <v>1367</v>
      </c>
      <c r="K412" s="11">
        <v>780</v>
      </c>
      <c r="L412" s="5">
        <v>89</v>
      </c>
      <c r="M412" s="11">
        <v>183</v>
      </c>
      <c r="N412" s="23">
        <v>70</v>
      </c>
      <c r="O412" s="6">
        <v>126</v>
      </c>
      <c r="P412" s="8"/>
      <c r="Q412" s="4" t="s">
        <v>51</v>
      </c>
      <c r="R412" s="11" t="s">
        <v>90</v>
      </c>
      <c r="S412" s="5" t="s">
        <v>65</v>
      </c>
      <c r="T412" s="11" t="s">
        <v>90</v>
      </c>
      <c r="U412" s="23" t="s">
        <v>80</v>
      </c>
      <c r="V412" s="6" t="s">
        <v>74</v>
      </c>
      <c r="W412" s="8">
        <v>6</v>
      </c>
      <c r="X412" s="8">
        <v>12</v>
      </c>
      <c r="Y412" s="4">
        <f>J412</f>
        <v>1367</v>
      </c>
      <c r="Z412" s="4">
        <v>1</v>
      </c>
      <c r="AA412" s="11">
        <f>K412+M412</f>
        <v>963</v>
      </c>
      <c r="AB412" s="11">
        <v>1</v>
      </c>
      <c r="AC412" s="6">
        <v>126</v>
      </c>
      <c r="AD412" s="6">
        <v>1</v>
      </c>
      <c r="AE412" s="5">
        <v>89</v>
      </c>
      <c r="AF412" s="5">
        <v>1</v>
      </c>
      <c r="AG412" s="23">
        <v>70</v>
      </c>
      <c r="AH412" s="23">
        <v>1</v>
      </c>
      <c r="AI412" s="8"/>
      <c r="AJ412" s="8"/>
      <c r="AK412" s="8"/>
      <c r="AL412" s="8"/>
      <c r="AM412" s="8">
        <v>59</v>
      </c>
      <c r="AN412" s="8" t="s">
        <v>52</v>
      </c>
      <c r="AO412" s="8" t="s">
        <v>53</v>
      </c>
      <c r="AP412" s="8">
        <v>-21879</v>
      </c>
      <c r="AQ412" s="8">
        <v>0</v>
      </c>
      <c r="AR412" s="8" t="s">
        <v>54</v>
      </c>
      <c r="AS412" s="8" t="s">
        <v>55</v>
      </c>
      <c r="AT412" s="8" t="s">
        <v>55</v>
      </c>
      <c r="AU412" s="8" t="s">
        <v>56</v>
      </c>
      <c r="AV412" s="8">
        <v>1762</v>
      </c>
      <c r="AW412" s="8" t="s">
        <v>57</v>
      </c>
      <c r="AX412" s="8" t="s">
        <v>55</v>
      </c>
      <c r="AY412" s="8" t="s">
        <v>58</v>
      </c>
      <c r="AZ412" s="8" t="s">
        <v>59</v>
      </c>
      <c r="BA412" s="8" t="s">
        <v>55</v>
      </c>
      <c r="BB412" s="8" t="s">
        <v>49</v>
      </c>
      <c r="BC412" s="8" t="s">
        <v>49</v>
      </c>
      <c r="BD412" s="8" t="s">
        <v>106</v>
      </c>
      <c r="BE412" s="8" t="s">
        <v>55</v>
      </c>
      <c r="BF412" s="8">
        <v>29</v>
      </c>
      <c r="BG412" s="8" t="s">
        <v>511</v>
      </c>
      <c r="BH412" s="8" t="s">
        <v>82</v>
      </c>
      <c r="BI412" s="8" t="s">
        <v>83</v>
      </c>
      <c r="BJ412" s="8" t="s">
        <v>63</v>
      </c>
      <c r="BK412" s="8">
        <v>1998</v>
      </c>
      <c r="BL412">
        <v>1</v>
      </c>
      <c r="BM412">
        <v>1</v>
      </c>
      <c r="BN412">
        <v>1</v>
      </c>
      <c r="BO412">
        <v>1</v>
      </c>
      <c r="BP412">
        <v>1</v>
      </c>
      <c r="BQ412">
        <v>1</v>
      </c>
      <c r="BR412">
        <f t="shared" si="38"/>
        <v>1223</v>
      </c>
      <c r="BS412">
        <v>151</v>
      </c>
      <c r="BT412">
        <f t="shared" si="36"/>
        <v>6</v>
      </c>
    </row>
    <row r="413" spans="1:72" x14ac:dyDescent="0.2">
      <c r="A413" s="19" t="s">
        <v>652</v>
      </c>
      <c r="B413" s="1">
        <v>2251</v>
      </c>
      <c r="C413">
        <v>0</v>
      </c>
      <c r="D413" s="8" t="s">
        <v>68</v>
      </c>
      <c r="E413" s="12" t="s">
        <v>49</v>
      </c>
      <c r="F413" s="8" t="s">
        <v>49</v>
      </c>
      <c r="G413" s="8">
        <v>2031</v>
      </c>
      <c r="H413" s="12">
        <v>428</v>
      </c>
      <c r="I413" s="3">
        <v>428</v>
      </c>
      <c r="J413" s="4">
        <f>I413-15</f>
        <v>413</v>
      </c>
      <c r="K413" s="11">
        <v>833</v>
      </c>
      <c r="L413" s="7">
        <v>63</v>
      </c>
      <c r="M413" s="4">
        <v>401</v>
      </c>
      <c r="N413" s="6">
        <v>322</v>
      </c>
      <c r="O413" s="5">
        <v>141</v>
      </c>
      <c r="P413" s="8" t="s">
        <v>798</v>
      </c>
      <c r="Q413" s="4" t="s">
        <v>51</v>
      </c>
      <c r="R413" s="11" t="s">
        <v>90</v>
      </c>
      <c r="S413" s="7" t="s">
        <v>75</v>
      </c>
      <c r="T413" s="4" t="s">
        <v>51</v>
      </c>
      <c r="U413" s="6" t="s">
        <v>74</v>
      </c>
      <c r="V413" s="5" t="s">
        <v>65</v>
      </c>
      <c r="W413" s="8">
        <v>5</v>
      </c>
      <c r="X413" s="8">
        <v>10</v>
      </c>
      <c r="Y413" s="4">
        <f>M413+J413</f>
        <v>814</v>
      </c>
      <c r="Z413" s="4">
        <v>1</v>
      </c>
      <c r="AA413" s="11">
        <f>K413</f>
        <v>833</v>
      </c>
      <c r="AB413" s="11">
        <v>1</v>
      </c>
      <c r="AC413" s="6">
        <v>322</v>
      </c>
      <c r="AD413" s="6">
        <v>1</v>
      </c>
      <c r="AE413" s="5">
        <v>141</v>
      </c>
      <c r="AF413" s="5">
        <v>1</v>
      </c>
      <c r="AG413" s="8"/>
      <c r="AH413" s="8"/>
      <c r="AI413" s="7">
        <f>L413</f>
        <v>63</v>
      </c>
      <c r="AJ413" s="7">
        <v>1</v>
      </c>
      <c r="AK413" s="8"/>
      <c r="AL413" s="8"/>
      <c r="AM413" s="8">
        <v>43</v>
      </c>
      <c r="AN413" s="8" t="s">
        <v>52</v>
      </c>
      <c r="AO413" s="8" t="s">
        <v>53</v>
      </c>
      <c r="AP413" s="8">
        <v>-16021</v>
      </c>
      <c r="AQ413" s="8">
        <v>0</v>
      </c>
      <c r="AR413" s="8" t="s">
        <v>54</v>
      </c>
      <c r="AS413" s="8" t="s">
        <v>55</v>
      </c>
      <c r="AT413" s="8" t="s">
        <v>55</v>
      </c>
      <c r="AU413" s="8" t="s">
        <v>56</v>
      </c>
      <c r="AV413" s="8">
        <v>1763</v>
      </c>
      <c r="AW413" s="8" t="s">
        <v>57</v>
      </c>
      <c r="AX413" s="8" t="s">
        <v>55</v>
      </c>
      <c r="AY413" s="8" t="s">
        <v>58</v>
      </c>
      <c r="AZ413" s="8" t="s">
        <v>111</v>
      </c>
      <c r="BA413" s="8" t="s">
        <v>55</v>
      </c>
      <c r="BB413" s="8" t="s">
        <v>49</v>
      </c>
      <c r="BC413" s="8" t="s">
        <v>49</v>
      </c>
      <c r="BD413" s="8" t="s">
        <v>66</v>
      </c>
      <c r="BE413" s="8" t="s">
        <v>53</v>
      </c>
      <c r="BF413" s="8">
        <v>29</v>
      </c>
      <c r="BG413" s="8" t="s">
        <v>511</v>
      </c>
      <c r="BH413" s="8" t="s">
        <v>61</v>
      </c>
      <c r="BI413" s="8" t="s">
        <v>521</v>
      </c>
      <c r="BJ413" s="8" t="s">
        <v>63</v>
      </c>
      <c r="BK413" s="8">
        <v>2004</v>
      </c>
      <c r="BL413">
        <v>1</v>
      </c>
      <c r="BM413">
        <v>1</v>
      </c>
      <c r="BN413">
        <v>1</v>
      </c>
      <c r="BO413">
        <v>1</v>
      </c>
      <c r="BP413">
        <v>1</v>
      </c>
      <c r="BQ413">
        <v>1</v>
      </c>
      <c r="BR413">
        <f t="shared" si="38"/>
        <v>329</v>
      </c>
      <c r="BS413">
        <v>99</v>
      </c>
      <c r="BT413">
        <f t="shared" si="36"/>
        <v>6</v>
      </c>
    </row>
    <row r="414" spans="1:72" x14ac:dyDescent="0.2">
      <c r="A414" s="19" t="s">
        <v>653</v>
      </c>
      <c r="B414" s="1">
        <v>1973</v>
      </c>
      <c r="C414">
        <v>0</v>
      </c>
      <c r="D414" s="8" t="s">
        <v>68</v>
      </c>
      <c r="E414" s="12" t="s">
        <v>49</v>
      </c>
      <c r="F414" s="8" t="s">
        <v>49</v>
      </c>
      <c r="G414" s="8">
        <v>1973</v>
      </c>
      <c r="H414" s="12">
        <v>792</v>
      </c>
      <c r="I414" s="3">
        <v>792</v>
      </c>
      <c r="J414" s="8">
        <f>I414-15</f>
        <v>777</v>
      </c>
      <c r="K414" s="6">
        <v>25</v>
      </c>
      <c r="L414" s="11">
        <v>504</v>
      </c>
      <c r="M414" s="11">
        <v>65</v>
      </c>
      <c r="N414" s="5">
        <v>419</v>
      </c>
      <c r="O414" s="5">
        <v>31</v>
      </c>
      <c r="P414" s="8" t="s">
        <v>798</v>
      </c>
      <c r="Q414" s="8" t="s">
        <v>78</v>
      </c>
      <c r="R414" s="6" t="s">
        <v>74</v>
      </c>
      <c r="S414" s="11" t="s">
        <v>90</v>
      </c>
      <c r="T414" s="11" t="s">
        <v>90</v>
      </c>
      <c r="U414" s="5" t="s">
        <v>65</v>
      </c>
      <c r="V414" s="5" t="s">
        <v>65</v>
      </c>
      <c r="W414" s="8">
        <v>7</v>
      </c>
      <c r="X414" s="8">
        <v>13</v>
      </c>
      <c r="Y414" s="8"/>
      <c r="Z414" s="8"/>
      <c r="AA414" s="11">
        <f>L414+M414</f>
        <v>569</v>
      </c>
      <c r="AB414" s="11">
        <v>1</v>
      </c>
      <c r="AC414" s="6">
        <f>K414</f>
        <v>25</v>
      </c>
      <c r="AD414" s="6">
        <v>1</v>
      </c>
      <c r="AE414" s="5">
        <f>N414+O414</f>
        <v>450</v>
      </c>
      <c r="AF414" s="5">
        <v>1</v>
      </c>
      <c r="AG414" s="23">
        <v>157</v>
      </c>
      <c r="AH414" s="23">
        <v>0</v>
      </c>
      <c r="AI414" s="8"/>
      <c r="AJ414" s="8"/>
      <c r="AK414" s="8"/>
      <c r="AL414" s="8"/>
      <c r="AM414" s="8">
        <v>49</v>
      </c>
      <c r="AN414" s="8" t="s">
        <v>52</v>
      </c>
      <c r="AO414" s="8" t="s">
        <v>53</v>
      </c>
      <c r="AP414" s="8">
        <v>-18011</v>
      </c>
      <c r="AQ414" s="8">
        <v>0</v>
      </c>
      <c r="AR414" s="8" t="s">
        <v>54</v>
      </c>
      <c r="AS414" s="8" t="s">
        <v>55</v>
      </c>
      <c r="AT414" s="8" t="s">
        <v>55</v>
      </c>
      <c r="AU414" s="8" t="s">
        <v>56</v>
      </c>
      <c r="AV414" s="8">
        <v>1764</v>
      </c>
      <c r="AW414" s="8" t="s">
        <v>57</v>
      </c>
      <c r="AX414" s="8" t="s">
        <v>55</v>
      </c>
      <c r="AY414" s="8" t="s">
        <v>58</v>
      </c>
      <c r="AZ414" s="8" t="s">
        <v>59</v>
      </c>
      <c r="BA414" s="8" t="s">
        <v>55</v>
      </c>
      <c r="BB414" s="8" t="s">
        <v>49</v>
      </c>
      <c r="BC414" s="8" t="s">
        <v>49</v>
      </c>
      <c r="BD414" s="8" t="s">
        <v>66</v>
      </c>
      <c r="BE414" s="8" t="s">
        <v>53</v>
      </c>
      <c r="BF414" s="8">
        <v>29</v>
      </c>
      <c r="BG414" s="8" t="s">
        <v>511</v>
      </c>
      <c r="BH414" s="8" t="s">
        <v>82</v>
      </c>
      <c r="BI414" s="8" t="s">
        <v>62</v>
      </c>
      <c r="BJ414" s="8" t="s">
        <v>63</v>
      </c>
      <c r="BK414" s="8">
        <v>2004</v>
      </c>
      <c r="BL414">
        <v>1</v>
      </c>
      <c r="BM414">
        <v>1</v>
      </c>
      <c r="BN414">
        <v>1</v>
      </c>
      <c r="BO414">
        <v>1</v>
      </c>
      <c r="BP414">
        <v>1</v>
      </c>
      <c r="BQ414">
        <v>1</v>
      </c>
      <c r="BR414">
        <f t="shared" si="38"/>
        <v>625</v>
      </c>
      <c r="BS414">
        <v>167</v>
      </c>
      <c r="BT414">
        <f t="shared" si="36"/>
        <v>6</v>
      </c>
    </row>
    <row r="415" spans="1:72" x14ac:dyDescent="0.2">
      <c r="A415" s="19" t="s">
        <v>654</v>
      </c>
      <c r="B415" s="13">
        <v>1198</v>
      </c>
      <c r="C415">
        <v>1</v>
      </c>
      <c r="D415" s="8" t="s">
        <v>48</v>
      </c>
      <c r="E415" s="12" t="s">
        <v>49</v>
      </c>
      <c r="F415" s="8">
        <v>1198</v>
      </c>
      <c r="G415" s="8">
        <v>1189</v>
      </c>
      <c r="H415" s="12">
        <v>672</v>
      </c>
      <c r="I415" s="3">
        <v>223</v>
      </c>
      <c r="J415" s="21">
        <f>I415-38</f>
        <v>185</v>
      </c>
      <c r="K415" s="6">
        <f>685-223</f>
        <v>462</v>
      </c>
      <c r="L415" s="11">
        <f>824-685</f>
        <v>139</v>
      </c>
      <c r="M415" s="5">
        <v>260</v>
      </c>
      <c r="N415" s="23">
        <v>114</v>
      </c>
      <c r="O415" s="8"/>
      <c r="P415" s="8" t="s">
        <v>879</v>
      </c>
      <c r="Q415" s="21" t="s">
        <v>87</v>
      </c>
      <c r="R415" s="6" t="s">
        <v>74</v>
      </c>
      <c r="S415" s="11" t="s">
        <v>90</v>
      </c>
      <c r="T415" s="5" t="s">
        <v>65</v>
      </c>
      <c r="U415" s="23" t="s">
        <v>80</v>
      </c>
      <c r="V415" s="8"/>
      <c r="W415" s="8">
        <v>7</v>
      </c>
      <c r="X415" s="8">
        <v>11</v>
      </c>
      <c r="Y415" s="8"/>
      <c r="Z415" s="8"/>
      <c r="AA415" s="11">
        <f>L415</f>
        <v>139</v>
      </c>
      <c r="AB415" s="11">
        <v>1</v>
      </c>
      <c r="AC415" s="6">
        <f>K415</f>
        <v>462</v>
      </c>
      <c r="AD415" s="6">
        <v>1</v>
      </c>
      <c r="AE415" s="5">
        <f>M415</f>
        <v>260</v>
      </c>
      <c r="AF415" s="5">
        <v>1</v>
      </c>
      <c r="AG415" s="23">
        <v>114</v>
      </c>
      <c r="AH415" s="23">
        <v>1</v>
      </c>
      <c r="AI415" s="8"/>
      <c r="AJ415" s="8"/>
      <c r="AK415" s="21">
        <f>J415</f>
        <v>185</v>
      </c>
      <c r="AL415" s="21">
        <v>1</v>
      </c>
      <c r="AM415" s="8">
        <v>74</v>
      </c>
      <c r="AN415" s="8" t="s">
        <v>126</v>
      </c>
      <c r="AO415" s="8" t="s">
        <v>53</v>
      </c>
      <c r="AP415" s="8">
        <v>-27359</v>
      </c>
      <c r="AQ415" s="8">
        <v>0</v>
      </c>
      <c r="AR415" s="8" t="s">
        <v>54</v>
      </c>
      <c r="AS415" s="8" t="s">
        <v>55</v>
      </c>
      <c r="AT415" s="8" t="s">
        <v>55</v>
      </c>
      <c r="AU415" s="8" t="s">
        <v>56</v>
      </c>
      <c r="AV415" s="8">
        <v>1766</v>
      </c>
      <c r="AW415" s="8" t="s">
        <v>57</v>
      </c>
      <c r="AX415" s="8" t="s">
        <v>55</v>
      </c>
      <c r="AY415" s="8" t="s">
        <v>81</v>
      </c>
      <c r="AZ415" s="8" t="s">
        <v>59</v>
      </c>
      <c r="BA415" s="8" t="s">
        <v>55</v>
      </c>
      <c r="BB415" s="8" t="s">
        <v>49</v>
      </c>
      <c r="BC415" s="8" t="s">
        <v>49</v>
      </c>
      <c r="BD415" s="8" t="s">
        <v>66</v>
      </c>
      <c r="BE415" s="8" t="s">
        <v>55</v>
      </c>
      <c r="BF415" s="8">
        <v>29</v>
      </c>
      <c r="BG415" s="8" t="s">
        <v>511</v>
      </c>
      <c r="BH415" s="8" t="s">
        <v>142</v>
      </c>
      <c r="BI415" s="8" t="s">
        <v>62</v>
      </c>
      <c r="BJ415" s="8" t="s">
        <v>530</v>
      </c>
      <c r="BK415" s="8">
        <v>2006</v>
      </c>
      <c r="BL415">
        <v>1</v>
      </c>
      <c r="BM415">
        <v>1</v>
      </c>
      <c r="BN415">
        <v>1</v>
      </c>
      <c r="BO415">
        <v>1</v>
      </c>
      <c r="BR415">
        <f t="shared" si="38"/>
        <v>35</v>
      </c>
      <c r="BS415">
        <v>188</v>
      </c>
      <c r="BT415">
        <f t="shared" si="36"/>
        <v>4</v>
      </c>
    </row>
    <row r="416" spans="1:72" x14ac:dyDescent="0.2">
      <c r="A416" s="19" t="s">
        <v>468</v>
      </c>
      <c r="B416" s="1">
        <v>952</v>
      </c>
      <c r="C416">
        <v>1</v>
      </c>
      <c r="D416" t="s">
        <v>48</v>
      </c>
      <c r="E416" s="2" t="s">
        <v>49</v>
      </c>
      <c r="F416">
        <v>952</v>
      </c>
      <c r="G416">
        <v>950</v>
      </c>
      <c r="H416" s="2">
        <v>547</v>
      </c>
      <c r="I416" s="3">
        <v>547</v>
      </c>
      <c r="J416" s="4">
        <f>I416-19</f>
        <v>528</v>
      </c>
      <c r="K416" s="10">
        <v>276</v>
      </c>
      <c r="L416" s="5">
        <v>123</v>
      </c>
      <c r="P416" t="s">
        <v>830</v>
      </c>
      <c r="Q416" s="4" t="s">
        <v>51</v>
      </c>
      <c r="R416" s="10" t="s">
        <v>87</v>
      </c>
      <c r="S416" s="5" t="s">
        <v>65</v>
      </c>
      <c r="W416" s="8">
        <v>6</v>
      </c>
      <c r="X416" s="8">
        <v>11</v>
      </c>
      <c r="Y416" s="4">
        <f>J416</f>
        <v>528</v>
      </c>
      <c r="Z416" s="4">
        <v>1</v>
      </c>
      <c r="AE416" s="5">
        <f>L416</f>
        <v>123</v>
      </c>
      <c r="AF416" s="5">
        <v>1</v>
      </c>
      <c r="AI416" s="8"/>
      <c r="AK416" s="10">
        <f>K416</f>
        <v>276</v>
      </c>
      <c r="AL416" s="10">
        <v>1</v>
      </c>
      <c r="AM416">
        <v>50</v>
      </c>
      <c r="AN416" t="s">
        <v>52</v>
      </c>
      <c r="AO416" t="s">
        <v>53</v>
      </c>
      <c r="AP416">
        <v>-18395</v>
      </c>
      <c r="AQ416">
        <v>0</v>
      </c>
      <c r="AR416" t="s">
        <v>54</v>
      </c>
      <c r="AS416" t="s">
        <v>55</v>
      </c>
      <c r="AT416" t="s">
        <v>55</v>
      </c>
      <c r="AU416" t="s">
        <v>56</v>
      </c>
      <c r="AV416">
        <v>1768</v>
      </c>
      <c r="AW416" t="s">
        <v>57</v>
      </c>
      <c r="AX416" t="s">
        <v>55</v>
      </c>
      <c r="AY416" t="s">
        <v>92</v>
      </c>
      <c r="AZ416" t="s">
        <v>59</v>
      </c>
      <c r="BA416" t="s">
        <v>55</v>
      </c>
      <c r="BB416" t="s">
        <v>49</v>
      </c>
      <c r="BC416" t="s">
        <v>49</v>
      </c>
      <c r="BD416" t="s">
        <v>106</v>
      </c>
      <c r="BE416" t="s">
        <v>49</v>
      </c>
      <c r="BF416">
        <v>29</v>
      </c>
      <c r="BG416" t="s">
        <v>60</v>
      </c>
      <c r="BH416" t="s">
        <v>82</v>
      </c>
      <c r="BI416" t="s">
        <v>83</v>
      </c>
      <c r="BJ416" t="s">
        <v>63</v>
      </c>
      <c r="BK416">
        <v>2006</v>
      </c>
      <c r="BL416">
        <v>1</v>
      </c>
      <c r="BM416">
        <v>1</v>
      </c>
      <c r="BN416">
        <v>1</v>
      </c>
      <c r="BR416">
        <f t="shared" si="38"/>
        <v>444</v>
      </c>
      <c r="BS416">
        <v>103</v>
      </c>
      <c r="BT416">
        <f t="shared" si="36"/>
        <v>3</v>
      </c>
    </row>
    <row r="417" spans="1:72" x14ac:dyDescent="0.2">
      <c r="A417" s="19" t="s">
        <v>469</v>
      </c>
      <c r="B417" s="1">
        <v>699</v>
      </c>
      <c r="C417">
        <v>0</v>
      </c>
      <c r="D417" t="s">
        <v>68</v>
      </c>
      <c r="E417" s="2" t="s">
        <v>49</v>
      </c>
      <c r="F417" t="s">
        <v>49</v>
      </c>
      <c r="G417">
        <v>699</v>
      </c>
      <c r="H417" s="2" t="s">
        <v>49</v>
      </c>
      <c r="I417" s="3" t="s">
        <v>69</v>
      </c>
      <c r="J417" s="4">
        <v>679</v>
      </c>
      <c r="P417" t="s">
        <v>849</v>
      </c>
      <c r="Q417" s="4" t="s">
        <v>51</v>
      </c>
      <c r="W417" s="8">
        <v>7</v>
      </c>
      <c r="X417" s="8">
        <v>14</v>
      </c>
      <c r="Y417" s="4">
        <f>J417</f>
        <v>679</v>
      </c>
      <c r="Z417" s="4">
        <v>0</v>
      </c>
      <c r="AM417">
        <v>40</v>
      </c>
      <c r="AN417" t="s">
        <v>52</v>
      </c>
      <c r="AO417" t="s">
        <v>53</v>
      </c>
      <c r="AP417">
        <v>-14753</v>
      </c>
      <c r="AQ417">
        <v>0</v>
      </c>
      <c r="AR417" t="s">
        <v>54</v>
      </c>
      <c r="AS417" t="s">
        <v>55</v>
      </c>
      <c r="AT417" t="s">
        <v>53</v>
      </c>
      <c r="AU417" t="s">
        <v>56</v>
      </c>
      <c r="AV417">
        <v>1769</v>
      </c>
      <c r="AW417" t="s">
        <v>70</v>
      </c>
      <c r="AX417" t="s">
        <v>55</v>
      </c>
      <c r="AY417" t="s">
        <v>58</v>
      </c>
      <c r="AZ417" t="s">
        <v>59</v>
      </c>
      <c r="BA417" t="s">
        <v>55</v>
      </c>
      <c r="BB417" t="s">
        <v>49</v>
      </c>
      <c r="BC417" t="s">
        <v>49</v>
      </c>
      <c r="BD417" t="s">
        <v>49</v>
      </c>
      <c r="BE417" t="s">
        <v>55</v>
      </c>
      <c r="BF417">
        <v>29</v>
      </c>
      <c r="BG417" t="s">
        <v>60</v>
      </c>
      <c r="BH417" t="s">
        <v>61</v>
      </c>
      <c r="BI417" t="s">
        <v>62</v>
      </c>
      <c r="BJ417" t="s">
        <v>63</v>
      </c>
      <c r="BK417">
        <v>2007</v>
      </c>
      <c r="BL417">
        <v>0</v>
      </c>
      <c r="BR417">
        <f>B417-BS417</f>
        <v>549</v>
      </c>
      <c r="BS417">
        <v>150</v>
      </c>
      <c r="BT417">
        <f t="shared" si="36"/>
        <v>1</v>
      </c>
    </row>
    <row r="418" spans="1:72" x14ac:dyDescent="0.2">
      <c r="A418" s="19" t="s">
        <v>655</v>
      </c>
      <c r="B418" s="13">
        <v>762</v>
      </c>
      <c r="C418">
        <v>0</v>
      </c>
      <c r="D418" s="8" t="s">
        <v>68</v>
      </c>
      <c r="E418" s="12" t="s">
        <v>49</v>
      </c>
      <c r="F418" s="8" t="s">
        <v>49</v>
      </c>
      <c r="G418" s="8">
        <v>741</v>
      </c>
      <c r="H418" s="12">
        <v>377</v>
      </c>
      <c r="I418" s="3">
        <v>377</v>
      </c>
      <c r="J418" s="4">
        <f>I418-19</f>
        <v>358</v>
      </c>
      <c r="K418" s="21">
        <v>357</v>
      </c>
      <c r="L418" s="6">
        <f>762-741</f>
        <v>21</v>
      </c>
      <c r="M418" s="8"/>
      <c r="N418" s="8"/>
      <c r="O418" s="8"/>
      <c r="P418" s="8" t="s">
        <v>848</v>
      </c>
      <c r="Q418" s="4" t="s">
        <v>51</v>
      </c>
      <c r="R418" s="21" t="s">
        <v>87</v>
      </c>
      <c r="S418" s="6" t="s">
        <v>74</v>
      </c>
      <c r="T418" s="8"/>
      <c r="U418" s="8"/>
      <c r="V418" s="8"/>
      <c r="W418" s="8">
        <v>6</v>
      </c>
      <c r="X418" s="8">
        <v>12</v>
      </c>
      <c r="Y418" s="4">
        <f>J418</f>
        <v>358</v>
      </c>
      <c r="Z418" s="4">
        <v>1</v>
      </c>
      <c r="AA418" s="8"/>
      <c r="AB418" s="8"/>
      <c r="AC418" s="6">
        <f>L418</f>
        <v>21</v>
      </c>
      <c r="AD418" s="6">
        <v>0</v>
      </c>
      <c r="AE418" s="8"/>
      <c r="AF418" s="8"/>
      <c r="AG418" s="8"/>
      <c r="AH418" s="8"/>
      <c r="AI418" s="8"/>
      <c r="AJ418" s="8"/>
      <c r="AK418" s="21">
        <f>K418</f>
        <v>357</v>
      </c>
      <c r="AL418" s="21">
        <v>1</v>
      </c>
      <c r="AM418" s="8">
        <v>54</v>
      </c>
      <c r="AN418" s="8" t="s">
        <v>52</v>
      </c>
      <c r="AO418" s="8" t="s">
        <v>53</v>
      </c>
      <c r="AP418" s="8">
        <v>-20014</v>
      </c>
      <c r="AQ418" s="8">
        <v>0</v>
      </c>
      <c r="AR418" s="8" t="s">
        <v>54</v>
      </c>
      <c r="AS418" s="8" t="s">
        <v>55</v>
      </c>
      <c r="AT418" s="8" t="s">
        <v>55</v>
      </c>
      <c r="AU418" s="8" t="s">
        <v>56</v>
      </c>
      <c r="AV418" s="8">
        <v>1770</v>
      </c>
      <c r="AW418" s="8" t="s">
        <v>57</v>
      </c>
      <c r="AX418" s="8" t="s">
        <v>55</v>
      </c>
      <c r="AY418" s="8" t="s">
        <v>58</v>
      </c>
      <c r="AZ418" s="8" t="s">
        <v>59</v>
      </c>
      <c r="BA418" s="8" t="s">
        <v>55</v>
      </c>
      <c r="BB418" s="8" t="s">
        <v>49</v>
      </c>
      <c r="BC418" s="8" t="s">
        <v>49</v>
      </c>
      <c r="BD418" s="8" t="s">
        <v>106</v>
      </c>
      <c r="BE418" s="8" t="s">
        <v>55</v>
      </c>
      <c r="BF418" s="8">
        <v>29</v>
      </c>
      <c r="BG418" s="8" t="s">
        <v>511</v>
      </c>
      <c r="BH418" s="8" t="s">
        <v>61</v>
      </c>
      <c r="BI418" s="8" t="s">
        <v>62</v>
      </c>
      <c r="BJ418" s="8" t="s">
        <v>63</v>
      </c>
      <c r="BK418" s="8">
        <v>2007</v>
      </c>
      <c r="BL418">
        <v>1</v>
      </c>
      <c r="BM418">
        <v>1</v>
      </c>
      <c r="BN418">
        <v>0</v>
      </c>
      <c r="BR418">
        <f>I418-BS418</f>
        <v>241</v>
      </c>
      <c r="BS418">
        <v>136</v>
      </c>
      <c r="BT418">
        <f t="shared" si="36"/>
        <v>3</v>
      </c>
    </row>
    <row r="419" spans="1:72" x14ac:dyDescent="0.2">
      <c r="A419" s="19" t="s">
        <v>656</v>
      </c>
      <c r="B419" s="13">
        <v>728</v>
      </c>
      <c r="C419">
        <v>0</v>
      </c>
      <c r="D419" s="8" t="s">
        <v>68</v>
      </c>
      <c r="E419" s="12" t="s">
        <v>49</v>
      </c>
      <c r="F419" s="8" t="s">
        <v>49</v>
      </c>
      <c r="G419" s="8">
        <v>685</v>
      </c>
      <c r="H419" s="12">
        <v>594</v>
      </c>
      <c r="I419" s="3">
        <v>594</v>
      </c>
      <c r="J419" s="4">
        <f>I419-27</f>
        <v>567</v>
      </c>
      <c r="K419" s="4">
        <f>728-601</f>
        <v>127</v>
      </c>
      <c r="L419" s="8"/>
      <c r="M419" s="8"/>
      <c r="N419" s="8"/>
      <c r="O419" s="8"/>
      <c r="P419" s="8" t="s">
        <v>847</v>
      </c>
      <c r="Q419" s="4" t="s">
        <v>51</v>
      </c>
      <c r="R419" s="4" t="s">
        <v>51</v>
      </c>
      <c r="S419" s="8"/>
      <c r="T419" s="8"/>
      <c r="U419" s="8"/>
      <c r="V419" s="8"/>
      <c r="W419" s="8">
        <v>6</v>
      </c>
      <c r="X419" s="8">
        <v>12</v>
      </c>
      <c r="Y419" s="4">
        <f>J419+K419</f>
        <v>694</v>
      </c>
      <c r="Z419" s="4">
        <v>0</v>
      </c>
      <c r="AA419" s="8"/>
      <c r="AB419" s="8"/>
      <c r="AC419" s="8"/>
      <c r="AD419" s="8"/>
      <c r="AE419" s="8"/>
      <c r="AF419" s="8"/>
      <c r="AG419" s="8"/>
      <c r="AH419" s="8"/>
      <c r="AI419" s="8"/>
      <c r="AJ419" s="8"/>
      <c r="AK419" s="8"/>
      <c r="AL419" s="8"/>
      <c r="AM419" s="8">
        <v>76</v>
      </c>
      <c r="AN419" s="8" t="s">
        <v>52</v>
      </c>
      <c r="AO419" s="8" t="s">
        <v>53</v>
      </c>
      <c r="AP419" s="8">
        <v>-28093</v>
      </c>
      <c r="AQ419" s="8">
        <v>0</v>
      </c>
      <c r="AR419" s="8" t="s">
        <v>54</v>
      </c>
      <c r="AS419" s="8" t="s">
        <v>55</v>
      </c>
      <c r="AT419" s="8" t="s">
        <v>53</v>
      </c>
      <c r="AU419" s="8" t="s">
        <v>56</v>
      </c>
      <c r="AV419" s="8">
        <v>1771</v>
      </c>
      <c r="AW419" s="8" t="s">
        <v>57</v>
      </c>
      <c r="AX419" s="8" t="s">
        <v>55</v>
      </c>
      <c r="AY419" s="8" t="s">
        <v>58</v>
      </c>
      <c r="AZ419" s="8" t="s">
        <v>59</v>
      </c>
      <c r="BA419" s="8" t="s">
        <v>55</v>
      </c>
      <c r="BB419" s="8" t="s">
        <v>49</v>
      </c>
      <c r="BC419" s="8" t="s">
        <v>49</v>
      </c>
      <c r="BD419" s="8" t="s">
        <v>106</v>
      </c>
      <c r="BE419" s="8" t="s">
        <v>55</v>
      </c>
      <c r="BF419" s="8">
        <v>29</v>
      </c>
      <c r="BG419" s="8" t="s">
        <v>511</v>
      </c>
      <c r="BH419" s="8" t="s">
        <v>82</v>
      </c>
      <c r="BI419" s="8" t="s">
        <v>62</v>
      </c>
      <c r="BJ419" s="8" t="s">
        <v>63</v>
      </c>
      <c r="BK419" s="8">
        <v>2007</v>
      </c>
      <c r="BL419">
        <v>1</v>
      </c>
      <c r="BM419">
        <v>0</v>
      </c>
      <c r="BR419">
        <f>I419-BS419</f>
        <v>455</v>
      </c>
      <c r="BS419">
        <v>139</v>
      </c>
      <c r="BT419">
        <f t="shared" si="36"/>
        <v>2</v>
      </c>
    </row>
    <row r="420" spans="1:72" x14ac:dyDescent="0.2">
      <c r="A420" s="19" t="s">
        <v>470</v>
      </c>
      <c r="B420" s="1">
        <v>526</v>
      </c>
      <c r="C420">
        <v>0</v>
      </c>
      <c r="D420" t="s">
        <v>68</v>
      </c>
      <c r="E420" s="2" t="s">
        <v>49</v>
      </c>
      <c r="F420" t="s">
        <v>49</v>
      </c>
      <c r="G420">
        <v>526</v>
      </c>
      <c r="H420" s="2">
        <v>233</v>
      </c>
      <c r="I420" s="3">
        <v>233</v>
      </c>
      <c r="J420" s="10">
        <v>220</v>
      </c>
      <c r="K420" s="7">
        <v>279</v>
      </c>
      <c r="Q420" s="10" t="s">
        <v>87</v>
      </c>
      <c r="R420" s="7" t="s">
        <v>75</v>
      </c>
      <c r="W420" s="8">
        <v>5</v>
      </c>
      <c r="X420" s="8">
        <v>6</v>
      </c>
      <c r="AI420" s="7">
        <f>K420</f>
        <v>279</v>
      </c>
      <c r="AJ420" s="7">
        <v>0</v>
      </c>
      <c r="AK420" s="10">
        <f>J420</f>
        <v>220</v>
      </c>
      <c r="AL420" s="10">
        <v>1</v>
      </c>
      <c r="AM420">
        <v>82</v>
      </c>
      <c r="AN420" t="s">
        <v>52</v>
      </c>
      <c r="AO420" t="s">
        <v>53</v>
      </c>
      <c r="AP420">
        <v>-29991</v>
      </c>
      <c r="AQ420">
        <v>0</v>
      </c>
      <c r="AR420" t="s">
        <v>54</v>
      </c>
      <c r="AS420" t="s">
        <v>55</v>
      </c>
      <c r="AT420" t="s">
        <v>55</v>
      </c>
      <c r="AU420" t="s">
        <v>56</v>
      </c>
      <c r="AV420">
        <v>1774</v>
      </c>
      <c r="AW420" t="s">
        <v>57</v>
      </c>
      <c r="AX420" t="s">
        <v>55</v>
      </c>
      <c r="AY420" t="s">
        <v>81</v>
      </c>
      <c r="AZ420" t="s">
        <v>59</v>
      </c>
      <c r="BA420" t="s">
        <v>55</v>
      </c>
      <c r="BB420" t="s">
        <v>49</v>
      </c>
      <c r="BC420" t="s">
        <v>49</v>
      </c>
      <c r="BD420" t="s">
        <v>106</v>
      </c>
      <c r="BE420" t="s">
        <v>55</v>
      </c>
      <c r="BF420">
        <v>29</v>
      </c>
      <c r="BG420" t="s">
        <v>60</v>
      </c>
      <c r="BH420" t="s">
        <v>82</v>
      </c>
      <c r="BI420" t="s">
        <v>62</v>
      </c>
      <c r="BJ420" t="s">
        <v>63</v>
      </c>
      <c r="BK420">
        <v>2008</v>
      </c>
      <c r="BL420">
        <v>1</v>
      </c>
      <c r="BM420">
        <v>0</v>
      </c>
      <c r="BR420">
        <f>I420-BS420</f>
        <v>101</v>
      </c>
      <c r="BS420">
        <v>132</v>
      </c>
      <c r="BT420">
        <f t="shared" si="36"/>
        <v>2</v>
      </c>
    </row>
    <row r="421" spans="1:72" x14ac:dyDescent="0.2">
      <c r="A421" s="19" t="s">
        <v>657</v>
      </c>
      <c r="B421" s="13">
        <v>604</v>
      </c>
      <c r="C421">
        <v>0</v>
      </c>
      <c r="D421" s="8" t="s">
        <v>68</v>
      </c>
      <c r="E421" s="12" t="s">
        <v>49</v>
      </c>
      <c r="F421" s="8" t="s">
        <v>49</v>
      </c>
      <c r="G421" s="8">
        <v>376</v>
      </c>
      <c r="H421" s="12">
        <v>341</v>
      </c>
      <c r="I421" s="3">
        <v>341</v>
      </c>
      <c r="J421" s="4">
        <f>I421-29</f>
        <v>312</v>
      </c>
      <c r="K421" s="4">
        <v>42</v>
      </c>
      <c r="L421" s="21">
        <f>576-397</f>
        <v>179</v>
      </c>
      <c r="M421" s="5">
        <v>28</v>
      </c>
      <c r="N421" s="8"/>
      <c r="O421" s="8"/>
      <c r="P421" s="8" t="s">
        <v>830</v>
      </c>
      <c r="Q421" s="4" t="s">
        <v>51</v>
      </c>
      <c r="R421" s="4" t="s">
        <v>51</v>
      </c>
      <c r="S421" s="21" t="s">
        <v>87</v>
      </c>
      <c r="T421" s="5" t="s">
        <v>65</v>
      </c>
      <c r="U421" s="8"/>
      <c r="V421" s="8"/>
      <c r="W421" s="8">
        <v>6</v>
      </c>
      <c r="X421" s="8">
        <v>12</v>
      </c>
      <c r="Y421" s="4">
        <f>J421+K421</f>
        <v>354</v>
      </c>
      <c r="Z421" s="4">
        <v>1</v>
      </c>
      <c r="AA421" s="8"/>
      <c r="AB421" s="8"/>
      <c r="AC421" s="8"/>
      <c r="AD421" s="8"/>
      <c r="AE421" s="5">
        <f>M421</f>
        <v>28</v>
      </c>
      <c r="AF421" s="5">
        <v>0</v>
      </c>
      <c r="AG421" s="8"/>
      <c r="AH421" s="8"/>
      <c r="AI421" s="8"/>
      <c r="AJ421" s="8"/>
      <c r="AK421" s="21">
        <f>L421</f>
        <v>179</v>
      </c>
      <c r="AL421" s="21">
        <v>1</v>
      </c>
      <c r="AM421" s="8">
        <v>51</v>
      </c>
      <c r="AN421" s="8" t="s">
        <v>52</v>
      </c>
      <c r="AO421" s="8" t="s">
        <v>53</v>
      </c>
      <c r="AP421" s="8">
        <v>-18943</v>
      </c>
      <c r="AQ421" s="8">
        <v>0</v>
      </c>
      <c r="AR421" s="8" t="s">
        <v>54</v>
      </c>
      <c r="AS421" s="8" t="s">
        <v>55</v>
      </c>
      <c r="AT421" s="8" t="s">
        <v>55</v>
      </c>
      <c r="AU421" s="8" t="s">
        <v>166</v>
      </c>
      <c r="AV421" s="8">
        <v>1775</v>
      </c>
      <c r="AW421" s="8" t="s">
        <v>57</v>
      </c>
      <c r="AX421" s="8" t="s">
        <v>55</v>
      </c>
      <c r="AY421" s="8" t="s">
        <v>58</v>
      </c>
      <c r="AZ421" s="8" t="s">
        <v>59</v>
      </c>
      <c r="BA421" s="8" t="s">
        <v>55</v>
      </c>
      <c r="BB421" s="8" t="s">
        <v>49</v>
      </c>
      <c r="BC421" s="8" t="s">
        <v>49</v>
      </c>
      <c r="BD421" s="8" t="s">
        <v>106</v>
      </c>
      <c r="BE421" s="8" t="s">
        <v>53</v>
      </c>
      <c r="BF421" s="8">
        <v>29</v>
      </c>
      <c r="BG421" s="8" t="s">
        <v>511</v>
      </c>
      <c r="BH421" s="8" t="s">
        <v>61</v>
      </c>
      <c r="BI421" s="8" t="s">
        <v>62</v>
      </c>
      <c r="BJ421" s="8" t="s">
        <v>63</v>
      </c>
      <c r="BK421" s="8">
        <v>2008</v>
      </c>
      <c r="BL421">
        <v>1</v>
      </c>
      <c r="BM421">
        <v>1</v>
      </c>
      <c r="BN421">
        <v>1</v>
      </c>
      <c r="BO421">
        <v>0</v>
      </c>
      <c r="BR421">
        <f>I421-BS421</f>
        <v>175</v>
      </c>
      <c r="BS421">
        <v>166</v>
      </c>
      <c r="BT421">
        <f t="shared" si="36"/>
        <v>4</v>
      </c>
    </row>
    <row r="422" spans="1:72" x14ac:dyDescent="0.2">
      <c r="A422" s="19" t="s">
        <v>471</v>
      </c>
      <c r="B422" s="1">
        <v>592</v>
      </c>
      <c r="C422">
        <v>0</v>
      </c>
      <c r="D422" t="s">
        <v>68</v>
      </c>
      <c r="E422" s="2" t="s">
        <v>49</v>
      </c>
      <c r="F422" t="s">
        <v>49</v>
      </c>
      <c r="G422">
        <v>360</v>
      </c>
      <c r="H422" s="2" t="s">
        <v>49</v>
      </c>
      <c r="I422" s="3">
        <v>522</v>
      </c>
      <c r="J422" s="4">
        <v>490</v>
      </c>
      <c r="K422" s="6">
        <v>70</v>
      </c>
      <c r="P422" t="s">
        <v>846</v>
      </c>
      <c r="Q422" s="4" t="s">
        <v>51</v>
      </c>
      <c r="R422" s="6" t="s">
        <v>74</v>
      </c>
      <c r="W422" s="8">
        <v>6</v>
      </c>
      <c r="X422" s="8">
        <v>12</v>
      </c>
      <c r="Y422" s="4">
        <f>J422</f>
        <v>490</v>
      </c>
      <c r="Z422" s="4">
        <v>1</v>
      </c>
      <c r="AC422" s="6">
        <f>K422</f>
        <v>70</v>
      </c>
      <c r="AD422" s="6">
        <v>0</v>
      </c>
      <c r="AM422">
        <v>63</v>
      </c>
      <c r="AN422" t="s">
        <v>52</v>
      </c>
      <c r="AO422" t="s">
        <v>53</v>
      </c>
      <c r="AP422">
        <v>-23016</v>
      </c>
      <c r="AQ422">
        <v>0</v>
      </c>
      <c r="AR422" t="s">
        <v>54</v>
      </c>
      <c r="AS422" t="s">
        <v>55</v>
      </c>
      <c r="AT422" t="s">
        <v>55</v>
      </c>
      <c r="AU422" t="s">
        <v>56</v>
      </c>
      <c r="AV422">
        <v>1776</v>
      </c>
      <c r="AW422" t="s">
        <v>57</v>
      </c>
      <c r="AX422" t="s">
        <v>55</v>
      </c>
      <c r="AY422" t="s">
        <v>92</v>
      </c>
      <c r="AZ422" t="s">
        <v>111</v>
      </c>
      <c r="BA422" t="s">
        <v>55</v>
      </c>
      <c r="BB422" t="s">
        <v>49</v>
      </c>
      <c r="BC422" t="s">
        <v>49</v>
      </c>
      <c r="BD422" t="s">
        <v>106</v>
      </c>
      <c r="BE422" t="s">
        <v>53</v>
      </c>
      <c r="BF422">
        <v>29</v>
      </c>
      <c r="BG422" t="s">
        <v>60</v>
      </c>
      <c r="BH422" t="s">
        <v>82</v>
      </c>
      <c r="BI422" t="s">
        <v>62</v>
      </c>
      <c r="BJ422" t="s">
        <v>63</v>
      </c>
      <c r="BK422">
        <v>2008</v>
      </c>
      <c r="BL422">
        <v>1</v>
      </c>
      <c r="BM422">
        <v>0</v>
      </c>
      <c r="BR422">
        <f>I422-BS422</f>
        <v>368</v>
      </c>
      <c r="BS422">
        <v>154</v>
      </c>
      <c r="BT422">
        <f t="shared" si="36"/>
        <v>2</v>
      </c>
    </row>
    <row r="423" spans="1:72" x14ac:dyDescent="0.2">
      <c r="A423" s="19" t="s">
        <v>658</v>
      </c>
      <c r="B423" s="13">
        <v>374</v>
      </c>
      <c r="C423">
        <v>0</v>
      </c>
      <c r="D423" s="8" t="s">
        <v>68</v>
      </c>
      <c r="E423" s="12" t="s">
        <v>49</v>
      </c>
      <c r="F423" s="8" t="s">
        <v>49</v>
      </c>
      <c r="G423" s="8">
        <v>374</v>
      </c>
      <c r="H423" s="12" t="s">
        <v>49</v>
      </c>
      <c r="I423" s="3" t="s">
        <v>69</v>
      </c>
      <c r="J423" s="8">
        <f>374-87</f>
        <v>287</v>
      </c>
      <c r="K423" s="8"/>
      <c r="L423" s="8"/>
      <c r="M423" s="8"/>
      <c r="N423" s="8"/>
      <c r="O423" s="8"/>
      <c r="P423" s="8"/>
      <c r="Q423" s="8" t="s">
        <v>255</v>
      </c>
      <c r="R423" s="8"/>
      <c r="S423" s="8"/>
      <c r="T423" s="8"/>
      <c r="U423" s="8"/>
      <c r="V423" s="8"/>
      <c r="W423" s="8">
        <v>8</v>
      </c>
      <c r="X423" s="8">
        <v>8</v>
      </c>
      <c r="Y423" s="8"/>
      <c r="Z423" s="8"/>
      <c r="AA423" s="8"/>
      <c r="AB423" s="8"/>
      <c r="AC423" s="8"/>
      <c r="AD423" s="8"/>
      <c r="AE423" s="8"/>
      <c r="AF423" s="8"/>
      <c r="AG423" s="8"/>
      <c r="AH423" s="8"/>
      <c r="AI423" s="8"/>
      <c r="AJ423" s="8"/>
      <c r="AK423" s="8"/>
      <c r="AL423" s="8"/>
      <c r="AM423" s="8">
        <v>47</v>
      </c>
      <c r="AN423" s="8" t="s">
        <v>52</v>
      </c>
      <c r="AO423" s="8" t="s">
        <v>53</v>
      </c>
      <c r="AP423" s="8">
        <v>-17355</v>
      </c>
      <c r="AQ423" s="8">
        <v>0</v>
      </c>
      <c r="AR423" s="8" t="s">
        <v>54</v>
      </c>
      <c r="AS423" s="8" t="s">
        <v>55</v>
      </c>
      <c r="AT423" s="8" t="s">
        <v>55</v>
      </c>
      <c r="AU423" s="8" t="s">
        <v>56</v>
      </c>
      <c r="AV423" s="8">
        <v>1777</v>
      </c>
      <c r="AW423" s="8" t="s">
        <v>57</v>
      </c>
      <c r="AX423" s="8" t="s">
        <v>55</v>
      </c>
      <c r="AY423" s="8" t="s">
        <v>81</v>
      </c>
      <c r="AZ423" s="8" t="s">
        <v>59</v>
      </c>
      <c r="BA423" s="8" t="s">
        <v>55</v>
      </c>
      <c r="BB423" s="8" t="s">
        <v>49</v>
      </c>
      <c r="BC423" s="8" t="s">
        <v>49</v>
      </c>
      <c r="BD423" s="8" t="s">
        <v>106</v>
      </c>
      <c r="BE423" s="8" t="s">
        <v>55</v>
      </c>
      <c r="BF423" s="8">
        <v>29</v>
      </c>
      <c r="BG423" s="8" t="s">
        <v>511</v>
      </c>
      <c r="BH423" s="8" t="s">
        <v>82</v>
      </c>
      <c r="BI423" s="8" t="s">
        <v>62</v>
      </c>
      <c r="BJ423" s="8" t="s">
        <v>63</v>
      </c>
      <c r="BK423" s="8">
        <v>2008</v>
      </c>
      <c r="BL423">
        <v>0</v>
      </c>
      <c r="BR423">
        <f>B423-BS423</f>
        <v>28</v>
      </c>
      <c r="BS423">
        <v>346</v>
      </c>
      <c r="BT423">
        <f t="shared" si="36"/>
        <v>1</v>
      </c>
    </row>
    <row r="424" spans="1:72" x14ac:dyDescent="0.2">
      <c r="A424" s="19" t="s">
        <v>472</v>
      </c>
      <c r="B424" s="1">
        <v>454</v>
      </c>
      <c r="C424">
        <v>0</v>
      </c>
      <c r="D424" t="s">
        <v>68</v>
      </c>
      <c r="E424" s="2" t="s">
        <v>49</v>
      </c>
      <c r="F424" t="s">
        <v>49</v>
      </c>
      <c r="G424">
        <v>454</v>
      </c>
      <c r="H424" s="2" t="s">
        <v>49</v>
      </c>
      <c r="I424" s="3" t="s">
        <v>69</v>
      </c>
      <c r="J424" s="4">
        <v>437</v>
      </c>
      <c r="Q424" s="4" t="s">
        <v>51</v>
      </c>
      <c r="W424" s="8">
        <v>6</v>
      </c>
      <c r="X424" s="8">
        <v>12</v>
      </c>
      <c r="Y424" s="4">
        <f>J424</f>
        <v>437</v>
      </c>
      <c r="Z424" s="4">
        <v>0</v>
      </c>
      <c r="AM424">
        <v>77</v>
      </c>
      <c r="AN424" t="s">
        <v>126</v>
      </c>
      <c r="AO424" t="s">
        <v>53</v>
      </c>
      <c r="AP424">
        <v>-28146</v>
      </c>
      <c r="AQ424">
        <v>0</v>
      </c>
      <c r="AR424" t="s">
        <v>54</v>
      </c>
      <c r="AS424" t="s">
        <v>55</v>
      </c>
      <c r="AT424" t="s">
        <v>55</v>
      </c>
      <c r="AU424" t="s">
        <v>56</v>
      </c>
      <c r="AV424">
        <v>1778</v>
      </c>
      <c r="AW424" t="s">
        <v>70</v>
      </c>
      <c r="AX424" t="s">
        <v>55</v>
      </c>
      <c r="AY424" t="s">
        <v>58</v>
      </c>
      <c r="AZ424" t="s">
        <v>59</v>
      </c>
      <c r="BA424" t="s">
        <v>55</v>
      </c>
      <c r="BB424" t="s">
        <v>49</v>
      </c>
      <c r="BC424" t="s">
        <v>49</v>
      </c>
      <c r="BD424" t="s">
        <v>49</v>
      </c>
      <c r="BE424" t="s">
        <v>55</v>
      </c>
      <c r="BF424">
        <v>29</v>
      </c>
      <c r="BG424" t="s">
        <v>60</v>
      </c>
      <c r="BH424" t="s">
        <v>71</v>
      </c>
      <c r="BI424" t="s">
        <v>62</v>
      </c>
      <c r="BJ424" t="s">
        <v>63</v>
      </c>
      <c r="BK424">
        <v>2008</v>
      </c>
      <c r="BL424">
        <v>0</v>
      </c>
      <c r="BR424">
        <f>B424-BS424</f>
        <v>329</v>
      </c>
      <c r="BS424">
        <v>125</v>
      </c>
      <c r="BT424">
        <f t="shared" si="36"/>
        <v>1</v>
      </c>
    </row>
    <row r="425" spans="1:72" x14ac:dyDescent="0.2">
      <c r="A425" s="19" t="s">
        <v>473</v>
      </c>
      <c r="B425" s="1">
        <v>254</v>
      </c>
      <c r="C425">
        <v>0</v>
      </c>
      <c r="D425" t="s">
        <v>68</v>
      </c>
      <c r="E425" s="2" t="s">
        <v>49</v>
      </c>
      <c r="F425" t="s">
        <v>49</v>
      </c>
      <c r="G425">
        <v>254</v>
      </c>
      <c r="H425" s="2" t="s">
        <v>49</v>
      </c>
      <c r="I425" s="3" t="s">
        <v>69</v>
      </c>
      <c r="J425" s="4">
        <v>202</v>
      </c>
      <c r="Q425" s="4" t="s">
        <v>51</v>
      </c>
      <c r="W425" s="8">
        <v>6</v>
      </c>
      <c r="X425" s="8">
        <v>12</v>
      </c>
      <c r="Y425" s="4">
        <f>J425</f>
        <v>202</v>
      </c>
      <c r="Z425" s="4">
        <v>0</v>
      </c>
      <c r="AM425">
        <v>69</v>
      </c>
      <c r="AN425" t="s">
        <v>52</v>
      </c>
      <c r="AO425" t="s">
        <v>55</v>
      </c>
      <c r="AP425">
        <v>-25404</v>
      </c>
      <c r="AQ425">
        <v>0</v>
      </c>
      <c r="AR425" t="s">
        <v>54</v>
      </c>
      <c r="AS425" t="s">
        <v>55</v>
      </c>
      <c r="AT425" t="s">
        <v>55</v>
      </c>
      <c r="AU425" t="s">
        <v>56</v>
      </c>
      <c r="AV425">
        <v>1781</v>
      </c>
      <c r="AW425" t="s">
        <v>70</v>
      </c>
      <c r="AX425" t="s">
        <v>55</v>
      </c>
      <c r="AY425" t="s">
        <v>58</v>
      </c>
      <c r="AZ425" t="s">
        <v>59</v>
      </c>
      <c r="BA425" t="s">
        <v>55</v>
      </c>
      <c r="BB425" t="s">
        <v>49</v>
      </c>
      <c r="BC425" t="s">
        <v>49</v>
      </c>
      <c r="BD425" t="s">
        <v>49</v>
      </c>
      <c r="BE425" t="s">
        <v>55</v>
      </c>
      <c r="BF425">
        <v>29</v>
      </c>
      <c r="BG425" t="s">
        <v>60</v>
      </c>
      <c r="BH425" t="s">
        <v>71</v>
      </c>
      <c r="BI425" t="s">
        <v>62</v>
      </c>
      <c r="BJ425" t="s">
        <v>63</v>
      </c>
      <c r="BK425">
        <v>2009</v>
      </c>
      <c r="BL425">
        <v>0</v>
      </c>
      <c r="BR425">
        <f>B425-BS425</f>
        <v>0</v>
      </c>
      <c r="BS425">
        <v>254</v>
      </c>
      <c r="BT425">
        <f t="shared" si="36"/>
        <v>1</v>
      </c>
    </row>
    <row r="426" spans="1:72" x14ac:dyDescent="0.2">
      <c r="A426" s="19" t="s">
        <v>474</v>
      </c>
      <c r="B426" s="1">
        <v>283</v>
      </c>
      <c r="C426">
        <v>0</v>
      </c>
      <c r="D426" t="s">
        <v>68</v>
      </c>
      <c r="E426" s="2" t="s">
        <v>49</v>
      </c>
      <c r="F426" t="s">
        <v>49</v>
      </c>
      <c r="G426">
        <v>219</v>
      </c>
      <c r="H426" s="2" t="s">
        <v>49</v>
      </c>
      <c r="I426" s="3" t="s">
        <v>69</v>
      </c>
      <c r="J426" s="4">
        <v>254</v>
      </c>
      <c r="P426" t="s">
        <v>845</v>
      </c>
      <c r="Q426" s="4" t="s">
        <v>51</v>
      </c>
      <c r="W426" s="8">
        <v>6</v>
      </c>
      <c r="X426" s="8">
        <v>12</v>
      </c>
      <c r="Y426" s="4">
        <f>J426</f>
        <v>254</v>
      </c>
      <c r="Z426" s="4">
        <v>0</v>
      </c>
      <c r="AM426">
        <v>58</v>
      </c>
      <c r="AN426" t="s">
        <v>126</v>
      </c>
      <c r="AO426" t="s">
        <v>53</v>
      </c>
      <c r="AP426">
        <v>-21284</v>
      </c>
      <c r="AQ426">
        <v>0</v>
      </c>
      <c r="AR426" t="s">
        <v>54</v>
      </c>
      <c r="AS426" t="s">
        <v>55</v>
      </c>
      <c r="AT426" t="s">
        <v>55</v>
      </c>
      <c r="AU426" t="s">
        <v>56</v>
      </c>
      <c r="AV426">
        <v>1783</v>
      </c>
      <c r="AW426" t="s">
        <v>70</v>
      </c>
      <c r="AX426" t="s">
        <v>55</v>
      </c>
      <c r="AY426" t="s">
        <v>49</v>
      </c>
      <c r="AZ426" t="s">
        <v>59</v>
      </c>
      <c r="BA426" t="s">
        <v>55</v>
      </c>
      <c r="BB426" t="s">
        <v>49</v>
      </c>
      <c r="BC426" t="s">
        <v>49</v>
      </c>
      <c r="BD426" t="s">
        <v>49</v>
      </c>
      <c r="BE426" t="s">
        <v>49</v>
      </c>
      <c r="BF426">
        <v>29</v>
      </c>
      <c r="BG426" t="s">
        <v>60</v>
      </c>
      <c r="BH426" t="s">
        <v>61</v>
      </c>
      <c r="BI426" t="s">
        <v>62</v>
      </c>
      <c r="BJ426" t="s">
        <v>63</v>
      </c>
      <c r="BK426">
        <v>2009</v>
      </c>
      <c r="BL426">
        <v>0</v>
      </c>
      <c r="BR426">
        <f>B426-BS426</f>
        <v>128</v>
      </c>
      <c r="BS426">
        <v>155</v>
      </c>
      <c r="BT426">
        <f t="shared" si="36"/>
        <v>1</v>
      </c>
    </row>
    <row r="427" spans="1:72" x14ac:dyDescent="0.2">
      <c r="A427" s="19" t="s">
        <v>475</v>
      </c>
      <c r="B427" s="1">
        <v>163</v>
      </c>
      <c r="C427">
        <v>0</v>
      </c>
      <c r="D427" t="s">
        <v>68</v>
      </c>
      <c r="E427" s="2" t="s">
        <v>49</v>
      </c>
      <c r="F427" t="s">
        <v>49</v>
      </c>
      <c r="G427">
        <v>163</v>
      </c>
      <c r="H427" s="2" t="s">
        <v>49</v>
      </c>
      <c r="I427" s="3" t="s">
        <v>69</v>
      </c>
      <c r="J427" s="8">
        <v>146</v>
      </c>
      <c r="Q427" s="8" t="s">
        <v>78</v>
      </c>
      <c r="W427" s="8">
        <v>6</v>
      </c>
      <c r="X427" s="8">
        <v>9</v>
      </c>
      <c r="Y427" s="8"/>
      <c r="Z427" s="8"/>
      <c r="AM427">
        <v>55</v>
      </c>
      <c r="AN427" t="s">
        <v>126</v>
      </c>
      <c r="AO427" t="s">
        <v>53</v>
      </c>
      <c r="AP427">
        <v>-20209</v>
      </c>
      <c r="AQ427">
        <v>0</v>
      </c>
      <c r="AR427" t="s">
        <v>54</v>
      </c>
      <c r="AS427" t="s">
        <v>55</v>
      </c>
      <c r="AT427" t="s">
        <v>55</v>
      </c>
      <c r="AU427" t="s">
        <v>56</v>
      </c>
      <c r="AV427">
        <v>1784</v>
      </c>
      <c r="AW427" t="s">
        <v>70</v>
      </c>
      <c r="AX427" t="s">
        <v>55</v>
      </c>
      <c r="AY427" t="s">
        <v>58</v>
      </c>
      <c r="AZ427" t="s">
        <v>59</v>
      </c>
      <c r="BA427" t="s">
        <v>55</v>
      </c>
      <c r="BB427" t="s">
        <v>49</v>
      </c>
      <c r="BC427" t="s">
        <v>49</v>
      </c>
      <c r="BD427" t="s">
        <v>49</v>
      </c>
      <c r="BE427" t="s">
        <v>55</v>
      </c>
      <c r="BF427">
        <v>29</v>
      </c>
      <c r="BG427" t="s">
        <v>60</v>
      </c>
      <c r="BH427" t="s">
        <v>71</v>
      </c>
      <c r="BI427" t="s">
        <v>62</v>
      </c>
      <c r="BJ427" t="s">
        <v>63</v>
      </c>
      <c r="BK427">
        <v>2009</v>
      </c>
      <c r="BL427">
        <v>0</v>
      </c>
      <c r="BR427">
        <f>B427-BS427</f>
        <v>27</v>
      </c>
      <c r="BS427">
        <v>136</v>
      </c>
      <c r="BT427">
        <f t="shared" si="36"/>
        <v>1</v>
      </c>
    </row>
    <row r="428" spans="1:72" x14ac:dyDescent="0.2">
      <c r="A428" s="19" t="s">
        <v>476</v>
      </c>
      <c r="B428" s="1">
        <v>1104</v>
      </c>
      <c r="C428">
        <v>1</v>
      </c>
      <c r="D428" t="s">
        <v>48</v>
      </c>
      <c r="E428" s="2" t="s">
        <v>49</v>
      </c>
      <c r="F428">
        <v>1104</v>
      </c>
      <c r="G428">
        <v>1053</v>
      </c>
      <c r="H428" s="2">
        <v>473</v>
      </c>
      <c r="I428" s="3">
        <v>473</v>
      </c>
      <c r="J428" s="4">
        <f>I428-51</f>
        <v>422</v>
      </c>
      <c r="K428" s="4">
        <v>583</v>
      </c>
      <c r="Q428" s="4" t="s">
        <v>51</v>
      </c>
      <c r="R428" s="4" t="s">
        <v>51</v>
      </c>
      <c r="W428" s="8">
        <v>6</v>
      </c>
      <c r="X428" s="8">
        <v>10</v>
      </c>
      <c r="Y428" s="4">
        <f>J428+K428</f>
        <v>1005</v>
      </c>
      <c r="Z428" s="4">
        <v>1</v>
      </c>
      <c r="AM428">
        <v>55</v>
      </c>
      <c r="AN428" t="s">
        <v>126</v>
      </c>
      <c r="AO428" t="s">
        <v>53</v>
      </c>
      <c r="AP428">
        <v>-20417</v>
      </c>
      <c r="AQ428">
        <v>0</v>
      </c>
      <c r="AR428" t="s">
        <v>54</v>
      </c>
      <c r="AS428" t="s">
        <v>55</v>
      </c>
      <c r="AT428" t="s">
        <v>55</v>
      </c>
      <c r="AU428" t="s">
        <v>56</v>
      </c>
      <c r="AV428">
        <v>1785</v>
      </c>
      <c r="AW428" t="s">
        <v>49</v>
      </c>
      <c r="AX428" t="s">
        <v>55</v>
      </c>
      <c r="AY428" t="s">
        <v>58</v>
      </c>
      <c r="AZ428" t="s">
        <v>59</v>
      </c>
      <c r="BA428" t="s">
        <v>55</v>
      </c>
      <c r="BB428" t="s">
        <v>49</v>
      </c>
      <c r="BC428" t="s">
        <v>49</v>
      </c>
      <c r="BD428" t="s">
        <v>106</v>
      </c>
      <c r="BE428" t="s">
        <v>55</v>
      </c>
      <c r="BF428">
        <v>29</v>
      </c>
      <c r="BG428" t="s">
        <v>60</v>
      </c>
      <c r="BH428" t="s">
        <v>82</v>
      </c>
      <c r="BI428" t="s">
        <v>62</v>
      </c>
      <c r="BJ428" t="s">
        <v>63</v>
      </c>
      <c r="BK428">
        <v>2006</v>
      </c>
      <c r="BL428">
        <v>1</v>
      </c>
      <c r="BM428">
        <v>1</v>
      </c>
      <c r="BR428">
        <f>I428-BS428</f>
        <v>317</v>
      </c>
      <c r="BS428">
        <v>156</v>
      </c>
      <c r="BT428">
        <f t="shared" si="36"/>
        <v>2</v>
      </c>
    </row>
    <row r="429" spans="1:72" x14ac:dyDescent="0.2">
      <c r="A429" s="19" t="s">
        <v>659</v>
      </c>
      <c r="B429" s="1">
        <v>2621</v>
      </c>
      <c r="C429">
        <v>1</v>
      </c>
      <c r="D429" s="8" t="s">
        <v>48</v>
      </c>
      <c r="E429" s="12" t="s">
        <v>49</v>
      </c>
      <c r="F429" s="8">
        <v>2621</v>
      </c>
      <c r="G429" s="8">
        <v>2621</v>
      </c>
      <c r="H429" s="12">
        <v>551</v>
      </c>
      <c r="I429" s="3">
        <v>551</v>
      </c>
      <c r="J429" s="4">
        <v>548</v>
      </c>
      <c r="K429" s="4">
        <v>1046</v>
      </c>
      <c r="L429" s="11">
        <v>215</v>
      </c>
      <c r="M429" s="5">
        <v>58</v>
      </c>
      <c r="N429" s="23">
        <v>307</v>
      </c>
      <c r="O429" s="8"/>
      <c r="P429" s="8"/>
      <c r="Q429" s="4" t="s">
        <v>51</v>
      </c>
      <c r="R429" s="4" t="s">
        <v>51</v>
      </c>
      <c r="S429" s="11" t="s">
        <v>90</v>
      </c>
      <c r="T429" s="5" t="s">
        <v>65</v>
      </c>
      <c r="U429" s="23" t="s">
        <v>80</v>
      </c>
      <c r="V429" s="8"/>
      <c r="W429" s="8">
        <v>6</v>
      </c>
      <c r="X429" s="8">
        <v>12</v>
      </c>
      <c r="Y429" s="4">
        <f>K429+J429</f>
        <v>1594</v>
      </c>
      <c r="Z429" s="4">
        <v>1</v>
      </c>
      <c r="AA429" s="11">
        <f>L429</f>
        <v>215</v>
      </c>
      <c r="AB429" s="11">
        <v>1</v>
      </c>
      <c r="AC429" s="8"/>
      <c r="AD429" s="8"/>
      <c r="AE429" s="5">
        <f>M429</f>
        <v>58</v>
      </c>
      <c r="AF429" s="5">
        <v>1</v>
      </c>
      <c r="AG429" s="23">
        <f>N429</f>
        <v>307</v>
      </c>
      <c r="AH429" s="23">
        <v>1</v>
      </c>
      <c r="AI429" s="8"/>
      <c r="AJ429" s="8"/>
      <c r="AK429" s="8"/>
      <c r="AL429" s="8"/>
      <c r="AM429" s="8">
        <v>75</v>
      </c>
      <c r="AN429" s="8" t="s">
        <v>101</v>
      </c>
      <c r="AO429" s="8" t="s">
        <v>53</v>
      </c>
      <c r="AP429" s="8">
        <v>-27417</v>
      </c>
      <c r="AQ429" s="8">
        <v>0</v>
      </c>
      <c r="AR429" s="8" t="s">
        <v>54</v>
      </c>
      <c r="AS429" s="8" t="s">
        <v>55</v>
      </c>
      <c r="AT429" s="8" t="s">
        <v>55</v>
      </c>
      <c r="AU429" s="8" t="s">
        <v>56</v>
      </c>
      <c r="AV429" s="8">
        <v>2414</v>
      </c>
      <c r="AW429" s="8" t="s">
        <v>57</v>
      </c>
      <c r="AX429" s="8" t="s">
        <v>55</v>
      </c>
      <c r="AY429" s="8" t="s">
        <v>58</v>
      </c>
      <c r="AZ429" s="8" t="s">
        <v>59</v>
      </c>
      <c r="BA429" s="8" t="s">
        <v>55</v>
      </c>
      <c r="BB429" s="8" t="s">
        <v>49</v>
      </c>
      <c r="BC429" s="8" t="s">
        <v>115</v>
      </c>
      <c r="BD429" s="8" t="s">
        <v>106</v>
      </c>
      <c r="BE429" s="8" t="s">
        <v>55</v>
      </c>
      <c r="BF429" s="8">
        <v>29</v>
      </c>
      <c r="BG429" s="8" t="s">
        <v>511</v>
      </c>
      <c r="BH429" s="8" t="s">
        <v>142</v>
      </c>
      <c r="BI429" s="8" t="s">
        <v>62</v>
      </c>
      <c r="BJ429" s="8" t="s">
        <v>63</v>
      </c>
      <c r="BK429" s="8">
        <v>1998</v>
      </c>
      <c r="BL429">
        <v>1</v>
      </c>
      <c r="BM429">
        <v>1</v>
      </c>
      <c r="BN429">
        <v>1</v>
      </c>
      <c r="BO429">
        <v>1</v>
      </c>
      <c r="BP429">
        <v>1</v>
      </c>
      <c r="BR429">
        <f>I429-BS429</f>
        <v>421</v>
      </c>
      <c r="BS429">
        <v>130</v>
      </c>
      <c r="BT429">
        <f t="shared" si="36"/>
        <v>5</v>
      </c>
    </row>
    <row r="430" spans="1:72" x14ac:dyDescent="0.2">
      <c r="A430" s="19" t="s">
        <v>660</v>
      </c>
      <c r="B430" s="1">
        <v>1977</v>
      </c>
      <c r="C430">
        <v>0</v>
      </c>
      <c r="D430" s="8" t="s">
        <v>68</v>
      </c>
      <c r="E430" s="12">
        <v>1577</v>
      </c>
      <c r="F430" s="8" t="s">
        <v>49</v>
      </c>
      <c r="G430" s="8">
        <v>1977</v>
      </c>
      <c r="H430" s="12" t="s">
        <v>49</v>
      </c>
      <c r="I430" s="3">
        <v>1577</v>
      </c>
      <c r="J430" s="8">
        <v>1567</v>
      </c>
      <c r="K430" s="4">
        <v>393</v>
      </c>
      <c r="L430" s="8"/>
      <c r="M430" s="8"/>
      <c r="N430" s="8"/>
      <c r="O430" s="8"/>
      <c r="P430" s="8"/>
      <c r="Q430" s="8" t="s">
        <v>78</v>
      </c>
      <c r="R430" s="4" t="s">
        <v>51</v>
      </c>
      <c r="S430" s="8"/>
      <c r="T430" s="8"/>
      <c r="U430" s="8"/>
      <c r="V430" s="8"/>
      <c r="W430" s="8">
        <v>6</v>
      </c>
      <c r="X430" s="8">
        <v>12</v>
      </c>
      <c r="Y430" s="4">
        <f>K430</f>
        <v>393</v>
      </c>
      <c r="Z430" s="4">
        <v>0</v>
      </c>
      <c r="AA430" s="8"/>
      <c r="AB430" s="8"/>
      <c r="AC430" s="8"/>
      <c r="AD430" s="8"/>
      <c r="AE430" s="8"/>
      <c r="AF430" s="8"/>
      <c r="AG430" s="8"/>
      <c r="AH430" s="8"/>
      <c r="AI430" s="8"/>
      <c r="AJ430" s="8"/>
      <c r="AK430" s="8"/>
      <c r="AL430" s="8"/>
      <c r="AM430" s="8">
        <v>60</v>
      </c>
      <c r="AN430" s="8" t="s">
        <v>49</v>
      </c>
      <c r="AO430" s="8" t="s">
        <v>53</v>
      </c>
      <c r="AP430" s="8">
        <v>-22089</v>
      </c>
      <c r="AQ430" s="8">
        <v>0</v>
      </c>
      <c r="AR430" s="8" t="s">
        <v>54</v>
      </c>
      <c r="AS430" s="8" t="s">
        <v>55</v>
      </c>
      <c r="AT430" s="8" t="s">
        <v>55</v>
      </c>
      <c r="AU430" s="8" t="s">
        <v>56</v>
      </c>
      <c r="AV430" s="8">
        <v>2425</v>
      </c>
      <c r="AW430" s="8" t="s">
        <v>70</v>
      </c>
      <c r="AX430" s="8" t="s">
        <v>55</v>
      </c>
      <c r="AY430" s="8" t="s">
        <v>58</v>
      </c>
      <c r="AZ430" s="8" t="s">
        <v>59</v>
      </c>
      <c r="BA430" s="8" t="s">
        <v>55</v>
      </c>
      <c r="BB430" s="8" t="s">
        <v>49</v>
      </c>
      <c r="BC430" s="8" t="s">
        <v>115</v>
      </c>
      <c r="BD430" s="8" t="s">
        <v>106</v>
      </c>
      <c r="BE430" s="8" t="s">
        <v>55</v>
      </c>
      <c r="BF430" s="8">
        <v>29</v>
      </c>
      <c r="BG430" s="8" t="s">
        <v>511</v>
      </c>
      <c r="BH430" s="8" t="s">
        <v>82</v>
      </c>
      <c r="BI430" s="8" t="s">
        <v>62</v>
      </c>
      <c r="BJ430" s="8" t="s">
        <v>63</v>
      </c>
      <c r="BK430" s="8">
        <v>2004</v>
      </c>
      <c r="BL430">
        <v>1</v>
      </c>
      <c r="BM430">
        <v>0</v>
      </c>
      <c r="BR430">
        <f>I430-BS430</f>
        <v>1375</v>
      </c>
      <c r="BS430">
        <v>202</v>
      </c>
      <c r="BT430">
        <f t="shared" si="36"/>
        <v>2</v>
      </c>
    </row>
    <row r="431" spans="1:72" x14ac:dyDescent="0.2">
      <c r="A431" s="19" t="s">
        <v>477</v>
      </c>
      <c r="B431" s="1">
        <v>1900</v>
      </c>
      <c r="C431">
        <v>0</v>
      </c>
      <c r="D431" t="s">
        <v>68</v>
      </c>
      <c r="E431" s="2" t="s">
        <v>49</v>
      </c>
      <c r="F431" t="s">
        <v>49</v>
      </c>
      <c r="G431">
        <v>1900</v>
      </c>
      <c r="H431" s="2">
        <v>1581</v>
      </c>
      <c r="I431" s="3">
        <v>1581</v>
      </c>
      <c r="J431" s="4">
        <v>1581</v>
      </c>
      <c r="K431" s="11">
        <v>232</v>
      </c>
      <c r="L431" s="6">
        <v>85</v>
      </c>
      <c r="Q431" s="4" t="s">
        <v>51</v>
      </c>
      <c r="R431" s="11" t="s">
        <v>90</v>
      </c>
      <c r="S431" s="6" t="s">
        <v>74</v>
      </c>
      <c r="W431" s="8">
        <v>3</v>
      </c>
      <c r="X431" s="8">
        <v>5</v>
      </c>
      <c r="Y431" s="4">
        <f>J431</f>
        <v>1581</v>
      </c>
      <c r="Z431" s="4">
        <v>1</v>
      </c>
      <c r="AA431" s="11">
        <f>K431</f>
        <v>232</v>
      </c>
      <c r="AB431" s="11">
        <v>1</v>
      </c>
      <c r="AC431" s="6">
        <f>L431</f>
        <v>85</v>
      </c>
      <c r="AD431" s="6">
        <v>0</v>
      </c>
      <c r="AM431">
        <v>60</v>
      </c>
      <c r="AN431" t="s">
        <v>101</v>
      </c>
      <c r="AO431" t="s">
        <v>53</v>
      </c>
      <c r="AP431">
        <v>-21940</v>
      </c>
      <c r="AQ431">
        <v>0</v>
      </c>
      <c r="AR431" t="s">
        <v>54</v>
      </c>
      <c r="AS431" t="s">
        <v>55</v>
      </c>
      <c r="AT431" t="s">
        <v>55</v>
      </c>
      <c r="AU431" t="s">
        <v>56</v>
      </c>
      <c r="AV431">
        <v>2427</v>
      </c>
      <c r="AW431" t="s">
        <v>57</v>
      </c>
      <c r="AX431" t="s">
        <v>55</v>
      </c>
      <c r="AY431" t="s">
        <v>58</v>
      </c>
      <c r="AZ431" t="s">
        <v>59</v>
      </c>
      <c r="BA431" t="s">
        <v>55</v>
      </c>
      <c r="BB431" t="s">
        <v>49</v>
      </c>
      <c r="BC431" t="s">
        <v>115</v>
      </c>
      <c r="BD431" t="s">
        <v>49</v>
      </c>
      <c r="BE431" t="s">
        <v>55</v>
      </c>
      <c r="BF431">
        <v>29</v>
      </c>
      <c r="BG431" t="s">
        <v>60</v>
      </c>
      <c r="BH431" t="s">
        <v>82</v>
      </c>
      <c r="BI431" t="s">
        <v>62</v>
      </c>
      <c r="BJ431" t="s">
        <v>63</v>
      </c>
      <c r="BK431">
        <v>2004</v>
      </c>
      <c r="BL431">
        <v>1</v>
      </c>
      <c r="BM431">
        <v>1</v>
      </c>
      <c r="BN431">
        <v>0</v>
      </c>
      <c r="BR431">
        <f>I431-BS431</f>
        <v>1532</v>
      </c>
      <c r="BS431">
        <v>49</v>
      </c>
      <c r="BT431">
        <f t="shared" si="36"/>
        <v>3</v>
      </c>
    </row>
    <row r="432" spans="1:72" x14ac:dyDescent="0.2">
      <c r="A432" s="19" t="s">
        <v>478</v>
      </c>
      <c r="B432" s="1">
        <v>1372</v>
      </c>
      <c r="C432">
        <v>0</v>
      </c>
      <c r="D432" t="s">
        <v>68</v>
      </c>
      <c r="E432" s="2" t="s">
        <v>49</v>
      </c>
      <c r="F432" t="s">
        <v>49</v>
      </c>
      <c r="G432">
        <v>1372</v>
      </c>
      <c r="H432" s="2" t="s">
        <v>49</v>
      </c>
      <c r="I432" s="3" t="s">
        <v>69</v>
      </c>
      <c r="J432" s="4">
        <v>1354</v>
      </c>
      <c r="Q432" s="4" t="s">
        <v>51</v>
      </c>
      <c r="W432" s="8">
        <v>6</v>
      </c>
      <c r="X432" s="8">
        <v>12</v>
      </c>
      <c r="Y432" s="4">
        <f>J432</f>
        <v>1354</v>
      </c>
      <c r="Z432" s="4">
        <v>0</v>
      </c>
      <c r="AM432">
        <v>58</v>
      </c>
      <c r="AN432" t="s">
        <v>101</v>
      </c>
      <c r="AO432" t="s">
        <v>53</v>
      </c>
      <c r="AP432">
        <v>-21391</v>
      </c>
      <c r="AQ432">
        <v>0</v>
      </c>
      <c r="AR432" t="s">
        <v>54</v>
      </c>
      <c r="AS432" t="s">
        <v>55</v>
      </c>
      <c r="AT432" t="s">
        <v>55</v>
      </c>
      <c r="AU432" t="s">
        <v>56</v>
      </c>
      <c r="AV432">
        <v>2428</v>
      </c>
      <c r="AW432" t="s">
        <v>70</v>
      </c>
      <c r="AX432" t="s">
        <v>55</v>
      </c>
      <c r="AY432" t="s">
        <v>58</v>
      </c>
      <c r="AZ432" t="s">
        <v>59</v>
      </c>
      <c r="BA432" t="s">
        <v>55</v>
      </c>
      <c r="BB432" t="s">
        <v>49</v>
      </c>
      <c r="BC432" t="s">
        <v>115</v>
      </c>
      <c r="BD432" t="s">
        <v>49</v>
      </c>
      <c r="BE432" t="s">
        <v>55</v>
      </c>
      <c r="BF432">
        <v>29</v>
      </c>
      <c r="BG432" t="s">
        <v>60</v>
      </c>
      <c r="BH432" t="s">
        <v>82</v>
      </c>
      <c r="BI432" t="s">
        <v>62</v>
      </c>
      <c r="BJ432" t="s">
        <v>63</v>
      </c>
      <c r="BK432">
        <v>2005</v>
      </c>
      <c r="BL432">
        <v>0</v>
      </c>
      <c r="BR432">
        <f>B432-BS432</f>
        <v>1231</v>
      </c>
      <c r="BS432">
        <v>141</v>
      </c>
      <c r="BT432">
        <f t="shared" si="36"/>
        <v>1</v>
      </c>
    </row>
    <row r="433" spans="1:72" x14ac:dyDescent="0.2">
      <c r="A433" s="19" t="s">
        <v>479</v>
      </c>
      <c r="B433" s="1">
        <v>421</v>
      </c>
      <c r="C433">
        <v>1</v>
      </c>
      <c r="D433" t="s">
        <v>48</v>
      </c>
      <c r="E433" s="2" t="s">
        <v>49</v>
      </c>
      <c r="F433">
        <v>421</v>
      </c>
      <c r="G433">
        <v>148</v>
      </c>
      <c r="H433" s="2" t="s">
        <v>49</v>
      </c>
      <c r="I433" s="3">
        <v>421</v>
      </c>
      <c r="J433" s="4" t="s">
        <v>50</v>
      </c>
      <c r="Q433" s="4" t="s">
        <v>51</v>
      </c>
      <c r="W433" s="8">
        <v>1</v>
      </c>
      <c r="X433" s="8">
        <v>2</v>
      </c>
      <c r="Y433" s="4" t="str">
        <f>J433</f>
        <v>cannot assess</v>
      </c>
      <c r="Z433" s="4">
        <v>1</v>
      </c>
      <c r="AM433">
        <v>79</v>
      </c>
      <c r="AN433" t="s">
        <v>126</v>
      </c>
      <c r="AO433" t="s">
        <v>49</v>
      </c>
      <c r="AP433">
        <v>-29156</v>
      </c>
      <c r="AQ433">
        <v>0</v>
      </c>
      <c r="AR433" t="s">
        <v>54</v>
      </c>
      <c r="AS433" t="s">
        <v>49</v>
      </c>
      <c r="AT433" t="s">
        <v>49</v>
      </c>
      <c r="AU433" t="s">
        <v>56</v>
      </c>
      <c r="AV433">
        <v>2429</v>
      </c>
      <c r="AW433" t="s">
        <v>57</v>
      </c>
      <c r="AX433" t="s">
        <v>55</v>
      </c>
      <c r="AY433" t="s">
        <v>49</v>
      </c>
      <c r="AZ433" t="s">
        <v>59</v>
      </c>
      <c r="BA433" t="s">
        <v>49</v>
      </c>
      <c r="BB433" t="s">
        <v>49</v>
      </c>
      <c r="BC433" t="s">
        <v>115</v>
      </c>
      <c r="BD433" t="s">
        <v>49</v>
      </c>
      <c r="BE433" t="s">
        <v>49</v>
      </c>
      <c r="BF433">
        <v>29</v>
      </c>
      <c r="BG433" t="s">
        <v>60</v>
      </c>
      <c r="BH433" t="s">
        <v>82</v>
      </c>
      <c r="BI433" t="s">
        <v>62</v>
      </c>
      <c r="BJ433" t="s">
        <v>63</v>
      </c>
      <c r="BK433">
        <v>2005</v>
      </c>
      <c r="BR433">
        <f>I433-BS433</f>
        <v>400</v>
      </c>
      <c r="BS433">
        <v>21</v>
      </c>
      <c r="BT433">
        <f t="shared" si="36"/>
        <v>0</v>
      </c>
    </row>
    <row r="434" spans="1:72" x14ac:dyDescent="0.2">
      <c r="A434" s="19" t="s">
        <v>661</v>
      </c>
      <c r="B434" s="1">
        <v>1285</v>
      </c>
      <c r="C434">
        <v>0</v>
      </c>
      <c r="D434" s="8" t="s">
        <v>68</v>
      </c>
      <c r="E434" s="12" t="s">
        <v>49</v>
      </c>
      <c r="F434" s="8" t="s">
        <v>49</v>
      </c>
      <c r="G434" s="8">
        <v>1285</v>
      </c>
      <c r="H434" s="12">
        <v>960</v>
      </c>
      <c r="I434" s="3">
        <v>960</v>
      </c>
      <c r="J434" s="4">
        <f>960-33</f>
        <v>927</v>
      </c>
      <c r="K434" s="4">
        <v>308</v>
      </c>
      <c r="L434" s="8"/>
      <c r="M434" s="8"/>
      <c r="N434" s="8"/>
      <c r="O434" s="8"/>
      <c r="P434" s="8" t="s">
        <v>830</v>
      </c>
      <c r="Q434" s="4" t="s">
        <v>51</v>
      </c>
      <c r="R434" s="4" t="s">
        <v>51</v>
      </c>
      <c r="S434" s="8"/>
      <c r="T434" s="8"/>
      <c r="U434" s="8"/>
      <c r="V434" s="8"/>
      <c r="W434" s="8">
        <v>6</v>
      </c>
      <c r="X434" s="8">
        <v>12</v>
      </c>
      <c r="Y434" s="4">
        <f>J434+K434</f>
        <v>1235</v>
      </c>
      <c r="Z434" s="4">
        <v>0</v>
      </c>
      <c r="AA434" s="8"/>
      <c r="AB434" s="8"/>
      <c r="AC434" s="8"/>
      <c r="AD434" s="8"/>
      <c r="AE434" s="8"/>
      <c r="AF434" s="8"/>
      <c r="AG434" s="8"/>
      <c r="AH434" s="8"/>
      <c r="AI434" s="8"/>
      <c r="AJ434" s="8"/>
      <c r="AK434" s="8"/>
      <c r="AL434" s="8"/>
      <c r="AM434" s="8">
        <v>59</v>
      </c>
      <c r="AN434" s="8" t="s">
        <v>52</v>
      </c>
      <c r="AO434" s="8" t="s">
        <v>53</v>
      </c>
      <c r="AP434" s="8">
        <v>-21832</v>
      </c>
      <c r="AQ434" s="8">
        <v>0</v>
      </c>
      <c r="AR434" s="8" t="s">
        <v>54</v>
      </c>
      <c r="AS434" s="8" t="s">
        <v>55</v>
      </c>
      <c r="AT434" s="8" t="s">
        <v>55</v>
      </c>
      <c r="AU434" s="8" t="s">
        <v>56</v>
      </c>
      <c r="AV434" s="8">
        <v>2431</v>
      </c>
      <c r="AW434" s="8" t="s">
        <v>57</v>
      </c>
      <c r="AX434" s="8" t="s">
        <v>55</v>
      </c>
      <c r="AY434" s="8" t="s">
        <v>58</v>
      </c>
      <c r="AZ434" s="8" t="s">
        <v>59</v>
      </c>
      <c r="BA434" s="8" t="s">
        <v>55</v>
      </c>
      <c r="BB434" s="8" t="s">
        <v>49</v>
      </c>
      <c r="BC434" s="8" t="s">
        <v>482</v>
      </c>
      <c r="BD434" s="8" t="s">
        <v>106</v>
      </c>
      <c r="BE434" s="8" t="s">
        <v>53</v>
      </c>
      <c r="BF434" s="8">
        <v>29</v>
      </c>
      <c r="BG434" s="8" t="s">
        <v>511</v>
      </c>
      <c r="BH434" s="8" t="s">
        <v>61</v>
      </c>
      <c r="BI434" s="8" t="s">
        <v>62</v>
      </c>
      <c r="BJ434" s="8" t="s">
        <v>63</v>
      </c>
      <c r="BK434" s="8">
        <v>2006</v>
      </c>
      <c r="BL434">
        <v>1</v>
      </c>
      <c r="BM434">
        <v>0</v>
      </c>
      <c r="BR434">
        <f>I434-BS434</f>
        <v>822</v>
      </c>
      <c r="BS434">
        <v>138</v>
      </c>
      <c r="BT434">
        <f t="shared" si="36"/>
        <v>2</v>
      </c>
    </row>
    <row r="435" spans="1:72" x14ac:dyDescent="0.2">
      <c r="A435" s="19" t="s">
        <v>480</v>
      </c>
      <c r="B435" s="1">
        <v>653</v>
      </c>
      <c r="C435">
        <v>1</v>
      </c>
      <c r="D435" t="s">
        <v>48</v>
      </c>
      <c r="E435" s="2" t="s">
        <v>49</v>
      </c>
      <c r="F435">
        <v>653</v>
      </c>
      <c r="G435">
        <v>360</v>
      </c>
      <c r="H435" s="2">
        <v>173</v>
      </c>
      <c r="I435" s="3">
        <v>173</v>
      </c>
      <c r="J435" s="4">
        <v>160</v>
      </c>
      <c r="P435" t="s">
        <v>830</v>
      </c>
      <c r="Q435" s="4" t="s">
        <v>51</v>
      </c>
      <c r="W435" s="8">
        <v>6</v>
      </c>
      <c r="X435" s="8">
        <v>12</v>
      </c>
      <c r="Y435" s="4">
        <f>J435</f>
        <v>160</v>
      </c>
      <c r="Z435" s="4">
        <v>1</v>
      </c>
      <c r="AM435">
        <v>61</v>
      </c>
      <c r="AN435" t="s">
        <v>52</v>
      </c>
      <c r="AO435" t="s">
        <v>53</v>
      </c>
      <c r="AP435">
        <v>-22605</v>
      </c>
      <c r="AQ435">
        <v>0</v>
      </c>
      <c r="AR435" t="s">
        <v>54</v>
      </c>
      <c r="AS435" t="s">
        <v>55</v>
      </c>
      <c r="AT435" t="s">
        <v>55</v>
      </c>
      <c r="AU435" t="s">
        <v>56</v>
      </c>
      <c r="AV435">
        <v>2432</v>
      </c>
      <c r="AW435" t="s">
        <v>57</v>
      </c>
      <c r="AX435" t="s">
        <v>55</v>
      </c>
      <c r="AY435" t="s">
        <v>81</v>
      </c>
      <c r="AZ435" t="s">
        <v>59</v>
      </c>
      <c r="BA435" t="s">
        <v>55</v>
      </c>
      <c r="BB435" t="s">
        <v>49</v>
      </c>
      <c r="BC435" t="s">
        <v>115</v>
      </c>
      <c r="BD435" t="s">
        <v>49</v>
      </c>
      <c r="BE435" t="s">
        <v>53</v>
      </c>
      <c r="BF435">
        <v>29</v>
      </c>
      <c r="BG435" t="s">
        <v>60</v>
      </c>
      <c r="BH435" t="s">
        <v>142</v>
      </c>
      <c r="BI435" t="s">
        <v>62</v>
      </c>
      <c r="BJ435" t="s">
        <v>63</v>
      </c>
      <c r="BK435">
        <v>2008</v>
      </c>
      <c r="BL435">
        <v>1</v>
      </c>
      <c r="BR435">
        <f>I435-BS435</f>
        <v>17</v>
      </c>
      <c r="BS435">
        <v>156</v>
      </c>
      <c r="BT435">
        <f t="shared" si="36"/>
        <v>1</v>
      </c>
    </row>
    <row r="436" spans="1:72" x14ac:dyDescent="0.2">
      <c r="A436" s="19" t="s">
        <v>481</v>
      </c>
      <c r="B436" s="1">
        <v>349</v>
      </c>
      <c r="C436">
        <v>0</v>
      </c>
      <c r="D436" t="s">
        <v>68</v>
      </c>
      <c r="E436" s="2" t="s">
        <v>49</v>
      </c>
      <c r="F436" t="s">
        <v>49</v>
      </c>
      <c r="G436">
        <v>349</v>
      </c>
      <c r="H436" s="2" t="s">
        <v>49</v>
      </c>
      <c r="I436" s="3" t="s">
        <v>69</v>
      </c>
      <c r="J436" s="4">
        <v>321</v>
      </c>
      <c r="Q436" s="4" t="s">
        <v>51</v>
      </c>
      <c r="W436" s="8">
        <v>6</v>
      </c>
      <c r="X436" s="8">
        <v>12</v>
      </c>
      <c r="Y436" s="4">
        <f>J436</f>
        <v>321</v>
      </c>
      <c r="Z436" s="4">
        <v>0</v>
      </c>
      <c r="AM436">
        <v>52</v>
      </c>
      <c r="AN436" t="s">
        <v>101</v>
      </c>
      <c r="AO436" t="s">
        <v>53</v>
      </c>
      <c r="AP436">
        <v>-18996</v>
      </c>
      <c r="AQ436">
        <v>0</v>
      </c>
      <c r="AR436" t="s">
        <v>54</v>
      </c>
      <c r="AS436" t="s">
        <v>55</v>
      </c>
      <c r="AT436" t="s">
        <v>55</v>
      </c>
      <c r="AU436" t="s">
        <v>56</v>
      </c>
      <c r="AV436">
        <v>2434</v>
      </c>
      <c r="AW436" t="s">
        <v>70</v>
      </c>
      <c r="AX436" t="s">
        <v>55</v>
      </c>
      <c r="AY436" t="s">
        <v>58</v>
      </c>
      <c r="AZ436" t="s">
        <v>59</v>
      </c>
      <c r="BA436" t="s">
        <v>55</v>
      </c>
      <c r="BB436" t="s">
        <v>49</v>
      </c>
      <c r="BC436" t="s">
        <v>482</v>
      </c>
      <c r="BD436" t="s">
        <v>49</v>
      </c>
      <c r="BE436" t="s">
        <v>55</v>
      </c>
      <c r="BF436">
        <v>29</v>
      </c>
      <c r="BG436" t="s">
        <v>60</v>
      </c>
      <c r="BH436" t="s">
        <v>71</v>
      </c>
      <c r="BI436" t="s">
        <v>62</v>
      </c>
      <c r="BJ436" t="s">
        <v>63</v>
      </c>
      <c r="BK436">
        <v>2009</v>
      </c>
      <c r="BL436">
        <v>0</v>
      </c>
      <c r="BR436">
        <f>B436-BS436</f>
        <v>215</v>
      </c>
      <c r="BS436">
        <v>134</v>
      </c>
      <c r="BT436">
        <f t="shared" si="36"/>
        <v>1</v>
      </c>
    </row>
    <row r="437" spans="1:72" x14ac:dyDescent="0.2">
      <c r="A437" s="19" t="s">
        <v>662</v>
      </c>
      <c r="B437" s="1">
        <v>297</v>
      </c>
      <c r="C437">
        <v>0</v>
      </c>
      <c r="D437" s="8" t="s">
        <v>68</v>
      </c>
      <c r="E437" s="12" t="s">
        <v>49</v>
      </c>
      <c r="F437" s="8" t="s">
        <v>49</v>
      </c>
      <c r="G437" s="8">
        <v>297</v>
      </c>
      <c r="H437" s="12" t="s">
        <v>49</v>
      </c>
      <c r="I437" s="3" t="s">
        <v>69</v>
      </c>
      <c r="J437" s="4">
        <v>280</v>
      </c>
      <c r="K437" s="8"/>
      <c r="L437" s="8"/>
      <c r="M437" s="8"/>
      <c r="N437" s="8"/>
      <c r="O437" s="8"/>
      <c r="P437" s="8"/>
      <c r="Q437" s="4" t="s">
        <v>51</v>
      </c>
      <c r="R437" s="8"/>
      <c r="S437" s="8"/>
      <c r="T437" s="8"/>
      <c r="U437" s="8"/>
      <c r="V437" s="8"/>
      <c r="W437" s="8">
        <v>6</v>
      </c>
      <c r="X437" s="8">
        <v>12</v>
      </c>
      <c r="Y437" s="4">
        <f>J437</f>
        <v>280</v>
      </c>
      <c r="Z437" s="4">
        <v>0</v>
      </c>
      <c r="AA437" s="8"/>
      <c r="AB437" s="8"/>
      <c r="AC437" s="8"/>
      <c r="AD437" s="8"/>
      <c r="AE437" s="8"/>
      <c r="AF437" s="8"/>
      <c r="AG437" s="8"/>
      <c r="AH437" s="8"/>
      <c r="AI437" s="8"/>
      <c r="AJ437" s="8"/>
      <c r="AK437" s="8"/>
      <c r="AL437" s="8"/>
      <c r="AM437" s="8">
        <v>36</v>
      </c>
      <c r="AN437" s="8" t="s">
        <v>52</v>
      </c>
      <c r="AO437" s="8" t="s">
        <v>53</v>
      </c>
      <c r="AP437" s="8">
        <v>-13345</v>
      </c>
      <c r="AQ437" s="8">
        <v>0</v>
      </c>
      <c r="AR437" s="8" t="s">
        <v>54</v>
      </c>
      <c r="AS437" s="8" t="s">
        <v>55</v>
      </c>
      <c r="AT437" s="8" t="s">
        <v>55</v>
      </c>
      <c r="AU437" s="8" t="s">
        <v>56</v>
      </c>
      <c r="AV437" s="8">
        <v>2436</v>
      </c>
      <c r="AW437" s="8" t="s">
        <v>70</v>
      </c>
      <c r="AX437" s="8" t="s">
        <v>55</v>
      </c>
      <c r="AY437" s="8" t="s">
        <v>58</v>
      </c>
      <c r="AZ437" s="8" t="s">
        <v>59</v>
      </c>
      <c r="BA437" s="8" t="s">
        <v>55</v>
      </c>
      <c r="BB437" s="8" t="s">
        <v>49</v>
      </c>
      <c r="BC437" s="8" t="s">
        <v>482</v>
      </c>
      <c r="BD437" s="8" t="s">
        <v>49</v>
      </c>
      <c r="BE437" s="8" t="s">
        <v>55</v>
      </c>
      <c r="BF437" s="8">
        <v>29</v>
      </c>
      <c r="BG437" s="8" t="s">
        <v>511</v>
      </c>
      <c r="BH437" s="8" t="s">
        <v>61</v>
      </c>
      <c r="BI437" s="8" t="s">
        <v>62</v>
      </c>
      <c r="BJ437" s="8" t="s">
        <v>63</v>
      </c>
      <c r="BK437" s="8">
        <v>2009</v>
      </c>
      <c r="BL437">
        <v>0</v>
      </c>
      <c r="BR437">
        <f>B437-BS437</f>
        <v>106</v>
      </c>
      <c r="BS437">
        <v>191</v>
      </c>
      <c r="BT437">
        <f t="shared" si="36"/>
        <v>1</v>
      </c>
    </row>
    <row r="438" spans="1:72" x14ac:dyDescent="0.2">
      <c r="A438" s="19" t="s">
        <v>483</v>
      </c>
      <c r="B438" s="1">
        <v>1158</v>
      </c>
      <c r="C438">
        <v>1</v>
      </c>
      <c r="D438" t="s">
        <v>48</v>
      </c>
      <c r="E438" s="2" t="s">
        <v>49</v>
      </c>
      <c r="F438">
        <v>1158</v>
      </c>
      <c r="G438">
        <v>1158</v>
      </c>
      <c r="H438" s="2">
        <v>241</v>
      </c>
      <c r="I438" s="3">
        <v>241</v>
      </c>
      <c r="J438" s="4">
        <v>226</v>
      </c>
      <c r="K438" s="5">
        <v>110</v>
      </c>
      <c r="L438" s="9">
        <v>131</v>
      </c>
      <c r="M438" s="4">
        <v>351</v>
      </c>
      <c r="N438">
        <v>67</v>
      </c>
      <c r="O438">
        <v>29</v>
      </c>
      <c r="Q438" s="4" t="s">
        <v>51</v>
      </c>
      <c r="R438" s="5" t="s">
        <v>65</v>
      </c>
      <c r="S438" s="9" t="s">
        <v>80</v>
      </c>
      <c r="T438" s="4" t="s">
        <v>51</v>
      </c>
      <c r="U438" t="s">
        <v>484</v>
      </c>
      <c r="V438" t="s">
        <v>98</v>
      </c>
      <c r="W438" s="8">
        <v>6</v>
      </c>
      <c r="X438" s="8">
        <v>12</v>
      </c>
      <c r="Y438" s="4">
        <f>J438+M438</f>
        <v>577</v>
      </c>
      <c r="Z438" s="4">
        <v>1</v>
      </c>
      <c r="AE438" s="5">
        <f>K438</f>
        <v>110</v>
      </c>
      <c r="AF438" s="5">
        <v>1</v>
      </c>
      <c r="AG438" s="9">
        <f>L438</f>
        <v>131</v>
      </c>
      <c r="AH438" s="9">
        <v>1</v>
      </c>
      <c r="AM438">
        <v>68</v>
      </c>
      <c r="AN438" t="s">
        <v>52</v>
      </c>
      <c r="AO438" t="s">
        <v>53</v>
      </c>
      <c r="AP438">
        <v>-25031</v>
      </c>
      <c r="AQ438">
        <v>0</v>
      </c>
      <c r="AR438" t="s">
        <v>54</v>
      </c>
      <c r="AS438" t="s">
        <v>53</v>
      </c>
      <c r="AT438" t="s">
        <v>55</v>
      </c>
      <c r="AU438" t="s">
        <v>56</v>
      </c>
      <c r="AV438">
        <v>1714</v>
      </c>
      <c r="AW438" t="s">
        <v>57</v>
      </c>
      <c r="AX438" t="s">
        <v>55</v>
      </c>
      <c r="AY438" t="s">
        <v>58</v>
      </c>
      <c r="AZ438" t="s">
        <v>59</v>
      </c>
      <c r="BA438" t="s">
        <v>55</v>
      </c>
      <c r="BB438" t="s">
        <v>49</v>
      </c>
      <c r="BC438" t="s">
        <v>49</v>
      </c>
      <c r="BD438" t="s">
        <v>106</v>
      </c>
      <c r="BE438" t="s">
        <v>55</v>
      </c>
      <c r="BF438">
        <v>30</v>
      </c>
      <c r="BG438" t="s">
        <v>60</v>
      </c>
      <c r="BH438" t="s">
        <v>61</v>
      </c>
      <c r="BI438" t="s">
        <v>83</v>
      </c>
      <c r="BJ438" t="s">
        <v>63</v>
      </c>
      <c r="BK438">
        <v>2001</v>
      </c>
      <c r="BL438">
        <v>1</v>
      </c>
      <c r="BM438">
        <v>1</v>
      </c>
      <c r="BN438">
        <v>1</v>
      </c>
      <c r="BO438">
        <v>1</v>
      </c>
      <c r="BP438">
        <v>1</v>
      </c>
      <c r="BQ438">
        <v>1</v>
      </c>
      <c r="BR438">
        <f>I438-BS438</f>
        <v>118</v>
      </c>
      <c r="BS438">
        <v>123</v>
      </c>
      <c r="BT438">
        <f t="shared" si="36"/>
        <v>6</v>
      </c>
    </row>
    <row r="439" spans="1:72" x14ac:dyDescent="0.2">
      <c r="A439" s="19" t="s">
        <v>485</v>
      </c>
      <c r="B439" s="1">
        <v>1579</v>
      </c>
      <c r="C439">
        <v>1</v>
      </c>
      <c r="D439" t="s">
        <v>48</v>
      </c>
      <c r="E439" s="2" t="s">
        <v>49</v>
      </c>
      <c r="F439">
        <v>1579</v>
      </c>
      <c r="G439">
        <v>1579</v>
      </c>
      <c r="H439" s="2">
        <v>896</v>
      </c>
      <c r="I439" s="3">
        <v>896</v>
      </c>
      <c r="J439" s="4">
        <f>896-31</f>
        <v>865</v>
      </c>
      <c r="K439" s="8"/>
      <c r="P439" t="s">
        <v>844</v>
      </c>
      <c r="Q439" s="4" t="s">
        <v>51</v>
      </c>
      <c r="R439" s="8"/>
      <c r="W439" s="8">
        <v>19</v>
      </c>
      <c r="X439" s="8">
        <v>19</v>
      </c>
      <c r="Y439" s="4">
        <f>J439</f>
        <v>865</v>
      </c>
      <c r="Z439" s="4">
        <v>1</v>
      </c>
      <c r="AA439" s="8"/>
      <c r="AB439" s="8"/>
      <c r="AC439" s="8"/>
      <c r="AD439" s="8"/>
      <c r="AM439">
        <v>44</v>
      </c>
      <c r="AN439" t="s">
        <v>52</v>
      </c>
      <c r="AO439" t="s">
        <v>53</v>
      </c>
      <c r="AP439">
        <v>-16400</v>
      </c>
      <c r="AQ439">
        <v>0</v>
      </c>
      <c r="AR439" t="s">
        <v>54</v>
      </c>
      <c r="AS439" t="s">
        <v>53</v>
      </c>
      <c r="AT439" t="s">
        <v>55</v>
      </c>
      <c r="AU439" t="s">
        <v>56</v>
      </c>
      <c r="AV439">
        <v>1718</v>
      </c>
      <c r="AW439" t="s">
        <v>57</v>
      </c>
      <c r="AX439" t="s">
        <v>55</v>
      </c>
      <c r="AY439" t="s">
        <v>49</v>
      </c>
      <c r="AZ439" t="s">
        <v>59</v>
      </c>
      <c r="BA439" t="s">
        <v>55</v>
      </c>
      <c r="BB439" t="s">
        <v>49</v>
      </c>
      <c r="BC439" t="s">
        <v>49</v>
      </c>
      <c r="BD439" t="s">
        <v>106</v>
      </c>
      <c r="BE439" t="s">
        <v>55</v>
      </c>
      <c r="BF439">
        <v>30</v>
      </c>
      <c r="BG439" t="s">
        <v>60</v>
      </c>
      <c r="BH439" t="s">
        <v>61</v>
      </c>
      <c r="BI439" t="s">
        <v>62</v>
      </c>
      <c r="BJ439" t="s">
        <v>63</v>
      </c>
      <c r="BK439">
        <v>2002</v>
      </c>
      <c r="BL439">
        <v>1</v>
      </c>
      <c r="BR439">
        <f>I439-BS439</f>
        <v>718</v>
      </c>
      <c r="BS439">
        <v>178</v>
      </c>
      <c r="BT439">
        <f t="shared" si="36"/>
        <v>1</v>
      </c>
    </row>
    <row r="440" spans="1:72" x14ac:dyDescent="0.2">
      <c r="A440" s="19" t="s">
        <v>486</v>
      </c>
      <c r="B440" s="1">
        <v>1103</v>
      </c>
      <c r="C440">
        <v>1</v>
      </c>
      <c r="D440" t="s">
        <v>48</v>
      </c>
      <c r="E440" s="2" t="s">
        <v>49</v>
      </c>
      <c r="F440">
        <v>1103</v>
      </c>
      <c r="G440">
        <v>1103</v>
      </c>
      <c r="H440" s="2">
        <v>634</v>
      </c>
      <c r="I440" s="3">
        <v>634</v>
      </c>
      <c r="J440" s="4">
        <f>I440-42</f>
        <v>592</v>
      </c>
      <c r="K440" s="4">
        <v>217</v>
      </c>
      <c r="L440">
        <v>64</v>
      </c>
      <c r="M440" s="5">
        <v>153</v>
      </c>
      <c r="Q440" s="4" t="s">
        <v>51</v>
      </c>
      <c r="R440" s="4" t="s">
        <v>51</v>
      </c>
      <c r="S440" t="s">
        <v>487</v>
      </c>
      <c r="T440" s="5" t="s">
        <v>65</v>
      </c>
      <c r="W440" s="8">
        <v>6</v>
      </c>
      <c r="X440" s="8">
        <v>12</v>
      </c>
      <c r="Y440" s="4">
        <f>J440+K440</f>
        <v>809</v>
      </c>
      <c r="Z440" s="4">
        <v>1</v>
      </c>
      <c r="AE440" s="5">
        <f>M440</f>
        <v>153</v>
      </c>
      <c r="AF440" s="5">
        <v>1</v>
      </c>
      <c r="AM440">
        <v>58</v>
      </c>
      <c r="AN440" t="s">
        <v>52</v>
      </c>
      <c r="AO440" t="s">
        <v>53</v>
      </c>
      <c r="AP440">
        <v>-21403</v>
      </c>
      <c r="AQ440">
        <v>0</v>
      </c>
      <c r="AR440" t="s">
        <v>54</v>
      </c>
      <c r="AS440" t="s">
        <v>55</v>
      </c>
      <c r="AT440" t="s">
        <v>55</v>
      </c>
      <c r="AU440" t="s">
        <v>56</v>
      </c>
      <c r="AV440">
        <v>1853</v>
      </c>
      <c r="AW440" t="s">
        <v>57</v>
      </c>
      <c r="AX440" t="s">
        <v>55</v>
      </c>
      <c r="AY440" t="s">
        <v>58</v>
      </c>
      <c r="AZ440" t="s">
        <v>59</v>
      </c>
      <c r="BA440" t="s">
        <v>55</v>
      </c>
      <c r="BB440" t="s">
        <v>49</v>
      </c>
      <c r="BC440" t="s">
        <v>49</v>
      </c>
      <c r="BD440" t="s">
        <v>106</v>
      </c>
      <c r="BE440" t="s">
        <v>55</v>
      </c>
      <c r="BF440">
        <v>30</v>
      </c>
      <c r="BG440" t="s">
        <v>60</v>
      </c>
      <c r="BH440" t="s">
        <v>61</v>
      </c>
      <c r="BI440" t="s">
        <v>62</v>
      </c>
      <c r="BJ440" t="s">
        <v>63</v>
      </c>
      <c r="BK440">
        <v>2000</v>
      </c>
      <c r="BL440">
        <v>1</v>
      </c>
      <c r="BM440">
        <v>1</v>
      </c>
      <c r="BN440">
        <v>1</v>
      </c>
      <c r="BO440">
        <v>1</v>
      </c>
      <c r="BR440">
        <f>I440-BS440</f>
        <v>508</v>
      </c>
      <c r="BS440">
        <v>126</v>
      </c>
      <c r="BT440">
        <f t="shared" si="36"/>
        <v>4</v>
      </c>
    </row>
    <row r="441" spans="1:72" x14ac:dyDescent="0.2">
      <c r="A441" s="19" t="s">
        <v>488</v>
      </c>
      <c r="B441" s="1">
        <v>75</v>
      </c>
      <c r="C441">
        <v>1</v>
      </c>
      <c r="D441" t="s">
        <v>48</v>
      </c>
      <c r="E441" s="2" t="s">
        <v>49</v>
      </c>
      <c r="F441">
        <v>75</v>
      </c>
      <c r="G441">
        <v>75</v>
      </c>
      <c r="H441" s="2" t="s">
        <v>49</v>
      </c>
      <c r="I441" s="3">
        <v>75</v>
      </c>
      <c r="Q441" t="s">
        <v>50</v>
      </c>
      <c r="AM441">
        <v>61</v>
      </c>
      <c r="AN441" t="s">
        <v>49</v>
      </c>
      <c r="AO441" t="s">
        <v>55</v>
      </c>
      <c r="AP441">
        <v>-22393</v>
      </c>
      <c r="AQ441">
        <v>0</v>
      </c>
      <c r="AR441" t="s">
        <v>54</v>
      </c>
      <c r="AS441" t="s">
        <v>55</v>
      </c>
      <c r="AT441" t="s">
        <v>55</v>
      </c>
      <c r="AU441" t="s">
        <v>56</v>
      </c>
      <c r="AV441">
        <v>1855</v>
      </c>
      <c r="AW441" t="s">
        <v>57</v>
      </c>
      <c r="AX441" t="s">
        <v>55</v>
      </c>
      <c r="AY441" t="s">
        <v>49</v>
      </c>
      <c r="AZ441" t="s">
        <v>59</v>
      </c>
      <c r="BA441" t="s">
        <v>55</v>
      </c>
      <c r="BB441" t="s">
        <v>49</v>
      </c>
      <c r="BC441" t="s">
        <v>49</v>
      </c>
      <c r="BD441" t="s">
        <v>49</v>
      </c>
      <c r="BE441" t="s">
        <v>55</v>
      </c>
      <c r="BF441">
        <v>30</v>
      </c>
      <c r="BG441" t="s">
        <v>60</v>
      </c>
      <c r="BH441" t="s">
        <v>61</v>
      </c>
      <c r="BI441" t="s">
        <v>62</v>
      </c>
      <c r="BJ441" t="s">
        <v>63</v>
      </c>
      <c r="BK441">
        <v>2001</v>
      </c>
      <c r="BT441">
        <f t="shared" si="36"/>
        <v>0</v>
      </c>
    </row>
    <row r="442" spans="1:72" x14ac:dyDescent="0.2">
      <c r="A442" s="19" t="s">
        <v>489</v>
      </c>
      <c r="B442" s="1">
        <v>477</v>
      </c>
      <c r="C442">
        <v>1</v>
      </c>
      <c r="D442" t="s">
        <v>48</v>
      </c>
      <c r="E442" s="2" t="s">
        <v>49</v>
      </c>
      <c r="F442">
        <v>477</v>
      </c>
      <c r="G442">
        <v>477</v>
      </c>
      <c r="H442" s="2">
        <v>219</v>
      </c>
      <c r="I442" s="3">
        <v>219</v>
      </c>
      <c r="J442" t="s">
        <v>50</v>
      </c>
      <c r="P442" t="s">
        <v>831</v>
      </c>
      <c r="Q442" t="s">
        <v>50</v>
      </c>
      <c r="AM442">
        <v>56</v>
      </c>
      <c r="AN442" t="s">
        <v>52</v>
      </c>
      <c r="AO442" t="s">
        <v>53</v>
      </c>
      <c r="AP442">
        <v>-20626</v>
      </c>
      <c r="AQ442">
        <v>0</v>
      </c>
      <c r="AR442" t="s">
        <v>54</v>
      </c>
      <c r="AS442" t="s">
        <v>53</v>
      </c>
      <c r="AT442" t="s">
        <v>55</v>
      </c>
      <c r="AU442" t="s">
        <v>56</v>
      </c>
      <c r="AV442">
        <v>1856</v>
      </c>
      <c r="AW442" t="s">
        <v>57</v>
      </c>
      <c r="AX442" t="s">
        <v>55</v>
      </c>
      <c r="AY442" t="s">
        <v>114</v>
      </c>
      <c r="AZ442" t="s">
        <v>59</v>
      </c>
      <c r="BA442" t="s">
        <v>55</v>
      </c>
      <c r="BB442" t="s">
        <v>49</v>
      </c>
      <c r="BC442" t="s">
        <v>49</v>
      </c>
      <c r="BD442" t="s">
        <v>106</v>
      </c>
      <c r="BE442" t="s">
        <v>55</v>
      </c>
      <c r="BF442">
        <v>30</v>
      </c>
      <c r="BG442" t="s">
        <v>60</v>
      </c>
      <c r="BH442" t="s">
        <v>61</v>
      </c>
      <c r="BI442" t="s">
        <v>62</v>
      </c>
      <c r="BJ442" t="s">
        <v>63</v>
      </c>
      <c r="BK442">
        <v>2001</v>
      </c>
      <c r="BT442">
        <f t="shared" si="36"/>
        <v>0</v>
      </c>
    </row>
    <row r="443" spans="1:72" x14ac:dyDescent="0.2">
      <c r="A443" s="19" t="s">
        <v>490</v>
      </c>
      <c r="B443" s="1">
        <v>8</v>
      </c>
      <c r="C443">
        <v>1</v>
      </c>
      <c r="D443" t="s">
        <v>48</v>
      </c>
      <c r="E443" s="2" t="s">
        <v>49</v>
      </c>
      <c r="F443">
        <v>8</v>
      </c>
      <c r="G443">
        <v>8</v>
      </c>
      <c r="H443" s="2" t="s">
        <v>49</v>
      </c>
      <c r="I443" s="3">
        <v>8</v>
      </c>
      <c r="Q443" t="s">
        <v>50</v>
      </c>
      <c r="AM443">
        <v>64</v>
      </c>
      <c r="AN443" t="s">
        <v>126</v>
      </c>
      <c r="AO443" t="s">
        <v>55</v>
      </c>
      <c r="AP443">
        <v>-23689</v>
      </c>
      <c r="AQ443">
        <v>0</v>
      </c>
      <c r="AR443" t="s">
        <v>54</v>
      </c>
      <c r="AS443" t="s">
        <v>55</v>
      </c>
      <c r="AT443" t="s">
        <v>55</v>
      </c>
      <c r="AU443" t="s">
        <v>56</v>
      </c>
      <c r="AV443">
        <v>1857</v>
      </c>
      <c r="AW443" t="s">
        <v>57</v>
      </c>
      <c r="AX443" t="s">
        <v>55</v>
      </c>
      <c r="AY443" t="s">
        <v>49</v>
      </c>
      <c r="AZ443" t="s">
        <v>59</v>
      </c>
      <c r="BA443" t="s">
        <v>55</v>
      </c>
      <c r="BB443" t="s">
        <v>49</v>
      </c>
      <c r="BC443" t="s">
        <v>49</v>
      </c>
      <c r="BD443" t="s">
        <v>49</v>
      </c>
      <c r="BE443" t="s">
        <v>55</v>
      </c>
      <c r="BF443">
        <v>30</v>
      </c>
      <c r="BG443" t="s">
        <v>60</v>
      </c>
      <c r="BH443" t="s">
        <v>49</v>
      </c>
      <c r="BI443" t="s">
        <v>83</v>
      </c>
      <c r="BJ443" t="s">
        <v>63</v>
      </c>
      <c r="BK443">
        <v>2001</v>
      </c>
      <c r="BT443">
        <f t="shared" si="36"/>
        <v>0</v>
      </c>
    </row>
    <row r="444" spans="1:72" x14ac:dyDescent="0.2">
      <c r="A444" s="19" t="s">
        <v>666</v>
      </c>
      <c r="B444" s="1">
        <v>1462</v>
      </c>
      <c r="C444">
        <v>1</v>
      </c>
      <c r="D444" s="8" t="s">
        <v>48</v>
      </c>
      <c r="E444" s="12" t="s">
        <v>49</v>
      </c>
      <c r="F444" s="8">
        <v>1462</v>
      </c>
      <c r="G444" s="8">
        <v>1462</v>
      </c>
      <c r="H444" s="12" t="s">
        <v>49</v>
      </c>
      <c r="I444" s="3">
        <v>1462</v>
      </c>
      <c r="J444" s="8" t="s">
        <v>50</v>
      </c>
      <c r="K444" s="8"/>
      <c r="L444" s="8"/>
      <c r="M444" s="8"/>
      <c r="N444" s="8"/>
      <c r="O444" s="8"/>
      <c r="P444" s="8" t="s">
        <v>831</v>
      </c>
      <c r="Q444" s="8" t="s">
        <v>50</v>
      </c>
      <c r="R444" s="8"/>
      <c r="S444" s="8"/>
      <c r="T444" s="8"/>
      <c r="U444" s="8"/>
      <c r="V444" s="8"/>
      <c r="W444" s="8"/>
      <c r="X444" s="8"/>
      <c r="Y444" s="8"/>
      <c r="Z444" s="8"/>
      <c r="AA444" s="8"/>
      <c r="AB444" s="8"/>
      <c r="AC444" s="8"/>
      <c r="AD444" s="8"/>
      <c r="AE444" s="8"/>
      <c r="AF444" s="8"/>
      <c r="AG444" s="8"/>
      <c r="AH444" s="8"/>
      <c r="AI444" s="8"/>
      <c r="AJ444" s="8"/>
      <c r="AK444" s="8"/>
      <c r="AL444" s="8"/>
      <c r="AM444" s="8">
        <v>56</v>
      </c>
      <c r="AN444" s="8" t="s">
        <v>52</v>
      </c>
      <c r="AO444" s="8" t="s">
        <v>53</v>
      </c>
      <c r="AP444" s="8">
        <v>-20498</v>
      </c>
      <c r="AQ444" s="8">
        <v>0</v>
      </c>
      <c r="AR444" s="8" t="s">
        <v>54</v>
      </c>
      <c r="AS444" s="8" t="s">
        <v>55</v>
      </c>
      <c r="AT444" s="8" t="s">
        <v>55</v>
      </c>
      <c r="AU444" s="8" t="s">
        <v>56</v>
      </c>
      <c r="AV444" s="8">
        <v>1859</v>
      </c>
      <c r="AW444" s="8" t="s">
        <v>57</v>
      </c>
      <c r="AX444" s="8" t="s">
        <v>55</v>
      </c>
      <c r="AY444" s="8" t="s">
        <v>114</v>
      </c>
      <c r="AZ444" s="8" t="s">
        <v>59</v>
      </c>
      <c r="BA444" s="8" t="s">
        <v>55</v>
      </c>
      <c r="BB444" s="8" t="s">
        <v>49</v>
      </c>
      <c r="BC444" s="8" t="s">
        <v>49</v>
      </c>
      <c r="BD444" s="8" t="s">
        <v>49</v>
      </c>
      <c r="BE444" s="8" t="s">
        <v>55</v>
      </c>
      <c r="BF444" s="8">
        <v>30</v>
      </c>
      <c r="BG444" s="8" t="s">
        <v>60</v>
      </c>
      <c r="BH444" s="8" t="s">
        <v>61</v>
      </c>
      <c r="BI444" s="8" t="s">
        <v>49</v>
      </c>
      <c r="BJ444" s="8" t="s">
        <v>63</v>
      </c>
      <c r="BK444" s="8">
        <v>2002</v>
      </c>
      <c r="BT444">
        <f t="shared" si="36"/>
        <v>0</v>
      </c>
    </row>
    <row r="445" spans="1:72" x14ac:dyDescent="0.2">
      <c r="A445" s="19" t="s">
        <v>491</v>
      </c>
      <c r="B445" s="1">
        <v>1366</v>
      </c>
      <c r="C445">
        <v>1</v>
      </c>
      <c r="D445" t="s">
        <v>48</v>
      </c>
      <c r="E445" s="2" t="s">
        <v>49</v>
      </c>
      <c r="F445">
        <v>1366</v>
      </c>
      <c r="G445">
        <v>1366</v>
      </c>
      <c r="H445" s="2">
        <v>397</v>
      </c>
      <c r="I445" s="3">
        <v>397</v>
      </c>
      <c r="J445" s="4">
        <f>397-22</f>
        <v>375</v>
      </c>
      <c r="K445" s="5">
        <v>331</v>
      </c>
      <c r="L445" s="10">
        <v>171</v>
      </c>
      <c r="M445" s="9">
        <v>79</v>
      </c>
      <c r="N445" s="6">
        <v>197</v>
      </c>
      <c r="O445">
        <v>55</v>
      </c>
      <c r="Q445" s="4" t="s">
        <v>51</v>
      </c>
      <c r="R445" s="5" t="s">
        <v>65</v>
      </c>
      <c r="S445" s="10" t="s">
        <v>87</v>
      </c>
      <c r="T445" s="9" t="s">
        <v>80</v>
      </c>
      <c r="U445" s="6" t="s">
        <v>74</v>
      </c>
      <c r="V445" t="s">
        <v>262</v>
      </c>
      <c r="W445">
        <v>7</v>
      </c>
      <c r="X445">
        <v>14</v>
      </c>
      <c r="Y445" s="4">
        <f>J445</f>
        <v>375</v>
      </c>
      <c r="Z445" s="4">
        <v>1</v>
      </c>
      <c r="AC445" s="6">
        <f>N445</f>
        <v>197</v>
      </c>
      <c r="AD445" s="6">
        <v>1</v>
      </c>
      <c r="AE445" s="5">
        <f>K445</f>
        <v>331</v>
      </c>
      <c r="AF445" s="5">
        <v>1</v>
      </c>
      <c r="AG445" s="9">
        <f>M445</f>
        <v>79</v>
      </c>
      <c r="AH445" s="9">
        <v>1</v>
      </c>
      <c r="AK445" s="10">
        <f>L445</f>
        <v>171</v>
      </c>
      <c r="AL445" s="10">
        <v>1</v>
      </c>
      <c r="AM445">
        <v>58</v>
      </c>
      <c r="AN445" t="s">
        <v>52</v>
      </c>
      <c r="AO445" t="s">
        <v>53</v>
      </c>
      <c r="AP445">
        <v>-21406</v>
      </c>
      <c r="AQ445">
        <v>0</v>
      </c>
      <c r="AR445" t="s">
        <v>54</v>
      </c>
      <c r="AS445" t="s">
        <v>55</v>
      </c>
      <c r="AT445" t="s">
        <v>55</v>
      </c>
      <c r="AU445" t="s">
        <v>56</v>
      </c>
      <c r="AV445">
        <v>1860</v>
      </c>
      <c r="AW445" t="s">
        <v>57</v>
      </c>
      <c r="AX445" t="s">
        <v>55</v>
      </c>
      <c r="AY445" t="s">
        <v>58</v>
      </c>
      <c r="AZ445" t="s">
        <v>59</v>
      </c>
      <c r="BA445" t="s">
        <v>55</v>
      </c>
      <c r="BB445" t="s">
        <v>49</v>
      </c>
      <c r="BC445" t="s">
        <v>49</v>
      </c>
      <c r="BD445" t="s">
        <v>106</v>
      </c>
      <c r="BE445" t="s">
        <v>55</v>
      </c>
      <c r="BF445">
        <v>30</v>
      </c>
      <c r="BG445" t="s">
        <v>60</v>
      </c>
      <c r="BH445" t="s">
        <v>82</v>
      </c>
      <c r="BI445" t="s">
        <v>62</v>
      </c>
      <c r="BJ445" t="s">
        <v>63</v>
      </c>
      <c r="BK445">
        <v>2002</v>
      </c>
      <c r="BL445">
        <v>1</v>
      </c>
      <c r="BM445">
        <v>1</v>
      </c>
      <c r="BN445">
        <v>1</v>
      </c>
      <c r="BO445">
        <v>1</v>
      </c>
      <c r="BP445">
        <v>1</v>
      </c>
      <c r="BQ445">
        <v>1</v>
      </c>
      <c r="BR445">
        <f>I445-BS445</f>
        <v>190</v>
      </c>
      <c r="BS445">
        <v>207</v>
      </c>
      <c r="BT445">
        <f t="shared" si="36"/>
        <v>6</v>
      </c>
    </row>
    <row r="446" spans="1:72" x14ac:dyDescent="0.2">
      <c r="A446" s="19" t="s">
        <v>492</v>
      </c>
      <c r="B446" s="1">
        <v>1058</v>
      </c>
      <c r="C446">
        <v>1</v>
      </c>
      <c r="D446" t="s">
        <v>48</v>
      </c>
      <c r="E446" s="2" t="s">
        <v>49</v>
      </c>
      <c r="F446">
        <v>1058</v>
      </c>
      <c r="G446">
        <v>1058</v>
      </c>
      <c r="H446" s="2" t="s">
        <v>49</v>
      </c>
      <c r="I446" s="3">
        <v>185</v>
      </c>
      <c r="J446" t="s">
        <v>50</v>
      </c>
      <c r="Q446" t="s">
        <v>50</v>
      </c>
      <c r="AM446">
        <v>74</v>
      </c>
      <c r="AN446" t="s">
        <v>52</v>
      </c>
      <c r="AO446" t="s">
        <v>49</v>
      </c>
      <c r="AP446">
        <v>-27103</v>
      </c>
      <c r="AQ446">
        <v>0</v>
      </c>
      <c r="AR446" t="s">
        <v>54</v>
      </c>
      <c r="AS446" t="s">
        <v>49</v>
      </c>
      <c r="AT446" t="s">
        <v>49</v>
      </c>
      <c r="AU446" t="s">
        <v>56</v>
      </c>
      <c r="AV446">
        <v>1861</v>
      </c>
      <c r="AW446" t="s">
        <v>49</v>
      </c>
      <c r="AX446" t="s">
        <v>55</v>
      </c>
      <c r="AY446" t="s">
        <v>49</v>
      </c>
      <c r="AZ446" t="s">
        <v>59</v>
      </c>
      <c r="BA446" t="s">
        <v>49</v>
      </c>
      <c r="BB446" t="s">
        <v>49</v>
      </c>
      <c r="BC446" t="s">
        <v>49</v>
      </c>
      <c r="BD446" t="s">
        <v>49</v>
      </c>
      <c r="BE446" t="s">
        <v>49</v>
      </c>
      <c r="BF446">
        <v>30</v>
      </c>
      <c r="BG446" t="s">
        <v>60</v>
      </c>
      <c r="BH446" t="s">
        <v>61</v>
      </c>
      <c r="BI446" t="s">
        <v>62</v>
      </c>
      <c r="BJ446" t="s">
        <v>63</v>
      </c>
      <c r="BK446">
        <v>2002</v>
      </c>
      <c r="BT446">
        <f t="shared" si="36"/>
        <v>0</v>
      </c>
    </row>
    <row r="447" spans="1:72" x14ac:dyDescent="0.2">
      <c r="A447" s="19" t="s">
        <v>668</v>
      </c>
      <c r="B447" s="1">
        <v>185</v>
      </c>
      <c r="C447">
        <v>1</v>
      </c>
      <c r="D447" s="8" t="s">
        <v>48</v>
      </c>
      <c r="E447" s="12" t="s">
        <v>49</v>
      </c>
      <c r="F447" s="8">
        <v>185</v>
      </c>
      <c r="G447" s="8">
        <v>185</v>
      </c>
      <c r="H447" s="12" t="s">
        <v>49</v>
      </c>
      <c r="I447" s="3">
        <v>185</v>
      </c>
      <c r="J447" s="8"/>
      <c r="K447" s="8"/>
      <c r="L447" s="8"/>
      <c r="M447" s="8"/>
      <c r="N447" s="8"/>
      <c r="O447" s="8"/>
      <c r="P447" s="8"/>
      <c r="Q447" s="8" t="s">
        <v>50</v>
      </c>
      <c r="R447" s="8"/>
      <c r="S447" s="8"/>
      <c r="T447" s="8"/>
      <c r="U447" s="8"/>
      <c r="V447" s="8"/>
      <c r="W447" s="8"/>
      <c r="X447" s="8"/>
      <c r="Y447" s="8"/>
      <c r="Z447" s="8"/>
      <c r="AA447" s="8"/>
      <c r="AB447" s="8"/>
      <c r="AC447" s="8"/>
      <c r="AD447" s="8"/>
      <c r="AE447" s="8"/>
      <c r="AF447" s="8"/>
      <c r="AG447" s="8"/>
      <c r="AH447" s="8"/>
      <c r="AI447" s="8"/>
      <c r="AJ447" s="8"/>
      <c r="AK447" s="8"/>
      <c r="AL447" s="8"/>
      <c r="AM447" s="8">
        <v>65</v>
      </c>
      <c r="AN447" s="8" t="s">
        <v>49</v>
      </c>
      <c r="AO447" s="8" t="s">
        <v>55</v>
      </c>
      <c r="AP447" s="8">
        <v>-23895</v>
      </c>
      <c r="AQ447" s="8">
        <v>0</v>
      </c>
      <c r="AR447" s="8" t="s">
        <v>54</v>
      </c>
      <c r="AS447" s="8" t="s">
        <v>55</v>
      </c>
      <c r="AT447" s="8" t="s">
        <v>55</v>
      </c>
      <c r="AU447" s="8" t="s">
        <v>56</v>
      </c>
      <c r="AV447" s="8">
        <v>1862</v>
      </c>
      <c r="AW447" s="8" t="s">
        <v>57</v>
      </c>
      <c r="AX447" s="8" t="s">
        <v>55</v>
      </c>
      <c r="AY447" s="8" t="s">
        <v>49</v>
      </c>
      <c r="AZ447" s="8" t="s">
        <v>59</v>
      </c>
      <c r="BA447" s="8" t="s">
        <v>55</v>
      </c>
      <c r="BB447" s="8" t="s">
        <v>49</v>
      </c>
      <c r="BC447" s="8" t="s">
        <v>49</v>
      </c>
      <c r="BD447" s="8" t="s">
        <v>49</v>
      </c>
      <c r="BE447" s="8" t="s">
        <v>55</v>
      </c>
      <c r="BF447" s="8">
        <v>30</v>
      </c>
      <c r="BG447" s="8" t="s">
        <v>511</v>
      </c>
      <c r="BH447" s="8" t="s">
        <v>82</v>
      </c>
      <c r="BI447" s="8" t="s">
        <v>83</v>
      </c>
      <c r="BJ447" s="8" t="s">
        <v>63</v>
      </c>
      <c r="BK447" s="8">
        <v>2003</v>
      </c>
      <c r="BT447">
        <f t="shared" si="36"/>
        <v>0</v>
      </c>
    </row>
    <row r="448" spans="1:72" x14ac:dyDescent="0.2">
      <c r="A448" s="19" t="s">
        <v>669</v>
      </c>
      <c r="B448" s="1">
        <v>1114</v>
      </c>
      <c r="C448">
        <v>1</v>
      </c>
      <c r="D448" s="8" t="s">
        <v>48</v>
      </c>
      <c r="E448" s="12" t="s">
        <v>49</v>
      </c>
      <c r="F448" s="8">
        <v>1114</v>
      </c>
      <c r="G448" s="8">
        <v>1114</v>
      </c>
      <c r="H448" s="12">
        <v>284</v>
      </c>
      <c r="I448" s="3">
        <v>284</v>
      </c>
      <c r="J448" s="4">
        <v>265</v>
      </c>
      <c r="K448" s="8"/>
      <c r="L448" s="8"/>
      <c r="M448" s="8"/>
      <c r="N448" s="8"/>
      <c r="O448" s="8"/>
      <c r="P448" s="8" t="s">
        <v>843</v>
      </c>
      <c r="Q448" s="4" t="s">
        <v>51</v>
      </c>
      <c r="R448" s="8"/>
      <c r="S448" s="8"/>
      <c r="T448" s="8"/>
      <c r="U448" s="8"/>
      <c r="V448" s="8"/>
      <c r="W448" s="8">
        <v>6</v>
      </c>
      <c r="X448" s="8">
        <v>12</v>
      </c>
      <c r="Y448" s="4">
        <f>J448</f>
        <v>265</v>
      </c>
      <c r="Z448" s="4">
        <v>1</v>
      </c>
      <c r="AA448" s="8"/>
      <c r="AB448" s="8"/>
      <c r="AC448" s="8"/>
      <c r="AD448" s="8"/>
      <c r="AE448" s="8"/>
      <c r="AF448" s="8"/>
      <c r="AG448" s="8"/>
      <c r="AH448" s="8"/>
      <c r="AI448" s="8"/>
      <c r="AJ448" s="8"/>
      <c r="AK448" s="8"/>
      <c r="AL448" s="8"/>
      <c r="AM448" s="8">
        <v>61</v>
      </c>
      <c r="AN448" s="8" t="s">
        <v>52</v>
      </c>
      <c r="AO448" s="8" t="s">
        <v>53</v>
      </c>
      <c r="AP448" s="8">
        <v>-22562</v>
      </c>
      <c r="AQ448" s="8">
        <v>0</v>
      </c>
      <c r="AR448" s="8" t="s">
        <v>54</v>
      </c>
      <c r="AS448" s="8" t="s">
        <v>55</v>
      </c>
      <c r="AT448" s="8" t="s">
        <v>55</v>
      </c>
      <c r="AU448" s="8" t="s">
        <v>56</v>
      </c>
      <c r="AV448" s="8">
        <v>1866</v>
      </c>
      <c r="AW448" s="8" t="s">
        <v>57</v>
      </c>
      <c r="AX448" s="8" t="s">
        <v>55</v>
      </c>
      <c r="AY448" s="8" t="s">
        <v>58</v>
      </c>
      <c r="AZ448" s="8" t="s">
        <v>59</v>
      </c>
      <c r="BA448" s="8" t="s">
        <v>55</v>
      </c>
      <c r="BB448" s="8" t="s">
        <v>49</v>
      </c>
      <c r="BC448" s="8" t="s">
        <v>49</v>
      </c>
      <c r="BD448" s="8" t="s">
        <v>106</v>
      </c>
      <c r="BE448" s="8" t="s">
        <v>55</v>
      </c>
      <c r="BF448" s="8">
        <v>30</v>
      </c>
      <c r="BG448" s="8" t="s">
        <v>511</v>
      </c>
      <c r="BH448" s="8" t="s">
        <v>61</v>
      </c>
      <c r="BI448" s="8" t="s">
        <v>83</v>
      </c>
      <c r="BJ448" s="8" t="s">
        <v>63</v>
      </c>
      <c r="BK448" s="8">
        <v>2003</v>
      </c>
      <c r="BL448">
        <v>1</v>
      </c>
      <c r="BR448">
        <f>I448-BS448</f>
        <v>159</v>
      </c>
      <c r="BS448">
        <v>125</v>
      </c>
      <c r="BT448">
        <f t="shared" si="36"/>
        <v>1</v>
      </c>
    </row>
    <row r="449" spans="1:72" x14ac:dyDescent="0.2">
      <c r="A449" s="19" t="s">
        <v>670</v>
      </c>
      <c r="B449" s="1">
        <v>36</v>
      </c>
      <c r="C449">
        <v>1</v>
      </c>
      <c r="D449" s="8" t="s">
        <v>48</v>
      </c>
      <c r="E449" s="12" t="s">
        <v>49</v>
      </c>
      <c r="F449" s="8">
        <v>36</v>
      </c>
      <c r="G449" s="8">
        <v>36</v>
      </c>
      <c r="H449" s="12" t="s">
        <v>49</v>
      </c>
      <c r="I449" s="3">
        <v>36</v>
      </c>
      <c r="J449" s="8"/>
      <c r="K449" s="8"/>
      <c r="L449" s="8"/>
      <c r="M449" s="8"/>
      <c r="N449" s="8"/>
      <c r="O449" s="8"/>
      <c r="P449" s="8"/>
      <c r="Q449" s="8" t="s">
        <v>50</v>
      </c>
      <c r="R449" s="8"/>
      <c r="S449" s="8"/>
      <c r="T449" s="8"/>
      <c r="U449" s="8"/>
      <c r="V449" s="8"/>
      <c r="W449" s="8"/>
      <c r="X449" s="8"/>
      <c r="Y449" s="8"/>
      <c r="Z449" s="8"/>
      <c r="AA449" s="8"/>
      <c r="AB449" s="8"/>
      <c r="AC449" s="8"/>
      <c r="AD449" s="8"/>
      <c r="AE449" s="8"/>
      <c r="AF449" s="8"/>
      <c r="AG449" s="8"/>
      <c r="AH449" s="8"/>
      <c r="AI449" s="8"/>
      <c r="AJ449" s="8"/>
      <c r="AK449" s="8"/>
      <c r="AL449" s="8"/>
      <c r="AM449" s="8">
        <v>47</v>
      </c>
      <c r="AN449" s="8" t="s">
        <v>49</v>
      </c>
      <c r="AO449" s="8" t="s">
        <v>55</v>
      </c>
      <c r="AP449" s="8">
        <v>-17159</v>
      </c>
      <c r="AQ449" s="8">
        <v>0</v>
      </c>
      <c r="AR449" s="8" t="s">
        <v>54</v>
      </c>
      <c r="AS449" s="8" t="s">
        <v>55</v>
      </c>
      <c r="AT449" s="8" t="s">
        <v>55</v>
      </c>
      <c r="AU449" s="8" t="s">
        <v>56</v>
      </c>
      <c r="AV449" s="8">
        <v>1867</v>
      </c>
      <c r="AW449" s="8" t="s">
        <v>57</v>
      </c>
      <c r="AX449" s="8" t="s">
        <v>55</v>
      </c>
      <c r="AY449" s="8" t="s">
        <v>49</v>
      </c>
      <c r="AZ449" s="8" t="s">
        <v>49</v>
      </c>
      <c r="BA449" s="8" t="s">
        <v>55</v>
      </c>
      <c r="BB449" s="8" t="s">
        <v>49</v>
      </c>
      <c r="BC449" s="8" t="s">
        <v>49</v>
      </c>
      <c r="BD449" s="8" t="s">
        <v>49</v>
      </c>
      <c r="BE449" s="8" t="s">
        <v>55</v>
      </c>
      <c r="BF449" s="8">
        <v>30</v>
      </c>
      <c r="BG449" s="8" t="s">
        <v>571</v>
      </c>
      <c r="BH449" s="8" t="s">
        <v>49</v>
      </c>
      <c r="BI449" s="8" t="s">
        <v>83</v>
      </c>
      <c r="BJ449" s="8" t="s">
        <v>63</v>
      </c>
      <c r="BK449" s="8">
        <v>2004</v>
      </c>
      <c r="BT449">
        <f t="shared" si="36"/>
        <v>0</v>
      </c>
    </row>
    <row r="450" spans="1:72" x14ac:dyDescent="0.2">
      <c r="A450" s="19" t="s">
        <v>493</v>
      </c>
      <c r="B450" s="1">
        <v>1563</v>
      </c>
      <c r="C450">
        <v>1</v>
      </c>
      <c r="D450" t="s">
        <v>48</v>
      </c>
      <c r="E450" s="2" t="s">
        <v>49</v>
      </c>
      <c r="F450">
        <v>1563</v>
      </c>
      <c r="G450">
        <v>1563</v>
      </c>
      <c r="H450" s="2">
        <v>767</v>
      </c>
      <c r="I450" s="3">
        <v>767</v>
      </c>
      <c r="J450">
        <v>745</v>
      </c>
      <c r="K450">
        <v>365</v>
      </c>
      <c r="L450" s="5">
        <v>95</v>
      </c>
      <c r="M450" s="4">
        <v>112</v>
      </c>
      <c r="N450" s="9">
        <v>53</v>
      </c>
      <c r="Q450" t="s">
        <v>78</v>
      </c>
      <c r="R450" t="s">
        <v>494</v>
      </c>
      <c r="S450" s="5" t="s">
        <v>65</v>
      </c>
      <c r="T450" s="4" t="s">
        <v>51</v>
      </c>
      <c r="U450" s="9" t="s">
        <v>80</v>
      </c>
      <c r="W450">
        <v>9</v>
      </c>
      <c r="X450">
        <v>27</v>
      </c>
      <c r="Y450" s="4">
        <f>M450</f>
        <v>112</v>
      </c>
      <c r="Z450" s="4">
        <v>1</v>
      </c>
      <c r="AE450" s="5">
        <f>L450</f>
        <v>95</v>
      </c>
      <c r="AF450" s="5">
        <v>1</v>
      </c>
      <c r="AG450" s="9">
        <f>N450</f>
        <v>53</v>
      </c>
      <c r="AH450" s="9">
        <v>1</v>
      </c>
      <c r="AM450">
        <v>50</v>
      </c>
      <c r="AN450" t="s">
        <v>52</v>
      </c>
      <c r="AO450" t="s">
        <v>53</v>
      </c>
      <c r="AP450">
        <v>-18397</v>
      </c>
      <c r="AQ450">
        <v>0</v>
      </c>
      <c r="AR450" t="s">
        <v>54</v>
      </c>
      <c r="AS450" t="s">
        <v>55</v>
      </c>
      <c r="AT450" t="s">
        <v>55</v>
      </c>
      <c r="AU450" t="s">
        <v>56</v>
      </c>
      <c r="AV450">
        <v>1869</v>
      </c>
      <c r="AW450" t="s">
        <v>57</v>
      </c>
      <c r="AX450" t="s">
        <v>55</v>
      </c>
      <c r="AY450" t="s">
        <v>58</v>
      </c>
      <c r="AZ450" t="s">
        <v>59</v>
      </c>
      <c r="BA450" t="s">
        <v>55</v>
      </c>
      <c r="BB450" t="s">
        <v>49</v>
      </c>
      <c r="BC450" t="s">
        <v>49</v>
      </c>
      <c r="BD450" t="s">
        <v>106</v>
      </c>
      <c r="BE450" t="s">
        <v>55</v>
      </c>
      <c r="BF450">
        <v>30</v>
      </c>
      <c r="BG450" t="s">
        <v>60</v>
      </c>
      <c r="BH450" t="s">
        <v>61</v>
      </c>
      <c r="BI450" t="s">
        <v>83</v>
      </c>
      <c r="BJ450" t="s">
        <v>63</v>
      </c>
      <c r="BK450">
        <v>2004</v>
      </c>
      <c r="BL450">
        <v>1</v>
      </c>
      <c r="BM450">
        <v>1</v>
      </c>
      <c r="BN450">
        <v>1</v>
      </c>
      <c r="BO450">
        <v>1</v>
      </c>
      <c r="BP450">
        <v>1</v>
      </c>
      <c r="BR450">
        <f t="shared" ref="BR450:BR458" si="39">I450-BS450</f>
        <v>588</v>
      </c>
      <c r="BS450">
        <v>179</v>
      </c>
      <c r="BT450">
        <f t="shared" si="36"/>
        <v>5</v>
      </c>
    </row>
    <row r="451" spans="1:72" x14ac:dyDescent="0.2">
      <c r="A451" s="19" t="s">
        <v>495</v>
      </c>
      <c r="B451" s="1">
        <v>1751</v>
      </c>
      <c r="C451">
        <v>1</v>
      </c>
      <c r="D451" t="s">
        <v>48</v>
      </c>
      <c r="E451" s="2" t="s">
        <v>49</v>
      </c>
      <c r="F451">
        <v>1751</v>
      </c>
      <c r="G451">
        <v>1751</v>
      </c>
      <c r="H451" s="2">
        <v>348</v>
      </c>
      <c r="I451" s="3">
        <v>348</v>
      </c>
      <c r="J451" s="4">
        <v>302</v>
      </c>
      <c r="K451" s="5">
        <v>361</v>
      </c>
      <c r="L451" s="4">
        <v>388</v>
      </c>
      <c r="M451" s="7">
        <v>294</v>
      </c>
      <c r="N451" s="4">
        <v>242</v>
      </c>
      <c r="O451">
        <v>91</v>
      </c>
      <c r="Q451" s="4" t="s">
        <v>51</v>
      </c>
      <c r="R451" s="5" t="s">
        <v>65</v>
      </c>
      <c r="S451" s="4" t="s">
        <v>51</v>
      </c>
      <c r="T451" s="7" t="s">
        <v>75</v>
      </c>
      <c r="U451" s="4" t="s">
        <v>51</v>
      </c>
      <c r="V451" t="s">
        <v>262</v>
      </c>
      <c r="W451">
        <v>6</v>
      </c>
      <c r="X451">
        <v>12</v>
      </c>
      <c r="Y451" s="4">
        <f>J451+L451+N451</f>
        <v>932</v>
      </c>
      <c r="Z451" s="4">
        <v>1</v>
      </c>
      <c r="AE451" s="5">
        <f>K451</f>
        <v>361</v>
      </c>
      <c r="AF451" s="5">
        <v>1</v>
      </c>
      <c r="AI451" s="7">
        <f>M451</f>
        <v>294</v>
      </c>
      <c r="AJ451" s="7">
        <v>1</v>
      </c>
      <c r="AK451" s="8"/>
      <c r="AL451" s="8"/>
      <c r="AM451">
        <v>56</v>
      </c>
      <c r="AN451" t="s">
        <v>52</v>
      </c>
      <c r="AO451" t="s">
        <v>53</v>
      </c>
      <c r="AP451">
        <v>-20525</v>
      </c>
      <c r="AQ451">
        <v>0</v>
      </c>
      <c r="AR451" t="s">
        <v>54</v>
      </c>
      <c r="AS451" t="s">
        <v>55</v>
      </c>
      <c r="AT451" t="s">
        <v>55</v>
      </c>
      <c r="AU451" t="s">
        <v>56</v>
      </c>
      <c r="AV451">
        <v>1880</v>
      </c>
      <c r="AW451" t="s">
        <v>57</v>
      </c>
      <c r="AX451" t="s">
        <v>55</v>
      </c>
      <c r="AY451" t="s">
        <v>114</v>
      </c>
      <c r="AZ451" t="s">
        <v>59</v>
      </c>
      <c r="BA451" t="s">
        <v>55</v>
      </c>
      <c r="BB451" t="s">
        <v>49</v>
      </c>
      <c r="BC451" t="s">
        <v>49</v>
      </c>
      <c r="BD451" t="s">
        <v>106</v>
      </c>
      <c r="BE451" t="s">
        <v>55</v>
      </c>
      <c r="BF451">
        <v>30</v>
      </c>
      <c r="BG451" t="s">
        <v>60</v>
      </c>
      <c r="BH451" t="s">
        <v>71</v>
      </c>
      <c r="BI451" t="s">
        <v>62</v>
      </c>
      <c r="BJ451" t="s">
        <v>63</v>
      </c>
      <c r="BK451">
        <v>2001</v>
      </c>
      <c r="BL451">
        <v>1</v>
      </c>
      <c r="BM451">
        <v>1</v>
      </c>
      <c r="BN451">
        <v>1</v>
      </c>
      <c r="BO451">
        <v>1</v>
      </c>
      <c r="BP451">
        <v>1</v>
      </c>
      <c r="BQ451">
        <v>1</v>
      </c>
      <c r="BR451">
        <f t="shared" si="39"/>
        <v>196</v>
      </c>
      <c r="BS451">
        <v>152</v>
      </c>
      <c r="BT451">
        <f t="shared" si="36"/>
        <v>6</v>
      </c>
    </row>
    <row r="452" spans="1:72" x14ac:dyDescent="0.2">
      <c r="A452" s="19" t="s">
        <v>671</v>
      </c>
      <c r="B452" s="1">
        <v>738</v>
      </c>
      <c r="C452">
        <v>1</v>
      </c>
      <c r="D452" s="8" t="s">
        <v>48</v>
      </c>
      <c r="E452" s="12" t="s">
        <v>49</v>
      </c>
      <c r="F452" s="8">
        <v>738</v>
      </c>
      <c r="G452" s="8">
        <v>738</v>
      </c>
      <c r="H452" s="12" t="s">
        <v>49</v>
      </c>
      <c r="I452" s="3">
        <v>328</v>
      </c>
      <c r="J452" s="4">
        <v>301</v>
      </c>
      <c r="K452" s="7">
        <v>125</v>
      </c>
      <c r="L452" s="23">
        <v>49</v>
      </c>
      <c r="M452" s="6">
        <v>169</v>
      </c>
      <c r="N452" s="8"/>
      <c r="O452" s="8"/>
      <c r="P452" s="8" t="s">
        <v>842</v>
      </c>
      <c r="Q452" s="4" t="s">
        <v>51</v>
      </c>
      <c r="R452" s="7" t="s">
        <v>75</v>
      </c>
      <c r="S452" s="23" t="s">
        <v>80</v>
      </c>
      <c r="T452" s="6" t="s">
        <v>74</v>
      </c>
      <c r="U452" s="8"/>
      <c r="V452" s="8"/>
      <c r="W452" s="8">
        <v>6</v>
      </c>
      <c r="X452" s="8">
        <v>12</v>
      </c>
      <c r="Y452" s="4">
        <f>J452</f>
        <v>301</v>
      </c>
      <c r="Z452" s="4">
        <v>1</v>
      </c>
      <c r="AA452" s="8"/>
      <c r="AB452" s="8"/>
      <c r="AC452" s="6">
        <v>169</v>
      </c>
      <c r="AD452" s="6">
        <v>1</v>
      </c>
      <c r="AE452" s="8"/>
      <c r="AF452" s="8"/>
      <c r="AG452" s="23">
        <v>49</v>
      </c>
      <c r="AH452" s="23">
        <v>1</v>
      </c>
      <c r="AI452" s="7">
        <v>125</v>
      </c>
      <c r="AJ452" s="7">
        <v>1</v>
      </c>
      <c r="AK452" s="8"/>
      <c r="AL452" s="8"/>
      <c r="AM452" s="8">
        <v>67</v>
      </c>
      <c r="AN452" s="8" t="s">
        <v>52</v>
      </c>
      <c r="AO452" s="8" t="s">
        <v>53</v>
      </c>
      <c r="AP452" s="8">
        <v>-24495</v>
      </c>
      <c r="AQ452" s="8">
        <v>0</v>
      </c>
      <c r="AR452" s="8" t="s">
        <v>54</v>
      </c>
      <c r="AS452" s="8" t="s">
        <v>55</v>
      </c>
      <c r="AT452" s="8" t="s">
        <v>55</v>
      </c>
      <c r="AU452" s="8" t="s">
        <v>56</v>
      </c>
      <c r="AV452" s="8">
        <v>1887</v>
      </c>
      <c r="AW452" s="8" t="s">
        <v>57</v>
      </c>
      <c r="AX452" s="8" t="s">
        <v>55</v>
      </c>
      <c r="AY452" s="8" t="s">
        <v>114</v>
      </c>
      <c r="AZ452" s="8" t="s">
        <v>59</v>
      </c>
      <c r="BA452" s="8" t="s">
        <v>55</v>
      </c>
      <c r="BB452" s="8" t="s">
        <v>49</v>
      </c>
      <c r="BC452" s="8" t="s">
        <v>49</v>
      </c>
      <c r="BD452" s="8" t="s">
        <v>49</v>
      </c>
      <c r="BE452" s="8" t="s">
        <v>55</v>
      </c>
      <c r="BF452" s="8">
        <v>30</v>
      </c>
      <c r="BG452" s="8" t="s">
        <v>511</v>
      </c>
      <c r="BH452" s="8" t="s">
        <v>61</v>
      </c>
      <c r="BI452" s="8" t="s">
        <v>62</v>
      </c>
      <c r="BJ452" s="8" t="s">
        <v>63</v>
      </c>
      <c r="BK452" s="8">
        <v>2005</v>
      </c>
      <c r="BL452">
        <v>1</v>
      </c>
      <c r="BM452">
        <v>1</v>
      </c>
      <c r="BN452">
        <v>1</v>
      </c>
      <c r="BO452">
        <v>1</v>
      </c>
      <c r="BR452">
        <f t="shared" si="39"/>
        <v>195</v>
      </c>
      <c r="BS452">
        <v>133</v>
      </c>
      <c r="BT452">
        <f t="shared" si="36"/>
        <v>4</v>
      </c>
    </row>
    <row r="453" spans="1:72" x14ac:dyDescent="0.2">
      <c r="A453" s="19" t="s">
        <v>672</v>
      </c>
      <c r="B453" s="1">
        <v>914</v>
      </c>
      <c r="C453">
        <v>1</v>
      </c>
      <c r="D453" s="8" t="s">
        <v>48</v>
      </c>
      <c r="E453" s="12" t="s">
        <v>49</v>
      </c>
      <c r="F453" s="8">
        <v>914</v>
      </c>
      <c r="G453" s="8">
        <v>914</v>
      </c>
      <c r="H453" s="12">
        <v>181</v>
      </c>
      <c r="I453" s="3">
        <v>181</v>
      </c>
      <c r="J453" s="4">
        <f>181-15</f>
        <v>166</v>
      </c>
      <c r="K453" s="5">
        <v>169</v>
      </c>
      <c r="L453" s="8">
        <v>42</v>
      </c>
      <c r="M453" s="21">
        <v>154</v>
      </c>
      <c r="N453" s="11">
        <v>112</v>
      </c>
      <c r="O453" s="6">
        <v>35</v>
      </c>
      <c r="P453" s="8"/>
      <c r="Q453" s="4" t="s">
        <v>51</v>
      </c>
      <c r="R453" s="5" t="s">
        <v>65</v>
      </c>
      <c r="S453" s="8" t="s">
        <v>264</v>
      </c>
      <c r="T453" s="21" t="s">
        <v>87</v>
      </c>
      <c r="U453" s="11" t="s">
        <v>90</v>
      </c>
      <c r="V453" s="6" t="s">
        <v>74</v>
      </c>
      <c r="W453" s="8">
        <v>7</v>
      </c>
      <c r="X453" s="8">
        <v>14</v>
      </c>
      <c r="Y453" s="4">
        <f>J453</f>
        <v>166</v>
      </c>
      <c r="Z453" s="4">
        <v>1</v>
      </c>
      <c r="AA453" s="11">
        <f>N453</f>
        <v>112</v>
      </c>
      <c r="AB453" s="11">
        <v>1</v>
      </c>
      <c r="AC453" s="6">
        <v>35</v>
      </c>
      <c r="AD453" s="6">
        <v>1</v>
      </c>
      <c r="AE453" s="5">
        <f>K453</f>
        <v>169</v>
      </c>
      <c r="AF453" s="5">
        <v>1</v>
      </c>
      <c r="AG453" s="8"/>
      <c r="AH453" s="8"/>
      <c r="AI453" s="8"/>
      <c r="AJ453" s="8"/>
      <c r="AK453" s="21">
        <f>M453</f>
        <v>154</v>
      </c>
      <c r="AL453" s="21">
        <v>1</v>
      </c>
      <c r="AM453" s="8">
        <v>61</v>
      </c>
      <c r="AN453" s="8" t="s">
        <v>52</v>
      </c>
      <c r="AO453" s="8" t="s">
        <v>53</v>
      </c>
      <c r="AP453" s="8">
        <v>-22344</v>
      </c>
      <c r="AQ453" s="8">
        <v>0</v>
      </c>
      <c r="AR453" s="8" t="s">
        <v>54</v>
      </c>
      <c r="AS453" s="8" t="s">
        <v>55</v>
      </c>
      <c r="AT453" s="8" t="s">
        <v>55</v>
      </c>
      <c r="AU453" s="8" t="s">
        <v>85</v>
      </c>
      <c r="AV453" s="8">
        <v>1891</v>
      </c>
      <c r="AW453" s="8" t="s">
        <v>57</v>
      </c>
      <c r="AX453" s="8" t="s">
        <v>55</v>
      </c>
      <c r="AY453" s="8" t="s">
        <v>114</v>
      </c>
      <c r="AZ453" s="8" t="s">
        <v>59</v>
      </c>
      <c r="BA453" s="8" t="s">
        <v>55</v>
      </c>
      <c r="BB453" s="8" t="s">
        <v>49</v>
      </c>
      <c r="BC453" s="8" t="s">
        <v>49</v>
      </c>
      <c r="BD453" s="8" t="s">
        <v>106</v>
      </c>
      <c r="BE453" s="8" t="s">
        <v>55</v>
      </c>
      <c r="BF453" s="8">
        <v>30</v>
      </c>
      <c r="BG453" s="8" t="s">
        <v>511</v>
      </c>
      <c r="BH453" s="8" t="s">
        <v>61</v>
      </c>
      <c r="BI453" s="8" t="s">
        <v>62</v>
      </c>
      <c r="BJ453" s="8" t="s">
        <v>63</v>
      </c>
      <c r="BK453" s="8">
        <v>2004</v>
      </c>
      <c r="BL453">
        <v>1</v>
      </c>
      <c r="BM453">
        <v>1</v>
      </c>
      <c r="BN453">
        <v>1</v>
      </c>
      <c r="BO453">
        <v>1</v>
      </c>
      <c r="BP453">
        <v>1</v>
      </c>
      <c r="BQ453">
        <v>1</v>
      </c>
      <c r="BR453">
        <f t="shared" si="39"/>
        <v>40</v>
      </c>
      <c r="BS453">
        <v>141</v>
      </c>
      <c r="BT453">
        <f t="shared" si="36"/>
        <v>6</v>
      </c>
    </row>
    <row r="454" spans="1:72" x14ac:dyDescent="0.2">
      <c r="A454" s="19" t="s">
        <v>496</v>
      </c>
      <c r="B454" s="1">
        <v>1484</v>
      </c>
      <c r="C454">
        <v>1</v>
      </c>
      <c r="D454" t="s">
        <v>48</v>
      </c>
      <c r="E454" s="2" t="s">
        <v>49</v>
      </c>
      <c r="F454">
        <v>1484</v>
      </c>
      <c r="G454">
        <v>1484</v>
      </c>
      <c r="H454" s="2">
        <v>253</v>
      </c>
      <c r="I454" s="3">
        <v>253</v>
      </c>
      <c r="J454" s="4">
        <v>243</v>
      </c>
      <c r="K454" s="5">
        <v>175</v>
      </c>
      <c r="L454" s="7">
        <v>173</v>
      </c>
      <c r="M454" s="11">
        <v>261</v>
      </c>
      <c r="N454">
        <v>251</v>
      </c>
      <c r="O454">
        <v>84</v>
      </c>
      <c r="Q454" s="4" t="s">
        <v>51</v>
      </c>
      <c r="R454" s="5" t="s">
        <v>65</v>
      </c>
      <c r="S454" s="7" t="s">
        <v>75</v>
      </c>
      <c r="T454" s="11" t="s">
        <v>90</v>
      </c>
      <c r="U454" t="s">
        <v>497</v>
      </c>
      <c r="V454" t="s">
        <v>264</v>
      </c>
      <c r="W454" s="8">
        <v>6</v>
      </c>
      <c r="X454" s="8">
        <v>12</v>
      </c>
      <c r="Y454" s="4">
        <f>J454</f>
        <v>243</v>
      </c>
      <c r="Z454" s="4">
        <v>1</v>
      </c>
      <c r="AA454" s="11">
        <f>M454</f>
        <v>261</v>
      </c>
      <c r="AB454" s="11">
        <v>1</v>
      </c>
      <c r="AE454" s="5">
        <f>K454</f>
        <v>175</v>
      </c>
      <c r="AF454" s="5">
        <v>1</v>
      </c>
      <c r="AI454" s="7">
        <f>L454</f>
        <v>173</v>
      </c>
      <c r="AJ454" s="7">
        <v>1</v>
      </c>
      <c r="AK454" s="8"/>
      <c r="AL454" s="8"/>
      <c r="AM454">
        <v>52</v>
      </c>
      <c r="AN454" t="s">
        <v>101</v>
      </c>
      <c r="AO454" t="s">
        <v>53</v>
      </c>
      <c r="AP454">
        <v>-19255</v>
      </c>
      <c r="AQ454">
        <v>0</v>
      </c>
      <c r="AR454" t="s">
        <v>54</v>
      </c>
      <c r="AS454" t="s">
        <v>55</v>
      </c>
      <c r="AT454" t="s">
        <v>55</v>
      </c>
      <c r="AU454" t="s">
        <v>56</v>
      </c>
      <c r="AV454">
        <v>1892</v>
      </c>
      <c r="AW454" t="s">
        <v>57</v>
      </c>
      <c r="AX454" t="s">
        <v>55</v>
      </c>
      <c r="AY454" t="s">
        <v>58</v>
      </c>
      <c r="AZ454" t="s">
        <v>59</v>
      </c>
      <c r="BA454" t="s">
        <v>55</v>
      </c>
      <c r="BB454" t="s">
        <v>49</v>
      </c>
      <c r="BC454" t="s">
        <v>49</v>
      </c>
      <c r="BD454" t="s">
        <v>106</v>
      </c>
      <c r="BE454" t="s">
        <v>55</v>
      </c>
      <c r="BF454">
        <v>30</v>
      </c>
      <c r="BG454" t="s">
        <v>60</v>
      </c>
      <c r="BH454" t="s">
        <v>61</v>
      </c>
      <c r="BI454" t="s">
        <v>62</v>
      </c>
      <c r="BJ454" t="s">
        <v>63</v>
      </c>
      <c r="BK454">
        <v>2004</v>
      </c>
      <c r="BL454">
        <v>1</v>
      </c>
      <c r="BM454">
        <v>1</v>
      </c>
      <c r="BN454">
        <v>1</v>
      </c>
      <c r="BO454">
        <v>1</v>
      </c>
      <c r="BP454">
        <v>1</v>
      </c>
      <c r="BQ454">
        <v>1</v>
      </c>
      <c r="BR454">
        <f t="shared" si="39"/>
        <v>121</v>
      </c>
      <c r="BS454">
        <v>132</v>
      </c>
      <c r="BT454">
        <f t="shared" si="36"/>
        <v>6</v>
      </c>
    </row>
    <row r="455" spans="1:72" x14ac:dyDescent="0.2">
      <c r="A455" s="19" t="s">
        <v>498</v>
      </c>
      <c r="B455" s="1">
        <v>1386</v>
      </c>
      <c r="C455">
        <v>0</v>
      </c>
      <c r="D455" t="s">
        <v>68</v>
      </c>
      <c r="E455" s="2" t="s">
        <v>49</v>
      </c>
      <c r="F455" t="s">
        <v>49</v>
      </c>
      <c r="G455">
        <v>1386</v>
      </c>
      <c r="H455" s="2">
        <v>678</v>
      </c>
      <c r="I455" s="3">
        <v>678</v>
      </c>
      <c r="J455" s="4">
        <v>671</v>
      </c>
      <c r="K455" s="4">
        <f>1032-721</f>
        <v>311</v>
      </c>
      <c r="L455">
        <f>G455-1032</f>
        <v>354</v>
      </c>
      <c r="Q455" s="4" t="s">
        <v>51</v>
      </c>
      <c r="R455" s="4" t="s">
        <v>51</v>
      </c>
      <c r="S455" t="s">
        <v>841</v>
      </c>
      <c r="W455" s="8">
        <v>9</v>
      </c>
      <c r="X455" s="8">
        <v>18</v>
      </c>
      <c r="Y455" s="4">
        <f>J455+K455</f>
        <v>982</v>
      </c>
      <c r="Z455" s="4">
        <v>1</v>
      </c>
      <c r="AM455">
        <v>47</v>
      </c>
      <c r="AN455" t="s">
        <v>52</v>
      </c>
      <c r="AO455" t="s">
        <v>53</v>
      </c>
      <c r="AP455">
        <v>-17207</v>
      </c>
      <c r="AQ455">
        <v>0</v>
      </c>
      <c r="AR455" t="s">
        <v>54</v>
      </c>
      <c r="AS455" t="s">
        <v>55</v>
      </c>
      <c r="AT455" t="s">
        <v>55</v>
      </c>
      <c r="AU455" t="s">
        <v>56</v>
      </c>
      <c r="AV455">
        <v>1944</v>
      </c>
      <c r="AW455" t="s">
        <v>57</v>
      </c>
      <c r="AX455" t="s">
        <v>55</v>
      </c>
      <c r="AY455" t="s">
        <v>58</v>
      </c>
      <c r="AZ455" t="s">
        <v>59</v>
      </c>
      <c r="BA455" t="s">
        <v>55</v>
      </c>
      <c r="BB455" t="s">
        <v>49</v>
      </c>
      <c r="BC455" t="s">
        <v>49</v>
      </c>
      <c r="BD455" t="s">
        <v>106</v>
      </c>
      <c r="BE455" t="s">
        <v>55</v>
      </c>
      <c r="BF455">
        <v>31</v>
      </c>
      <c r="BG455" t="s">
        <v>60</v>
      </c>
      <c r="BH455" t="s">
        <v>71</v>
      </c>
      <c r="BI455" t="s">
        <v>62</v>
      </c>
      <c r="BJ455" t="s">
        <v>63</v>
      </c>
      <c r="BK455">
        <v>2005</v>
      </c>
      <c r="BL455">
        <v>1</v>
      </c>
      <c r="BM455">
        <v>1</v>
      </c>
      <c r="BN455">
        <v>0</v>
      </c>
      <c r="BR455">
        <f t="shared" si="39"/>
        <v>552</v>
      </c>
      <c r="BS455">
        <v>126</v>
      </c>
      <c r="BT455">
        <f t="shared" si="36"/>
        <v>3</v>
      </c>
    </row>
    <row r="456" spans="1:72" x14ac:dyDescent="0.2">
      <c r="A456" s="19" t="s">
        <v>499</v>
      </c>
      <c r="B456" s="1">
        <v>918</v>
      </c>
      <c r="C456">
        <v>0</v>
      </c>
      <c r="D456" t="s">
        <v>68</v>
      </c>
      <c r="E456" s="2" t="s">
        <v>49</v>
      </c>
      <c r="F456" t="s">
        <v>49</v>
      </c>
      <c r="G456">
        <v>918</v>
      </c>
      <c r="H456" s="2">
        <v>664</v>
      </c>
      <c r="I456" s="3">
        <v>664</v>
      </c>
      <c r="J456">
        <f>I456-22</f>
        <v>642</v>
      </c>
      <c r="K456">
        <v>231</v>
      </c>
      <c r="Q456" t="s">
        <v>78</v>
      </c>
      <c r="R456" t="s">
        <v>255</v>
      </c>
      <c r="W456" s="8">
        <v>2</v>
      </c>
      <c r="X456" s="8">
        <v>4</v>
      </c>
      <c r="AM456">
        <v>30</v>
      </c>
      <c r="AN456" t="s">
        <v>52</v>
      </c>
      <c r="AO456" t="s">
        <v>53</v>
      </c>
      <c r="AP456">
        <v>-11145</v>
      </c>
      <c r="AQ456">
        <v>0</v>
      </c>
      <c r="AR456" t="s">
        <v>54</v>
      </c>
      <c r="AS456" t="s">
        <v>55</v>
      </c>
      <c r="AT456" t="s">
        <v>55</v>
      </c>
      <c r="AU456" t="s">
        <v>56</v>
      </c>
      <c r="AV456">
        <v>1946</v>
      </c>
      <c r="AW456" t="s">
        <v>57</v>
      </c>
      <c r="AX456" t="s">
        <v>55</v>
      </c>
      <c r="AY456" t="s">
        <v>49</v>
      </c>
      <c r="AZ456" t="s">
        <v>49</v>
      </c>
      <c r="BA456" t="s">
        <v>55</v>
      </c>
      <c r="BB456" t="s">
        <v>49</v>
      </c>
      <c r="BC456" t="s">
        <v>49</v>
      </c>
      <c r="BD456" t="s">
        <v>106</v>
      </c>
      <c r="BE456" t="s">
        <v>55</v>
      </c>
      <c r="BF456">
        <v>31</v>
      </c>
      <c r="BG456" t="s">
        <v>60</v>
      </c>
      <c r="BH456" t="s">
        <v>71</v>
      </c>
      <c r="BI456" t="s">
        <v>62</v>
      </c>
      <c r="BJ456" t="s">
        <v>63</v>
      </c>
      <c r="BK456">
        <v>2006</v>
      </c>
      <c r="BL456">
        <v>1</v>
      </c>
      <c r="BM456">
        <v>0</v>
      </c>
      <c r="BR456">
        <f t="shared" si="39"/>
        <v>516</v>
      </c>
      <c r="BS456">
        <v>148</v>
      </c>
      <c r="BT456">
        <f t="shared" si="36"/>
        <v>2</v>
      </c>
    </row>
    <row r="457" spans="1:72" x14ac:dyDescent="0.2">
      <c r="A457" s="19" t="s">
        <v>674</v>
      </c>
      <c r="B457" s="1">
        <v>571</v>
      </c>
      <c r="C457">
        <v>0</v>
      </c>
      <c r="D457" s="8" t="s">
        <v>68</v>
      </c>
      <c r="E457" s="12" t="s">
        <v>49</v>
      </c>
      <c r="F457" s="8" t="s">
        <v>49</v>
      </c>
      <c r="G457" s="8">
        <v>571</v>
      </c>
      <c r="H457" s="12">
        <v>349</v>
      </c>
      <c r="I457" s="3">
        <v>349</v>
      </c>
      <c r="J457" s="11">
        <f>I457-33</f>
        <v>316</v>
      </c>
      <c r="K457" s="6">
        <v>140</v>
      </c>
      <c r="L457" s="8"/>
      <c r="M457" s="8"/>
      <c r="N457" s="8"/>
      <c r="O457" s="8"/>
      <c r="P457" s="8"/>
      <c r="Q457" s="11" t="s">
        <v>90</v>
      </c>
      <c r="R457" s="6" t="s">
        <v>74</v>
      </c>
      <c r="S457" s="8"/>
      <c r="T457" s="8"/>
      <c r="U457" s="8"/>
      <c r="V457" s="8"/>
      <c r="W457" s="8">
        <v>6</v>
      </c>
      <c r="X457" s="8">
        <v>6</v>
      </c>
      <c r="Y457" s="8"/>
      <c r="Z457" s="8"/>
      <c r="AA457" s="11">
        <f>J457</f>
        <v>316</v>
      </c>
      <c r="AB457" s="11">
        <v>1</v>
      </c>
      <c r="AC457" s="6">
        <f>K457</f>
        <v>140</v>
      </c>
      <c r="AD457" s="6">
        <v>0</v>
      </c>
      <c r="AE457" s="8"/>
      <c r="AF457" s="8"/>
      <c r="AG457" s="8"/>
      <c r="AH457" s="8"/>
      <c r="AI457" s="8"/>
      <c r="AJ457" s="8"/>
      <c r="AK457" s="8"/>
      <c r="AL457" s="8"/>
      <c r="AM457" s="8">
        <v>76</v>
      </c>
      <c r="AN457" s="8" t="s">
        <v>52</v>
      </c>
      <c r="AO457" s="8" t="s">
        <v>53</v>
      </c>
      <c r="AP457" s="8">
        <v>-28099</v>
      </c>
      <c r="AQ457" s="8">
        <v>0</v>
      </c>
      <c r="AR457" s="8" t="s">
        <v>54</v>
      </c>
      <c r="AS457" s="8" t="s">
        <v>55</v>
      </c>
      <c r="AT457" s="8" t="s">
        <v>55</v>
      </c>
      <c r="AU457" s="8" t="s">
        <v>56</v>
      </c>
      <c r="AV457" s="8">
        <v>1950</v>
      </c>
      <c r="AW457" s="8" t="s">
        <v>57</v>
      </c>
      <c r="AX457" s="8" t="s">
        <v>55</v>
      </c>
      <c r="AY457" s="8" t="s">
        <v>114</v>
      </c>
      <c r="AZ457" s="8" t="s">
        <v>59</v>
      </c>
      <c r="BA457" s="8" t="s">
        <v>55</v>
      </c>
      <c r="BB457" s="8" t="s">
        <v>49</v>
      </c>
      <c r="BC457" s="8" t="s">
        <v>49</v>
      </c>
      <c r="BD457" s="8" t="s">
        <v>106</v>
      </c>
      <c r="BE457" s="8" t="s">
        <v>55</v>
      </c>
      <c r="BF457" s="8">
        <v>31</v>
      </c>
      <c r="BG457" s="8" t="s">
        <v>511</v>
      </c>
      <c r="BH457" s="8" t="s">
        <v>61</v>
      </c>
      <c r="BI457" s="8" t="s">
        <v>62</v>
      </c>
      <c r="BJ457" s="8" t="s">
        <v>63</v>
      </c>
      <c r="BK457" s="8">
        <v>2007</v>
      </c>
      <c r="BL457">
        <v>1</v>
      </c>
      <c r="BM457">
        <v>0</v>
      </c>
      <c r="BR457">
        <f t="shared" si="39"/>
        <v>205</v>
      </c>
      <c r="BS457">
        <v>144</v>
      </c>
      <c r="BT457">
        <f t="shared" si="36"/>
        <v>2</v>
      </c>
    </row>
    <row r="458" spans="1:72" x14ac:dyDescent="0.2">
      <c r="A458" s="19" t="s">
        <v>500</v>
      </c>
      <c r="B458" s="1">
        <v>683</v>
      </c>
      <c r="C458">
        <v>0</v>
      </c>
      <c r="D458" t="s">
        <v>68</v>
      </c>
      <c r="E458" s="2" t="s">
        <v>49</v>
      </c>
      <c r="F458" t="s">
        <v>49</v>
      </c>
      <c r="G458">
        <v>683</v>
      </c>
      <c r="H458" s="2">
        <v>327</v>
      </c>
      <c r="I458" s="3">
        <v>327</v>
      </c>
      <c r="J458" s="4">
        <v>286</v>
      </c>
      <c r="K458">
        <v>356</v>
      </c>
      <c r="Q458" s="4" t="s">
        <v>51</v>
      </c>
      <c r="R458" t="s">
        <v>255</v>
      </c>
      <c r="W458" s="8">
        <v>6</v>
      </c>
      <c r="X458" s="8">
        <v>12</v>
      </c>
      <c r="Y458" s="4">
        <f>J458</f>
        <v>286</v>
      </c>
      <c r="Z458" s="4">
        <v>1</v>
      </c>
      <c r="AM458">
        <v>58</v>
      </c>
      <c r="AN458" t="s">
        <v>101</v>
      </c>
      <c r="AO458" t="s">
        <v>53</v>
      </c>
      <c r="AP458">
        <v>-21352</v>
      </c>
      <c r="AQ458">
        <v>0</v>
      </c>
      <c r="AR458" t="s">
        <v>54</v>
      </c>
      <c r="AS458" t="s">
        <v>55</v>
      </c>
      <c r="AT458" t="s">
        <v>55</v>
      </c>
      <c r="AU458" t="s">
        <v>56</v>
      </c>
      <c r="AV458">
        <v>1951</v>
      </c>
      <c r="AW458" t="s">
        <v>57</v>
      </c>
      <c r="AX458" t="s">
        <v>55</v>
      </c>
      <c r="AY458" t="s">
        <v>49</v>
      </c>
      <c r="AZ458" t="s">
        <v>59</v>
      </c>
      <c r="BA458" t="s">
        <v>55</v>
      </c>
      <c r="BB458" t="s">
        <v>49</v>
      </c>
      <c r="BC458" t="s">
        <v>49</v>
      </c>
      <c r="BD458" t="s">
        <v>106</v>
      </c>
      <c r="BE458" t="s">
        <v>55</v>
      </c>
      <c r="BF458">
        <v>31</v>
      </c>
      <c r="BG458" t="s">
        <v>60</v>
      </c>
      <c r="BH458" t="s">
        <v>71</v>
      </c>
      <c r="BI458" t="s">
        <v>62</v>
      </c>
      <c r="BJ458" t="s">
        <v>63</v>
      </c>
      <c r="BK458">
        <v>2007</v>
      </c>
      <c r="BL458">
        <v>1</v>
      </c>
      <c r="BM458">
        <v>0</v>
      </c>
      <c r="BR458">
        <f t="shared" si="39"/>
        <v>182</v>
      </c>
      <c r="BS458">
        <v>145</v>
      </c>
      <c r="BT458">
        <f t="shared" si="36"/>
        <v>2</v>
      </c>
    </row>
    <row r="459" spans="1:72" x14ac:dyDescent="0.2">
      <c r="A459" s="19" t="s">
        <v>501</v>
      </c>
      <c r="B459" s="1">
        <v>204</v>
      </c>
      <c r="C459">
        <v>0</v>
      </c>
      <c r="D459" t="s">
        <v>68</v>
      </c>
      <c r="E459" s="2" t="s">
        <v>49</v>
      </c>
      <c r="F459" t="s">
        <v>49</v>
      </c>
      <c r="G459">
        <v>204</v>
      </c>
      <c r="H459" s="2">
        <v>70</v>
      </c>
      <c r="I459" s="3" t="s">
        <v>69</v>
      </c>
      <c r="J459" s="4">
        <f>204-23</f>
        <v>181</v>
      </c>
      <c r="K459" s="8"/>
      <c r="P459" t="s">
        <v>867</v>
      </c>
      <c r="Q459" s="4" t="s">
        <v>51</v>
      </c>
      <c r="R459" s="8"/>
      <c r="W459" s="8">
        <v>3</v>
      </c>
      <c r="X459" s="8">
        <v>6</v>
      </c>
      <c r="Y459" s="4">
        <f>J459+K459</f>
        <v>181</v>
      </c>
      <c r="Z459" s="4">
        <v>0</v>
      </c>
      <c r="AM459">
        <v>52</v>
      </c>
      <c r="AN459" t="s">
        <v>52</v>
      </c>
      <c r="AO459" t="s">
        <v>53</v>
      </c>
      <c r="AP459">
        <v>-19063</v>
      </c>
      <c r="AQ459">
        <v>0</v>
      </c>
      <c r="AR459" t="s">
        <v>54</v>
      </c>
      <c r="AS459" t="s">
        <v>55</v>
      </c>
      <c r="AT459" t="s">
        <v>55</v>
      </c>
      <c r="AU459" t="s">
        <v>56</v>
      </c>
      <c r="AV459">
        <v>1953</v>
      </c>
      <c r="AW459" t="s">
        <v>57</v>
      </c>
      <c r="AX459" t="s">
        <v>55</v>
      </c>
      <c r="AY459" t="s">
        <v>81</v>
      </c>
      <c r="AZ459" t="s">
        <v>180</v>
      </c>
      <c r="BA459" t="s">
        <v>55</v>
      </c>
      <c r="BB459" t="s">
        <v>49</v>
      </c>
      <c r="BC459" t="s">
        <v>49</v>
      </c>
      <c r="BD459" t="s">
        <v>106</v>
      </c>
      <c r="BE459" t="s">
        <v>55</v>
      </c>
      <c r="BF459">
        <v>31</v>
      </c>
      <c r="BG459" t="s">
        <v>60</v>
      </c>
      <c r="BH459" t="s">
        <v>49</v>
      </c>
      <c r="BI459" t="s">
        <v>62</v>
      </c>
      <c r="BJ459" t="s">
        <v>63</v>
      </c>
      <c r="BK459">
        <v>2008</v>
      </c>
      <c r="BL459">
        <v>1</v>
      </c>
      <c r="BM459">
        <v>0</v>
      </c>
      <c r="BR459">
        <f>B459-BS459</f>
        <v>139</v>
      </c>
      <c r="BS459">
        <v>65</v>
      </c>
      <c r="BT459">
        <f t="shared" si="36"/>
        <v>2</v>
      </c>
    </row>
    <row r="460" spans="1:72" x14ac:dyDescent="0.2">
      <c r="A460" s="19" t="s">
        <v>502</v>
      </c>
      <c r="B460" s="1">
        <v>1293</v>
      </c>
      <c r="C460">
        <v>0</v>
      </c>
      <c r="D460" t="s">
        <v>68</v>
      </c>
      <c r="E460" s="2" t="s">
        <v>49</v>
      </c>
      <c r="F460" t="s">
        <v>49</v>
      </c>
      <c r="G460">
        <v>1293</v>
      </c>
      <c r="H460" s="2">
        <v>918</v>
      </c>
      <c r="I460" s="3">
        <v>918</v>
      </c>
      <c r="J460" s="4">
        <f>I460-45</f>
        <v>873</v>
      </c>
      <c r="K460" s="4">
        <v>104</v>
      </c>
      <c r="Q460" s="4" t="s">
        <v>51</v>
      </c>
      <c r="R460" s="4" t="s">
        <v>51</v>
      </c>
      <c r="W460" s="8">
        <v>6</v>
      </c>
      <c r="X460" s="8">
        <v>12</v>
      </c>
      <c r="Y460" s="4">
        <f>J460+K460</f>
        <v>977</v>
      </c>
      <c r="Z460" s="4">
        <v>0</v>
      </c>
      <c r="AM460">
        <v>43</v>
      </c>
      <c r="AN460" t="s">
        <v>52</v>
      </c>
      <c r="AO460" t="s">
        <v>53</v>
      </c>
      <c r="AP460">
        <v>-15925</v>
      </c>
      <c r="AQ460">
        <v>0</v>
      </c>
      <c r="AR460" t="s">
        <v>54</v>
      </c>
      <c r="AS460" t="s">
        <v>55</v>
      </c>
      <c r="AT460" t="s">
        <v>55</v>
      </c>
      <c r="AU460" t="s">
        <v>56</v>
      </c>
      <c r="AV460">
        <v>1955</v>
      </c>
      <c r="AW460" t="s">
        <v>57</v>
      </c>
      <c r="AX460" t="s">
        <v>55</v>
      </c>
      <c r="AY460" t="s">
        <v>49</v>
      </c>
      <c r="AZ460" t="s">
        <v>59</v>
      </c>
      <c r="BA460" t="s">
        <v>53</v>
      </c>
      <c r="BB460" t="s">
        <v>49</v>
      </c>
      <c r="BC460" t="s">
        <v>49</v>
      </c>
      <c r="BD460" t="s">
        <v>49</v>
      </c>
      <c r="BE460" t="s">
        <v>55</v>
      </c>
      <c r="BF460">
        <v>31</v>
      </c>
      <c r="BG460" t="s">
        <v>60</v>
      </c>
      <c r="BH460" t="s">
        <v>71</v>
      </c>
      <c r="BI460" t="s">
        <v>62</v>
      </c>
      <c r="BJ460" t="s">
        <v>63</v>
      </c>
      <c r="BK460">
        <v>2005</v>
      </c>
      <c r="BL460">
        <v>1</v>
      </c>
      <c r="BM460">
        <v>0</v>
      </c>
      <c r="BR460">
        <f>I460-BS460</f>
        <v>771</v>
      </c>
      <c r="BS460">
        <v>147</v>
      </c>
      <c r="BT460">
        <f t="shared" si="36"/>
        <v>2</v>
      </c>
    </row>
    <row r="461" spans="1:72" x14ac:dyDescent="0.2">
      <c r="A461" s="19" t="s">
        <v>503</v>
      </c>
      <c r="B461" s="1">
        <v>1341</v>
      </c>
      <c r="C461">
        <v>0</v>
      </c>
      <c r="D461" t="s">
        <v>68</v>
      </c>
      <c r="E461" s="2" t="s">
        <v>49</v>
      </c>
      <c r="F461" t="s">
        <v>49</v>
      </c>
      <c r="G461">
        <v>1341</v>
      </c>
      <c r="H461" s="2" t="s">
        <v>49</v>
      </c>
      <c r="I461" s="3" t="s">
        <v>69</v>
      </c>
      <c r="J461" s="4">
        <v>1307</v>
      </c>
      <c r="Q461" s="4" t="s">
        <v>51</v>
      </c>
      <c r="W461" s="8">
        <v>7</v>
      </c>
      <c r="X461" s="8">
        <v>14</v>
      </c>
      <c r="Y461" s="4">
        <f>J461</f>
        <v>1307</v>
      </c>
      <c r="Z461" s="4">
        <v>0</v>
      </c>
      <c r="AM461">
        <v>60</v>
      </c>
      <c r="AN461" t="s">
        <v>101</v>
      </c>
      <c r="AO461" t="s">
        <v>53</v>
      </c>
      <c r="AP461">
        <v>-22100</v>
      </c>
      <c r="AQ461">
        <v>0</v>
      </c>
      <c r="AR461" t="s">
        <v>54</v>
      </c>
      <c r="AS461" t="s">
        <v>55</v>
      </c>
      <c r="AT461" t="s">
        <v>55</v>
      </c>
      <c r="AU461" t="s">
        <v>56</v>
      </c>
      <c r="AV461">
        <v>1956</v>
      </c>
      <c r="AW461" t="s">
        <v>57</v>
      </c>
      <c r="AX461" t="s">
        <v>55</v>
      </c>
      <c r="AY461" t="s">
        <v>49</v>
      </c>
      <c r="AZ461" t="s">
        <v>59</v>
      </c>
      <c r="BA461" t="s">
        <v>55</v>
      </c>
      <c r="BB461" t="s">
        <v>49</v>
      </c>
      <c r="BC461" t="s">
        <v>49</v>
      </c>
      <c r="BD461" t="s">
        <v>49</v>
      </c>
      <c r="BE461" t="s">
        <v>55</v>
      </c>
      <c r="BF461">
        <v>31</v>
      </c>
      <c r="BG461" t="s">
        <v>60</v>
      </c>
      <c r="BH461" t="s">
        <v>49</v>
      </c>
      <c r="BI461" t="s">
        <v>72</v>
      </c>
      <c r="BJ461" t="s">
        <v>63</v>
      </c>
      <c r="BK461">
        <v>2005</v>
      </c>
      <c r="BL461">
        <v>0</v>
      </c>
      <c r="BR461">
        <f>B461-BS461</f>
        <v>1154</v>
      </c>
      <c r="BS461">
        <v>187</v>
      </c>
      <c r="BT461">
        <f t="shared" si="36"/>
        <v>1</v>
      </c>
    </row>
    <row r="462" spans="1:72" x14ac:dyDescent="0.2">
      <c r="A462" s="19" t="s">
        <v>675</v>
      </c>
      <c r="B462" s="1">
        <v>66</v>
      </c>
      <c r="C462">
        <v>0</v>
      </c>
      <c r="D462" s="8" t="s">
        <v>68</v>
      </c>
      <c r="E462" s="12" t="s">
        <v>49</v>
      </c>
      <c r="F462" s="8" t="s">
        <v>49</v>
      </c>
      <c r="G462" s="8">
        <v>66</v>
      </c>
      <c r="H462" s="12" t="s">
        <v>49</v>
      </c>
      <c r="I462" s="3" t="s">
        <v>69</v>
      </c>
      <c r="J462" s="25">
        <v>40</v>
      </c>
      <c r="K462" s="8"/>
      <c r="L462" s="8"/>
      <c r="M462" s="8"/>
      <c r="N462" s="8"/>
      <c r="O462" s="8"/>
      <c r="P462" s="8"/>
      <c r="Q462" s="4" t="s">
        <v>51</v>
      </c>
      <c r="R462" s="8"/>
      <c r="S462" s="8"/>
      <c r="T462" s="8"/>
      <c r="U462" s="8"/>
      <c r="V462" s="8"/>
      <c r="W462" s="8"/>
      <c r="X462" s="8"/>
      <c r="Y462" s="4">
        <v>40</v>
      </c>
      <c r="Z462" s="4">
        <v>0</v>
      </c>
      <c r="AA462" s="8"/>
      <c r="AB462" s="8"/>
      <c r="AC462" s="8"/>
      <c r="AD462" s="8"/>
      <c r="AE462" s="8"/>
      <c r="AF462" s="8"/>
      <c r="AG462" s="8"/>
      <c r="AH462" s="8"/>
      <c r="AI462" s="8"/>
      <c r="AJ462" s="8"/>
      <c r="AK462" s="8"/>
      <c r="AL462" s="8"/>
      <c r="AM462" s="8">
        <v>50</v>
      </c>
      <c r="AN462" s="8" t="s">
        <v>52</v>
      </c>
      <c r="AO462" s="8" t="s">
        <v>53</v>
      </c>
      <c r="AP462" s="8">
        <v>-18247</v>
      </c>
      <c r="AQ462" s="8">
        <v>0</v>
      </c>
      <c r="AR462" s="8" t="s">
        <v>54</v>
      </c>
      <c r="AS462" s="8" t="s">
        <v>55</v>
      </c>
      <c r="AT462" s="8" t="s">
        <v>55</v>
      </c>
      <c r="AU462" s="8" t="s">
        <v>157</v>
      </c>
      <c r="AV462" s="8">
        <v>1959</v>
      </c>
      <c r="AW462" s="8" t="s">
        <v>57</v>
      </c>
      <c r="AX462" s="8" t="s">
        <v>55</v>
      </c>
      <c r="AY462" s="8" t="s">
        <v>49</v>
      </c>
      <c r="AZ462" s="8" t="s">
        <v>59</v>
      </c>
      <c r="BA462" s="8" t="s">
        <v>55</v>
      </c>
      <c r="BB462" s="8" t="s">
        <v>49</v>
      </c>
      <c r="BC462" s="8" t="s">
        <v>49</v>
      </c>
      <c r="BD462" s="8" t="s">
        <v>49</v>
      </c>
      <c r="BE462" s="8" t="s">
        <v>55</v>
      </c>
      <c r="BF462" s="8">
        <v>31</v>
      </c>
      <c r="BG462" s="8" t="s">
        <v>511</v>
      </c>
      <c r="BH462" s="8" t="s">
        <v>49</v>
      </c>
      <c r="BI462" s="8" t="s">
        <v>83</v>
      </c>
      <c r="BJ462" s="8" t="s">
        <v>63</v>
      </c>
      <c r="BK462" s="8">
        <v>2009</v>
      </c>
      <c r="BL462">
        <v>0</v>
      </c>
      <c r="BR462">
        <f>B462-BS462</f>
        <v>26</v>
      </c>
      <c r="BS462">
        <v>40</v>
      </c>
      <c r="BT462">
        <f t="shared" ref="BT462:BT525" si="40">COUNT(BL462:BQ462)</f>
        <v>1</v>
      </c>
    </row>
    <row r="463" spans="1:72" x14ac:dyDescent="0.2">
      <c r="A463" s="19" t="s">
        <v>504</v>
      </c>
      <c r="B463" s="1">
        <v>874</v>
      </c>
      <c r="C463">
        <v>0</v>
      </c>
      <c r="D463" t="s">
        <v>68</v>
      </c>
      <c r="E463" s="2" t="s">
        <v>49</v>
      </c>
      <c r="F463" t="s">
        <v>49</v>
      </c>
      <c r="G463">
        <v>874</v>
      </c>
      <c r="H463" s="2">
        <v>547</v>
      </c>
      <c r="I463" s="3">
        <v>547</v>
      </c>
      <c r="J463" s="4">
        <v>537</v>
      </c>
      <c r="K463" s="5">
        <v>250</v>
      </c>
      <c r="Q463" s="4" t="s">
        <v>51</v>
      </c>
      <c r="R463" s="5" t="s">
        <v>65</v>
      </c>
      <c r="W463" s="8">
        <v>5</v>
      </c>
      <c r="X463" s="8">
        <v>10</v>
      </c>
      <c r="Y463" s="4">
        <f>J463</f>
        <v>537</v>
      </c>
      <c r="Z463" s="4">
        <v>1</v>
      </c>
      <c r="AE463" s="5">
        <f>K463</f>
        <v>250</v>
      </c>
      <c r="AF463" s="5">
        <v>0</v>
      </c>
      <c r="AM463">
        <v>52</v>
      </c>
      <c r="AN463" t="s">
        <v>52</v>
      </c>
      <c r="AO463" t="s">
        <v>53</v>
      </c>
      <c r="AP463">
        <v>-19311</v>
      </c>
      <c r="AQ463">
        <v>0</v>
      </c>
      <c r="AR463" t="s">
        <v>54</v>
      </c>
      <c r="AS463" t="s">
        <v>49</v>
      </c>
      <c r="AT463" t="s">
        <v>55</v>
      </c>
      <c r="AU463" t="s">
        <v>56</v>
      </c>
      <c r="AV463">
        <v>1568</v>
      </c>
      <c r="AW463" t="s">
        <v>57</v>
      </c>
      <c r="AX463" t="s">
        <v>55</v>
      </c>
      <c r="AY463" t="s">
        <v>114</v>
      </c>
      <c r="AZ463" t="s">
        <v>49</v>
      </c>
      <c r="BA463" t="s">
        <v>55</v>
      </c>
      <c r="BB463" t="s">
        <v>49</v>
      </c>
      <c r="BC463" t="s">
        <v>49</v>
      </c>
      <c r="BD463" t="s">
        <v>106</v>
      </c>
      <c r="BE463" t="s">
        <v>49</v>
      </c>
      <c r="BF463">
        <v>36</v>
      </c>
      <c r="BG463" t="s">
        <v>60</v>
      </c>
      <c r="BH463" t="s">
        <v>49</v>
      </c>
      <c r="BI463" t="s">
        <v>62</v>
      </c>
      <c r="BJ463" t="s">
        <v>63</v>
      </c>
      <c r="BK463">
        <v>2007</v>
      </c>
      <c r="BL463">
        <v>1</v>
      </c>
      <c r="BM463">
        <v>0</v>
      </c>
      <c r="BR463">
        <f>I463-BS463</f>
        <v>425</v>
      </c>
      <c r="BS463">
        <v>122</v>
      </c>
      <c r="BT463">
        <f t="shared" si="40"/>
        <v>2</v>
      </c>
    </row>
    <row r="464" spans="1:72" x14ac:dyDescent="0.2">
      <c r="A464" s="19" t="s">
        <v>505</v>
      </c>
      <c r="B464" s="1">
        <v>884</v>
      </c>
      <c r="C464">
        <v>0</v>
      </c>
      <c r="D464" t="s">
        <v>68</v>
      </c>
      <c r="E464" s="2" t="s">
        <v>49</v>
      </c>
      <c r="F464" t="s">
        <v>49</v>
      </c>
      <c r="G464">
        <v>884</v>
      </c>
      <c r="H464" s="2" t="s">
        <v>49</v>
      </c>
      <c r="I464" s="3" t="s">
        <v>69</v>
      </c>
      <c r="J464" t="s">
        <v>50</v>
      </c>
      <c r="Q464" t="s">
        <v>50</v>
      </c>
      <c r="AM464">
        <v>52</v>
      </c>
      <c r="AN464" t="s">
        <v>52</v>
      </c>
      <c r="AO464" t="s">
        <v>53</v>
      </c>
      <c r="AP464">
        <v>-19151</v>
      </c>
      <c r="AQ464">
        <v>0</v>
      </c>
      <c r="AR464" t="s">
        <v>54</v>
      </c>
      <c r="AS464" t="s">
        <v>55</v>
      </c>
      <c r="AT464" t="s">
        <v>55</v>
      </c>
      <c r="AU464" t="s">
        <v>85</v>
      </c>
      <c r="AV464">
        <v>1569</v>
      </c>
      <c r="AW464" t="s">
        <v>49</v>
      </c>
      <c r="AX464" t="s">
        <v>55</v>
      </c>
      <c r="AY464" t="s">
        <v>114</v>
      </c>
      <c r="AZ464" t="s">
        <v>59</v>
      </c>
      <c r="BA464" t="s">
        <v>55</v>
      </c>
      <c r="BB464" t="s">
        <v>49</v>
      </c>
      <c r="BC464" t="s">
        <v>49</v>
      </c>
      <c r="BD464" t="s">
        <v>49</v>
      </c>
      <c r="BE464" t="s">
        <v>55</v>
      </c>
      <c r="BF464">
        <v>36</v>
      </c>
      <c r="BG464" t="s">
        <v>60</v>
      </c>
      <c r="BH464" t="s">
        <v>61</v>
      </c>
      <c r="BI464" t="s">
        <v>62</v>
      </c>
      <c r="BJ464" t="s">
        <v>63</v>
      </c>
      <c r="BK464">
        <v>2007</v>
      </c>
      <c r="BT464">
        <f t="shared" si="40"/>
        <v>0</v>
      </c>
    </row>
    <row r="465" spans="1:72" x14ac:dyDescent="0.2">
      <c r="A465" s="19" t="s">
        <v>506</v>
      </c>
      <c r="B465" s="1">
        <v>655</v>
      </c>
      <c r="C465">
        <v>0</v>
      </c>
      <c r="D465" t="s">
        <v>68</v>
      </c>
      <c r="E465" s="2" t="s">
        <v>49</v>
      </c>
      <c r="F465" t="s">
        <v>49</v>
      </c>
      <c r="G465">
        <v>655</v>
      </c>
      <c r="H465" s="2">
        <v>375</v>
      </c>
      <c r="I465" s="3">
        <v>375</v>
      </c>
      <c r="J465" s="4">
        <f>375-23</f>
        <v>352</v>
      </c>
      <c r="K465" s="7">
        <v>223</v>
      </c>
      <c r="Q465" s="4" t="s">
        <v>51</v>
      </c>
      <c r="R465" s="7" t="s">
        <v>75</v>
      </c>
      <c r="W465">
        <v>5</v>
      </c>
      <c r="X465">
        <v>10</v>
      </c>
      <c r="Y465" s="4">
        <f>J465</f>
        <v>352</v>
      </c>
      <c r="Z465" s="4">
        <v>1</v>
      </c>
      <c r="AI465" s="7">
        <f>K465</f>
        <v>223</v>
      </c>
      <c r="AJ465" s="7">
        <v>0</v>
      </c>
      <c r="AK465" s="8"/>
      <c r="AL465" s="8"/>
      <c r="AM465">
        <v>49</v>
      </c>
      <c r="AN465" t="s">
        <v>52</v>
      </c>
      <c r="AO465" t="s">
        <v>53</v>
      </c>
      <c r="AP465">
        <v>-17955</v>
      </c>
      <c r="AQ465">
        <v>0</v>
      </c>
      <c r="AR465" t="s">
        <v>54</v>
      </c>
      <c r="AS465" t="s">
        <v>55</v>
      </c>
      <c r="AT465" t="s">
        <v>55</v>
      </c>
      <c r="AU465" t="s">
        <v>56</v>
      </c>
      <c r="AV465">
        <v>1570</v>
      </c>
      <c r="AW465" t="s">
        <v>57</v>
      </c>
      <c r="AX465" t="s">
        <v>55</v>
      </c>
      <c r="AY465" t="s">
        <v>114</v>
      </c>
      <c r="AZ465" t="s">
        <v>59</v>
      </c>
      <c r="BA465" t="s">
        <v>55</v>
      </c>
      <c r="BB465" t="s">
        <v>49</v>
      </c>
      <c r="BC465" t="s">
        <v>49</v>
      </c>
      <c r="BD465" t="s">
        <v>49</v>
      </c>
      <c r="BE465" t="s">
        <v>55</v>
      </c>
      <c r="BF465">
        <v>36</v>
      </c>
      <c r="BG465" t="s">
        <v>60</v>
      </c>
      <c r="BH465" t="s">
        <v>82</v>
      </c>
      <c r="BI465" t="s">
        <v>62</v>
      </c>
      <c r="BJ465" t="s">
        <v>63</v>
      </c>
      <c r="BK465">
        <v>2007</v>
      </c>
      <c r="BL465">
        <v>1</v>
      </c>
      <c r="BM465">
        <v>0</v>
      </c>
      <c r="BR465">
        <f>I465-BS465</f>
        <v>242</v>
      </c>
      <c r="BS465">
        <v>133</v>
      </c>
      <c r="BT465">
        <f t="shared" si="40"/>
        <v>2</v>
      </c>
    </row>
    <row r="466" spans="1:72" x14ac:dyDescent="0.2">
      <c r="A466" s="19" t="s">
        <v>507</v>
      </c>
      <c r="B466" s="1">
        <v>695</v>
      </c>
      <c r="C466">
        <v>1</v>
      </c>
      <c r="D466" t="s">
        <v>48</v>
      </c>
      <c r="E466" s="2" t="s">
        <v>49</v>
      </c>
      <c r="F466">
        <v>695</v>
      </c>
      <c r="G466">
        <v>695</v>
      </c>
      <c r="H466" s="2">
        <v>374</v>
      </c>
      <c r="I466" s="3">
        <v>374</v>
      </c>
      <c r="J466" s="4">
        <f>I466-31</f>
        <v>343</v>
      </c>
      <c r="K466" s="10">
        <v>312</v>
      </c>
      <c r="Q466" s="4" t="s">
        <v>51</v>
      </c>
      <c r="R466" s="10" t="s">
        <v>87</v>
      </c>
      <c r="W466">
        <v>6</v>
      </c>
      <c r="X466">
        <v>12</v>
      </c>
      <c r="Y466" s="4">
        <f>J466</f>
        <v>343</v>
      </c>
      <c r="Z466" s="4">
        <v>1</v>
      </c>
      <c r="AI466" s="8"/>
      <c r="AK466" s="10">
        <f>K466</f>
        <v>312</v>
      </c>
      <c r="AL466" s="10">
        <v>1</v>
      </c>
      <c r="AM466">
        <v>53</v>
      </c>
      <c r="AN466" t="s">
        <v>52</v>
      </c>
      <c r="AO466" t="s">
        <v>53</v>
      </c>
      <c r="AP466">
        <v>-19608</v>
      </c>
      <c r="AQ466">
        <v>0</v>
      </c>
      <c r="AR466" t="s">
        <v>54</v>
      </c>
      <c r="AS466" t="s">
        <v>55</v>
      </c>
      <c r="AT466" t="s">
        <v>55</v>
      </c>
      <c r="AU466" t="s">
        <v>56</v>
      </c>
      <c r="AV466">
        <v>1571</v>
      </c>
      <c r="AW466" t="s">
        <v>57</v>
      </c>
      <c r="AX466" t="s">
        <v>55</v>
      </c>
      <c r="AY466" t="s">
        <v>58</v>
      </c>
      <c r="AZ466" t="s">
        <v>59</v>
      </c>
      <c r="BA466" t="s">
        <v>55</v>
      </c>
      <c r="BB466" t="s">
        <v>49</v>
      </c>
      <c r="BC466" t="s">
        <v>49</v>
      </c>
      <c r="BD466" t="s">
        <v>106</v>
      </c>
      <c r="BE466" t="s">
        <v>55</v>
      </c>
      <c r="BF466">
        <v>36</v>
      </c>
      <c r="BG466" t="s">
        <v>60</v>
      </c>
      <c r="BH466" t="s">
        <v>71</v>
      </c>
      <c r="BI466" t="s">
        <v>72</v>
      </c>
      <c r="BJ466" t="s">
        <v>63</v>
      </c>
      <c r="BK466">
        <v>2007</v>
      </c>
      <c r="BL466">
        <v>1</v>
      </c>
      <c r="BM466">
        <v>1</v>
      </c>
      <c r="BR466">
        <f>I466-BS466</f>
        <v>202</v>
      </c>
      <c r="BS466">
        <v>172</v>
      </c>
      <c r="BT466">
        <f t="shared" si="40"/>
        <v>2</v>
      </c>
    </row>
    <row r="467" spans="1:72" x14ac:dyDescent="0.2">
      <c r="A467" s="19" t="s">
        <v>508</v>
      </c>
      <c r="B467" s="1">
        <v>686</v>
      </c>
      <c r="C467">
        <v>0</v>
      </c>
      <c r="D467" t="s">
        <v>68</v>
      </c>
      <c r="E467" s="2" t="s">
        <v>49</v>
      </c>
      <c r="F467" t="s">
        <v>49</v>
      </c>
      <c r="G467">
        <v>686</v>
      </c>
      <c r="H467" s="2">
        <v>648</v>
      </c>
      <c r="I467" s="3">
        <v>648</v>
      </c>
      <c r="J467" s="4">
        <v>633</v>
      </c>
      <c r="Q467" s="4" t="s">
        <v>51</v>
      </c>
      <c r="W467">
        <v>8</v>
      </c>
      <c r="X467">
        <v>16</v>
      </c>
      <c r="Y467" s="4">
        <f>J467</f>
        <v>633</v>
      </c>
      <c r="Z467" s="4">
        <v>0</v>
      </c>
      <c r="AM467">
        <v>48</v>
      </c>
      <c r="AN467" t="s">
        <v>52</v>
      </c>
      <c r="AO467" t="s">
        <v>53</v>
      </c>
      <c r="AP467">
        <v>-17847</v>
      </c>
      <c r="AQ467">
        <v>0</v>
      </c>
      <c r="AR467" t="s">
        <v>54</v>
      </c>
      <c r="AS467" t="s">
        <v>55</v>
      </c>
      <c r="AT467" t="s">
        <v>55</v>
      </c>
      <c r="AU467" t="s">
        <v>56</v>
      </c>
      <c r="AV467">
        <v>1574</v>
      </c>
      <c r="AW467" t="s">
        <v>57</v>
      </c>
      <c r="AX467" t="s">
        <v>55</v>
      </c>
      <c r="AY467" t="s">
        <v>58</v>
      </c>
      <c r="AZ467" t="s">
        <v>180</v>
      </c>
      <c r="BA467" t="s">
        <v>55</v>
      </c>
      <c r="BB467" t="s">
        <v>49</v>
      </c>
      <c r="BC467" t="s">
        <v>49</v>
      </c>
      <c r="BD467" t="s">
        <v>106</v>
      </c>
      <c r="BE467" t="s">
        <v>55</v>
      </c>
      <c r="BF467">
        <v>36</v>
      </c>
      <c r="BG467" t="s">
        <v>60</v>
      </c>
      <c r="BH467" t="s">
        <v>82</v>
      </c>
      <c r="BI467" t="s">
        <v>62</v>
      </c>
      <c r="BJ467" t="s">
        <v>63</v>
      </c>
      <c r="BK467">
        <v>2007</v>
      </c>
      <c r="BL467">
        <v>1</v>
      </c>
      <c r="BR467">
        <f>I467-BS467</f>
        <v>445</v>
      </c>
      <c r="BS467">
        <v>203</v>
      </c>
      <c r="BT467">
        <f t="shared" si="40"/>
        <v>1</v>
      </c>
    </row>
    <row r="468" spans="1:72" x14ac:dyDescent="0.2">
      <c r="A468" s="19" t="s">
        <v>509</v>
      </c>
      <c r="B468" s="1">
        <v>260</v>
      </c>
      <c r="C468">
        <v>0</v>
      </c>
      <c r="D468" t="s">
        <v>68</v>
      </c>
      <c r="E468" s="2" t="s">
        <v>49</v>
      </c>
      <c r="F468" t="s">
        <v>49</v>
      </c>
      <c r="G468">
        <v>260</v>
      </c>
      <c r="H468" s="2" t="s">
        <v>49</v>
      </c>
      <c r="I468" s="3" t="s">
        <v>69</v>
      </c>
      <c r="J468" t="s">
        <v>50</v>
      </c>
      <c r="Q468" t="s">
        <v>50</v>
      </c>
      <c r="AM468">
        <v>83</v>
      </c>
      <c r="AN468" t="s">
        <v>49</v>
      </c>
      <c r="AO468" t="s">
        <v>53</v>
      </c>
      <c r="AP468">
        <v>-30591</v>
      </c>
      <c r="AQ468">
        <v>0</v>
      </c>
      <c r="AR468" t="s">
        <v>54</v>
      </c>
      <c r="AS468" t="s">
        <v>49</v>
      </c>
      <c r="AT468" t="s">
        <v>49</v>
      </c>
      <c r="AU468" t="s">
        <v>56</v>
      </c>
      <c r="AV468">
        <v>1575</v>
      </c>
      <c r="AW468" t="s">
        <v>70</v>
      </c>
      <c r="AX468" t="s">
        <v>55</v>
      </c>
      <c r="AY468" t="s">
        <v>49</v>
      </c>
      <c r="AZ468" t="s">
        <v>49</v>
      </c>
      <c r="BA468" t="s">
        <v>55</v>
      </c>
      <c r="BB468" t="s">
        <v>49</v>
      </c>
      <c r="BC468" t="s">
        <v>49</v>
      </c>
      <c r="BD468" t="s">
        <v>49</v>
      </c>
      <c r="BE468" t="s">
        <v>49</v>
      </c>
      <c r="BF468">
        <v>36</v>
      </c>
      <c r="BG468" t="s">
        <v>60</v>
      </c>
      <c r="BH468" t="s">
        <v>71</v>
      </c>
      <c r="BI468" t="s">
        <v>72</v>
      </c>
      <c r="BJ468" t="s">
        <v>63</v>
      </c>
      <c r="BK468">
        <v>2006</v>
      </c>
      <c r="BT468">
        <f t="shared" si="40"/>
        <v>0</v>
      </c>
    </row>
    <row r="469" spans="1:72" x14ac:dyDescent="0.2">
      <c r="A469" s="19" t="s">
        <v>516</v>
      </c>
      <c r="B469" s="1">
        <v>914</v>
      </c>
      <c r="C469">
        <v>0</v>
      </c>
      <c r="D469" t="s">
        <v>68</v>
      </c>
      <c r="E469" s="2" t="s">
        <v>49</v>
      </c>
      <c r="F469" t="s">
        <v>49</v>
      </c>
      <c r="G469">
        <v>914</v>
      </c>
      <c r="H469" s="2">
        <v>816</v>
      </c>
      <c r="I469" s="3">
        <v>816</v>
      </c>
      <c r="J469" s="4">
        <v>804</v>
      </c>
      <c r="Q469" s="4" t="s">
        <v>51</v>
      </c>
      <c r="W469">
        <v>8</v>
      </c>
      <c r="X469">
        <v>16</v>
      </c>
      <c r="Y469" s="4">
        <f>J469</f>
        <v>804</v>
      </c>
      <c r="Z469" s="4">
        <v>1</v>
      </c>
      <c r="AM469">
        <v>76</v>
      </c>
      <c r="AN469" t="s">
        <v>49</v>
      </c>
      <c r="AO469" t="s">
        <v>53</v>
      </c>
      <c r="AP469">
        <v>-27778</v>
      </c>
      <c r="AQ469">
        <v>0</v>
      </c>
      <c r="AR469" t="s">
        <v>54</v>
      </c>
      <c r="AS469" t="s">
        <v>55</v>
      </c>
      <c r="AT469" t="s">
        <v>55</v>
      </c>
      <c r="AU469" t="s">
        <v>56</v>
      </c>
      <c r="AV469">
        <v>1576</v>
      </c>
      <c r="AW469" t="s">
        <v>57</v>
      </c>
      <c r="AX469" t="s">
        <v>55</v>
      </c>
      <c r="AY469" t="s">
        <v>58</v>
      </c>
      <c r="AZ469" t="s">
        <v>49</v>
      </c>
      <c r="BA469" t="s">
        <v>55</v>
      </c>
      <c r="BB469" t="s">
        <v>49</v>
      </c>
      <c r="BC469" t="s">
        <v>49</v>
      </c>
      <c r="BD469" t="s">
        <v>106</v>
      </c>
      <c r="BE469" t="s">
        <v>55</v>
      </c>
      <c r="BF469">
        <v>36</v>
      </c>
      <c r="BG469" t="s">
        <v>60</v>
      </c>
      <c r="BH469" t="s">
        <v>82</v>
      </c>
      <c r="BI469" t="s">
        <v>62</v>
      </c>
      <c r="BJ469" t="s">
        <v>63</v>
      </c>
      <c r="BK469">
        <v>2006</v>
      </c>
      <c r="BL469">
        <v>1</v>
      </c>
      <c r="BR469">
        <f>I469-BS469</f>
        <v>595</v>
      </c>
      <c r="BS469">
        <v>221</v>
      </c>
      <c r="BT469">
        <f t="shared" si="40"/>
        <v>1</v>
      </c>
    </row>
    <row r="470" spans="1:72" x14ac:dyDescent="0.2">
      <c r="A470" s="19" t="s">
        <v>678</v>
      </c>
      <c r="B470" s="1">
        <v>783</v>
      </c>
      <c r="C470">
        <v>0</v>
      </c>
      <c r="D470" s="8" t="s">
        <v>68</v>
      </c>
      <c r="E470" s="12" t="s">
        <v>49</v>
      </c>
      <c r="F470" s="8" t="s">
        <v>49</v>
      </c>
      <c r="G470" s="8">
        <v>783</v>
      </c>
      <c r="H470" s="12" t="s">
        <v>49</v>
      </c>
      <c r="I470" s="3" t="s">
        <v>69</v>
      </c>
      <c r="J470" s="4">
        <v>755</v>
      </c>
      <c r="K470" s="8"/>
      <c r="L470" s="8"/>
      <c r="M470" s="8"/>
      <c r="N470" s="8"/>
      <c r="O470" s="8"/>
      <c r="P470" s="8"/>
      <c r="Q470" s="4" t="s">
        <v>51</v>
      </c>
      <c r="R470" s="8"/>
      <c r="S470" s="8"/>
      <c r="T470" s="8"/>
      <c r="U470" s="8"/>
      <c r="V470" s="8"/>
      <c r="W470" s="8">
        <v>3</v>
      </c>
      <c r="X470" s="8">
        <v>6</v>
      </c>
      <c r="Y470" s="4">
        <f>J470</f>
        <v>755</v>
      </c>
      <c r="Z470" s="4">
        <v>0</v>
      </c>
      <c r="AA470" s="8"/>
      <c r="AB470" s="8"/>
      <c r="AC470" s="8"/>
      <c r="AD470" s="8"/>
      <c r="AE470" s="8"/>
      <c r="AF470" s="8"/>
      <c r="AG470" s="8"/>
      <c r="AH470" s="8"/>
      <c r="AI470" s="8"/>
      <c r="AJ470" s="8"/>
      <c r="AK470" s="8"/>
      <c r="AL470" s="8"/>
      <c r="AM470" s="8">
        <v>43</v>
      </c>
      <c r="AN470" s="8" t="s">
        <v>52</v>
      </c>
      <c r="AO470" s="8" t="s">
        <v>53</v>
      </c>
      <c r="AP470" s="8">
        <v>-15803</v>
      </c>
      <c r="AQ470" s="8">
        <v>0</v>
      </c>
      <c r="AR470" s="8" t="s">
        <v>54</v>
      </c>
      <c r="AS470" s="8" t="s">
        <v>55</v>
      </c>
      <c r="AT470" s="8" t="s">
        <v>55</v>
      </c>
      <c r="AU470" s="8" t="s">
        <v>85</v>
      </c>
      <c r="AV470" s="8">
        <v>1577</v>
      </c>
      <c r="AW470" s="8" t="s">
        <v>70</v>
      </c>
      <c r="AX470" s="8" t="s">
        <v>55</v>
      </c>
      <c r="AY470" s="8" t="s">
        <v>58</v>
      </c>
      <c r="AZ470" s="8" t="s">
        <v>180</v>
      </c>
      <c r="BA470" s="8" t="s">
        <v>53</v>
      </c>
      <c r="BB470" s="8" t="s">
        <v>49</v>
      </c>
      <c r="BC470" s="8" t="s">
        <v>49</v>
      </c>
      <c r="BD470" s="8" t="s">
        <v>49</v>
      </c>
      <c r="BE470" s="8" t="s">
        <v>55</v>
      </c>
      <c r="BF470" s="8">
        <v>36</v>
      </c>
      <c r="BG470" s="8" t="s">
        <v>511</v>
      </c>
      <c r="BH470" s="8" t="s">
        <v>71</v>
      </c>
      <c r="BI470" s="8" t="s">
        <v>521</v>
      </c>
      <c r="BJ470" s="8" t="s">
        <v>63</v>
      </c>
      <c r="BK470" s="8">
        <v>2007</v>
      </c>
      <c r="BL470">
        <v>0</v>
      </c>
      <c r="BR470">
        <f>B470-BS470</f>
        <v>699</v>
      </c>
      <c r="BS470">
        <v>84</v>
      </c>
      <c r="BT470">
        <f t="shared" si="40"/>
        <v>1</v>
      </c>
    </row>
    <row r="471" spans="1:72" x14ac:dyDescent="0.2">
      <c r="A471" s="19" t="s">
        <v>522</v>
      </c>
      <c r="B471" s="1">
        <v>847</v>
      </c>
      <c r="C471">
        <v>0</v>
      </c>
      <c r="D471" t="s">
        <v>68</v>
      </c>
      <c r="E471" s="2" t="s">
        <v>49</v>
      </c>
      <c r="F471" t="s">
        <v>49</v>
      </c>
      <c r="G471">
        <v>847</v>
      </c>
      <c r="H471" s="2">
        <v>310</v>
      </c>
      <c r="I471" s="3">
        <v>310</v>
      </c>
      <c r="J471" s="4">
        <f>310-15</f>
        <v>295</v>
      </c>
      <c r="K471" s="5">
        <v>526</v>
      </c>
      <c r="Q471" s="4" t="s">
        <v>51</v>
      </c>
      <c r="R471" s="5" t="s">
        <v>65</v>
      </c>
      <c r="W471" s="8">
        <v>11</v>
      </c>
      <c r="X471" s="8">
        <v>20</v>
      </c>
      <c r="Y471" s="4">
        <f>J471</f>
        <v>295</v>
      </c>
      <c r="Z471" s="4">
        <v>1</v>
      </c>
      <c r="AE471" s="5">
        <f>K471</f>
        <v>526</v>
      </c>
      <c r="AF471" s="5">
        <v>0</v>
      </c>
      <c r="AM471">
        <v>63</v>
      </c>
      <c r="AN471" t="s">
        <v>49</v>
      </c>
      <c r="AO471" t="s">
        <v>53</v>
      </c>
      <c r="AP471">
        <v>-23329</v>
      </c>
      <c r="AQ471">
        <v>0</v>
      </c>
      <c r="AR471" t="s">
        <v>54</v>
      </c>
      <c r="AS471" t="s">
        <v>55</v>
      </c>
      <c r="AT471" t="s">
        <v>55</v>
      </c>
      <c r="AU471" t="s">
        <v>85</v>
      </c>
      <c r="AV471">
        <v>1578</v>
      </c>
      <c r="AW471" t="s">
        <v>57</v>
      </c>
      <c r="AX471" t="s">
        <v>55</v>
      </c>
      <c r="AY471" t="s">
        <v>49</v>
      </c>
      <c r="AZ471" t="s">
        <v>180</v>
      </c>
      <c r="BA471" t="s">
        <v>55</v>
      </c>
      <c r="BB471" t="s">
        <v>49</v>
      </c>
      <c r="BC471" t="s">
        <v>49</v>
      </c>
      <c r="BD471" t="s">
        <v>66</v>
      </c>
      <c r="BE471" t="s">
        <v>55</v>
      </c>
      <c r="BF471">
        <v>36</v>
      </c>
      <c r="BG471" t="s">
        <v>60</v>
      </c>
      <c r="BH471" t="s">
        <v>82</v>
      </c>
      <c r="BI471" t="s">
        <v>83</v>
      </c>
      <c r="BJ471" t="s">
        <v>63</v>
      </c>
      <c r="BK471">
        <v>2007</v>
      </c>
      <c r="BL471">
        <v>1</v>
      </c>
      <c r="BM471">
        <v>0</v>
      </c>
      <c r="BR471">
        <f>I471-BS471</f>
        <v>98</v>
      </c>
      <c r="BS471">
        <v>212</v>
      </c>
      <c r="BT471">
        <f t="shared" si="40"/>
        <v>2</v>
      </c>
    </row>
    <row r="472" spans="1:72" x14ac:dyDescent="0.2">
      <c r="A472" s="19" t="s">
        <v>526</v>
      </c>
      <c r="B472" s="1">
        <v>737</v>
      </c>
      <c r="C472">
        <v>1</v>
      </c>
      <c r="D472" t="s">
        <v>48</v>
      </c>
      <c r="E472" s="2" t="s">
        <v>49</v>
      </c>
      <c r="F472">
        <v>737</v>
      </c>
      <c r="G472">
        <v>737</v>
      </c>
      <c r="H472" s="2">
        <v>440</v>
      </c>
      <c r="I472" s="3">
        <v>440</v>
      </c>
      <c r="J472" s="11">
        <v>432</v>
      </c>
      <c r="K472" s="5">
        <v>283</v>
      </c>
      <c r="Q472" s="11" t="s">
        <v>90</v>
      </c>
      <c r="R472" s="5" t="s">
        <v>65</v>
      </c>
      <c r="W472" s="8">
        <v>11</v>
      </c>
      <c r="X472" s="8">
        <v>11</v>
      </c>
      <c r="AA472" s="11">
        <f>J472</f>
        <v>432</v>
      </c>
      <c r="AB472" s="11">
        <v>1</v>
      </c>
      <c r="AE472" s="5">
        <f>K472</f>
        <v>283</v>
      </c>
      <c r="AF472" s="5">
        <v>1</v>
      </c>
      <c r="AM472">
        <v>82</v>
      </c>
      <c r="AN472" t="s">
        <v>49</v>
      </c>
      <c r="AO472" t="s">
        <v>53</v>
      </c>
      <c r="AP472">
        <v>-29991</v>
      </c>
      <c r="AQ472">
        <v>0</v>
      </c>
      <c r="AR472" t="s">
        <v>54</v>
      </c>
      <c r="AS472" t="s">
        <v>55</v>
      </c>
      <c r="AT472" t="s">
        <v>55</v>
      </c>
      <c r="AU472" t="s">
        <v>85</v>
      </c>
      <c r="AV472">
        <v>1580</v>
      </c>
      <c r="AW472" t="s">
        <v>57</v>
      </c>
      <c r="AX472" t="s">
        <v>55</v>
      </c>
      <c r="AY472" t="s">
        <v>49</v>
      </c>
      <c r="AZ472" t="s">
        <v>49</v>
      </c>
      <c r="BA472" t="s">
        <v>55</v>
      </c>
      <c r="BB472" t="s">
        <v>49</v>
      </c>
      <c r="BC472" t="s">
        <v>49</v>
      </c>
      <c r="BD472" t="s">
        <v>49</v>
      </c>
      <c r="BE472" t="s">
        <v>55</v>
      </c>
      <c r="BF472">
        <v>36</v>
      </c>
      <c r="BG472" t="s">
        <v>60</v>
      </c>
      <c r="BH472" t="s">
        <v>82</v>
      </c>
      <c r="BI472" t="s">
        <v>62</v>
      </c>
      <c r="BJ472" t="s">
        <v>63</v>
      </c>
      <c r="BK472">
        <v>2007</v>
      </c>
      <c r="BL472">
        <v>1</v>
      </c>
      <c r="BM472">
        <v>1</v>
      </c>
      <c r="BR472">
        <f>I472-BS472</f>
        <v>92</v>
      </c>
      <c r="BS472">
        <v>348</v>
      </c>
      <c r="BT472">
        <f t="shared" si="40"/>
        <v>2</v>
      </c>
    </row>
    <row r="473" spans="1:72" x14ac:dyDescent="0.2">
      <c r="A473" s="19" t="s">
        <v>679</v>
      </c>
      <c r="B473" s="1">
        <v>751</v>
      </c>
      <c r="C473">
        <v>0</v>
      </c>
      <c r="D473" s="8" t="s">
        <v>68</v>
      </c>
      <c r="E473" s="12" t="s">
        <v>49</v>
      </c>
      <c r="F473" s="8" t="s">
        <v>49</v>
      </c>
      <c r="G473" s="8">
        <v>751</v>
      </c>
      <c r="H473" s="12">
        <v>702</v>
      </c>
      <c r="I473" s="3">
        <v>702</v>
      </c>
      <c r="J473" s="4">
        <f>702-29</f>
        <v>673</v>
      </c>
      <c r="K473" s="8"/>
      <c r="L473" s="8"/>
      <c r="M473" s="8"/>
      <c r="N473" s="8"/>
      <c r="O473" s="8"/>
      <c r="P473" s="8"/>
      <c r="Q473" s="4" t="s">
        <v>51</v>
      </c>
      <c r="R473" s="8"/>
      <c r="S473" s="8"/>
      <c r="T473" s="8"/>
      <c r="U473" s="8"/>
      <c r="V473" s="8"/>
      <c r="W473" s="8">
        <v>6</v>
      </c>
      <c r="X473" s="8">
        <v>12</v>
      </c>
      <c r="Y473" s="4">
        <f>J473</f>
        <v>673</v>
      </c>
      <c r="Z473" s="4">
        <v>0</v>
      </c>
      <c r="AA473" s="8"/>
      <c r="AB473" s="8"/>
      <c r="AC473" s="8"/>
      <c r="AD473" s="8"/>
      <c r="AE473" s="8"/>
      <c r="AF473" s="8"/>
      <c r="AG473" s="8"/>
      <c r="AH473" s="8"/>
      <c r="AI473" s="8"/>
      <c r="AJ473" s="8"/>
      <c r="AK473" s="8"/>
      <c r="AL473" s="8"/>
      <c r="AM473" s="8">
        <v>63</v>
      </c>
      <c r="AN473" s="8" t="s">
        <v>101</v>
      </c>
      <c r="AO473" s="8" t="s">
        <v>53</v>
      </c>
      <c r="AP473" s="8">
        <v>-23272</v>
      </c>
      <c r="AQ473" s="8">
        <v>0</v>
      </c>
      <c r="AR473" s="8" t="s">
        <v>54</v>
      </c>
      <c r="AS473" s="8" t="s">
        <v>55</v>
      </c>
      <c r="AT473" s="8" t="s">
        <v>55</v>
      </c>
      <c r="AU473" s="8" t="s">
        <v>85</v>
      </c>
      <c r="AV473" s="8">
        <v>1581</v>
      </c>
      <c r="AW473" s="8" t="s">
        <v>57</v>
      </c>
      <c r="AX473" s="8" t="s">
        <v>55</v>
      </c>
      <c r="AY473" s="8" t="s">
        <v>58</v>
      </c>
      <c r="AZ473" s="8" t="s">
        <v>59</v>
      </c>
      <c r="BA473" s="8" t="s">
        <v>55</v>
      </c>
      <c r="BB473" s="8" t="s">
        <v>49</v>
      </c>
      <c r="BC473" s="8" t="s">
        <v>49</v>
      </c>
      <c r="BD473" s="8" t="s">
        <v>66</v>
      </c>
      <c r="BE473" s="8" t="s">
        <v>55</v>
      </c>
      <c r="BF473" s="8">
        <v>36</v>
      </c>
      <c r="BG473" s="8" t="s">
        <v>60</v>
      </c>
      <c r="BH473" s="8" t="s">
        <v>71</v>
      </c>
      <c r="BI473" s="8" t="s">
        <v>521</v>
      </c>
      <c r="BJ473" s="8" t="s">
        <v>63</v>
      </c>
      <c r="BK473" s="8">
        <v>2007</v>
      </c>
      <c r="BL473">
        <v>1</v>
      </c>
      <c r="BR473">
        <f>I473-BS473</f>
        <v>561</v>
      </c>
      <c r="BS473">
        <v>141</v>
      </c>
      <c r="BT473">
        <f t="shared" si="40"/>
        <v>1</v>
      </c>
    </row>
    <row r="474" spans="1:72" x14ac:dyDescent="0.2">
      <c r="A474" s="19" t="s">
        <v>529</v>
      </c>
      <c r="B474" s="1">
        <v>1066</v>
      </c>
      <c r="C474">
        <v>0</v>
      </c>
      <c r="D474" t="s">
        <v>68</v>
      </c>
      <c r="E474" s="2" t="s">
        <v>49</v>
      </c>
      <c r="F474" t="s">
        <v>49</v>
      </c>
      <c r="G474">
        <v>1066</v>
      </c>
      <c r="H474" s="2">
        <v>567</v>
      </c>
      <c r="I474" s="3">
        <v>567</v>
      </c>
      <c r="J474" s="4">
        <f>567-17</f>
        <v>550</v>
      </c>
      <c r="K474" s="4">
        <v>239</v>
      </c>
      <c r="L474" s="11">
        <v>132</v>
      </c>
      <c r="M474" s="5">
        <v>40</v>
      </c>
      <c r="N474" s="6">
        <v>40</v>
      </c>
      <c r="Q474" s="4" t="s">
        <v>51</v>
      </c>
      <c r="R474" s="4" t="s">
        <v>51</v>
      </c>
      <c r="S474" s="11" t="s">
        <v>90</v>
      </c>
      <c r="T474" s="5" t="s">
        <v>65</v>
      </c>
      <c r="U474" s="6" t="s">
        <v>74</v>
      </c>
      <c r="W474" s="8">
        <v>6</v>
      </c>
      <c r="X474" s="8">
        <v>12</v>
      </c>
      <c r="Y474" s="4">
        <f>J474+K474</f>
        <v>789</v>
      </c>
      <c r="Z474" s="4">
        <v>1</v>
      </c>
      <c r="AA474" s="11">
        <f>L474</f>
        <v>132</v>
      </c>
      <c r="AB474" s="11">
        <v>1</v>
      </c>
      <c r="AC474" s="6">
        <v>40</v>
      </c>
      <c r="AD474" s="6">
        <v>0</v>
      </c>
      <c r="AE474" s="5">
        <f>M474</f>
        <v>40</v>
      </c>
      <c r="AF474" s="5">
        <v>1</v>
      </c>
      <c r="AM474">
        <v>71</v>
      </c>
      <c r="AN474" t="s">
        <v>52</v>
      </c>
      <c r="AO474" t="s">
        <v>53</v>
      </c>
      <c r="AP474">
        <v>-26091</v>
      </c>
      <c r="AQ474">
        <v>0</v>
      </c>
      <c r="AR474" t="s">
        <v>54</v>
      </c>
      <c r="AS474" t="s">
        <v>55</v>
      </c>
      <c r="AT474" t="s">
        <v>55</v>
      </c>
      <c r="AU474" t="s">
        <v>56</v>
      </c>
      <c r="AV474">
        <v>2529</v>
      </c>
      <c r="AW474" t="s">
        <v>57</v>
      </c>
      <c r="AX474" t="s">
        <v>55</v>
      </c>
      <c r="AY474" t="s">
        <v>58</v>
      </c>
      <c r="AZ474" t="s">
        <v>49</v>
      </c>
      <c r="BA474" t="s">
        <v>55</v>
      </c>
      <c r="BB474" t="s">
        <v>49</v>
      </c>
      <c r="BC474" t="s">
        <v>115</v>
      </c>
      <c r="BD474" t="s">
        <v>106</v>
      </c>
      <c r="BE474" t="s">
        <v>55</v>
      </c>
      <c r="BF474">
        <v>36</v>
      </c>
      <c r="BG474" t="s">
        <v>60</v>
      </c>
      <c r="BH474" t="s">
        <v>82</v>
      </c>
      <c r="BI474" t="s">
        <v>62</v>
      </c>
      <c r="BJ474" t="s">
        <v>530</v>
      </c>
      <c r="BK474">
        <v>2007</v>
      </c>
      <c r="BL474">
        <v>1</v>
      </c>
      <c r="BM474">
        <v>1</v>
      </c>
      <c r="BN474">
        <v>1</v>
      </c>
      <c r="BO474">
        <v>1</v>
      </c>
      <c r="BP474">
        <v>0</v>
      </c>
      <c r="BR474">
        <f>I474-BS474</f>
        <v>431</v>
      </c>
      <c r="BS474">
        <v>136</v>
      </c>
      <c r="BT474">
        <f t="shared" si="40"/>
        <v>5</v>
      </c>
    </row>
    <row r="475" spans="1:72" x14ac:dyDescent="0.2">
      <c r="A475" s="19" t="s">
        <v>535</v>
      </c>
      <c r="B475" s="1">
        <v>1004</v>
      </c>
      <c r="C475">
        <v>0</v>
      </c>
      <c r="D475" t="s">
        <v>68</v>
      </c>
      <c r="E475" s="2" t="s">
        <v>49</v>
      </c>
      <c r="F475" t="s">
        <v>49</v>
      </c>
      <c r="G475">
        <v>1004</v>
      </c>
      <c r="H475" s="2">
        <v>630</v>
      </c>
      <c r="I475" s="3">
        <v>630</v>
      </c>
      <c r="J475" s="4">
        <f>630-21</f>
        <v>609</v>
      </c>
      <c r="K475" s="4">
        <v>405</v>
      </c>
      <c r="Q475" s="4" t="s">
        <v>51</v>
      </c>
      <c r="R475" s="4" t="s">
        <v>51</v>
      </c>
      <c r="W475" s="8">
        <v>6</v>
      </c>
      <c r="X475" s="8">
        <v>12</v>
      </c>
      <c r="Y475" s="4">
        <f>J475+K475</f>
        <v>1014</v>
      </c>
      <c r="Z475" s="4">
        <v>0</v>
      </c>
      <c r="AM475">
        <v>38</v>
      </c>
      <c r="AN475" t="s">
        <v>52</v>
      </c>
      <c r="AO475" t="s">
        <v>53</v>
      </c>
      <c r="AP475">
        <v>-13885</v>
      </c>
      <c r="AQ475">
        <v>0</v>
      </c>
      <c r="AR475" t="s">
        <v>54</v>
      </c>
      <c r="AS475" t="s">
        <v>55</v>
      </c>
      <c r="AT475" t="s">
        <v>55</v>
      </c>
      <c r="AU475" t="s">
        <v>85</v>
      </c>
      <c r="AV475">
        <v>2530</v>
      </c>
      <c r="AW475" t="s">
        <v>57</v>
      </c>
      <c r="AX475" t="s">
        <v>55</v>
      </c>
      <c r="AY475" t="s">
        <v>58</v>
      </c>
      <c r="AZ475" t="s">
        <v>180</v>
      </c>
      <c r="BA475" t="s">
        <v>55</v>
      </c>
      <c r="BB475" t="s">
        <v>49</v>
      </c>
      <c r="BC475" t="s">
        <v>115</v>
      </c>
      <c r="BD475" t="s">
        <v>536</v>
      </c>
      <c r="BE475" t="s">
        <v>55</v>
      </c>
      <c r="BF475">
        <v>36</v>
      </c>
      <c r="BG475" t="s">
        <v>60</v>
      </c>
      <c r="BH475" t="s">
        <v>142</v>
      </c>
      <c r="BI475" t="s">
        <v>62</v>
      </c>
      <c r="BJ475" t="s">
        <v>63</v>
      </c>
      <c r="BK475">
        <v>2007</v>
      </c>
      <c r="BL475">
        <v>1</v>
      </c>
      <c r="BM475">
        <v>0</v>
      </c>
      <c r="BR475">
        <f>I475-BS475</f>
        <v>495</v>
      </c>
      <c r="BS475">
        <v>135</v>
      </c>
      <c r="BT475">
        <f t="shared" si="40"/>
        <v>2</v>
      </c>
    </row>
    <row r="476" spans="1:72" x14ac:dyDescent="0.2">
      <c r="A476" s="19" t="s">
        <v>537</v>
      </c>
      <c r="B476" s="1">
        <v>897</v>
      </c>
      <c r="C476">
        <v>0</v>
      </c>
      <c r="D476" t="s">
        <v>68</v>
      </c>
      <c r="E476" s="2" t="s">
        <v>49</v>
      </c>
      <c r="F476" t="s">
        <v>49</v>
      </c>
      <c r="G476">
        <v>897</v>
      </c>
      <c r="H476" s="2" t="s">
        <v>49</v>
      </c>
      <c r="I476" s="3" t="s">
        <v>69</v>
      </c>
      <c r="J476" s="4">
        <v>870</v>
      </c>
      <c r="Q476" s="4" t="s">
        <v>51</v>
      </c>
      <c r="W476" s="8">
        <v>6</v>
      </c>
      <c r="X476" s="8">
        <v>12</v>
      </c>
      <c r="Y476" s="4">
        <f>J476</f>
        <v>870</v>
      </c>
      <c r="Z476" s="4">
        <v>0</v>
      </c>
      <c r="AM476">
        <v>61</v>
      </c>
      <c r="AN476" t="s">
        <v>52</v>
      </c>
      <c r="AO476" t="s">
        <v>53</v>
      </c>
      <c r="AP476">
        <v>-22333</v>
      </c>
      <c r="AQ476">
        <v>0</v>
      </c>
      <c r="AR476" t="s">
        <v>54</v>
      </c>
      <c r="AS476" t="s">
        <v>55</v>
      </c>
      <c r="AT476" t="s">
        <v>55</v>
      </c>
      <c r="AU476" t="s">
        <v>157</v>
      </c>
      <c r="AV476">
        <v>2532</v>
      </c>
      <c r="AW476" t="s">
        <v>57</v>
      </c>
      <c r="AX476" t="s">
        <v>55</v>
      </c>
      <c r="AY476" t="s">
        <v>49</v>
      </c>
      <c r="AZ476" t="s">
        <v>49</v>
      </c>
      <c r="BA476" t="s">
        <v>55</v>
      </c>
      <c r="BB476" t="s">
        <v>49</v>
      </c>
      <c r="BC476" t="s">
        <v>482</v>
      </c>
      <c r="BD476" t="s">
        <v>49</v>
      </c>
      <c r="BE476" t="s">
        <v>55</v>
      </c>
      <c r="BF476">
        <v>36</v>
      </c>
      <c r="BG476" t="s">
        <v>60</v>
      </c>
      <c r="BH476" t="s">
        <v>71</v>
      </c>
      <c r="BI476" t="s">
        <v>62</v>
      </c>
      <c r="BJ476" t="s">
        <v>63</v>
      </c>
      <c r="BK476">
        <v>2007</v>
      </c>
      <c r="BL476">
        <v>0</v>
      </c>
      <c r="BR476">
        <f>B476-BS476</f>
        <v>757</v>
      </c>
      <c r="BS476">
        <v>140</v>
      </c>
      <c r="BT476">
        <f t="shared" si="40"/>
        <v>1</v>
      </c>
    </row>
    <row r="477" spans="1:72" x14ac:dyDescent="0.2">
      <c r="A477" s="19" t="s">
        <v>540</v>
      </c>
      <c r="B477" s="1" t="s">
        <v>50</v>
      </c>
      <c r="C477">
        <v>0</v>
      </c>
      <c r="D477" t="s">
        <v>49</v>
      </c>
      <c r="E477" s="2" t="s">
        <v>49</v>
      </c>
      <c r="F477" t="s">
        <v>49</v>
      </c>
      <c r="G477">
        <v>0</v>
      </c>
      <c r="H477" s="2" t="s">
        <v>49</v>
      </c>
      <c r="I477" s="3" t="s">
        <v>50</v>
      </c>
      <c r="J477" t="s">
        <v>50</v>
      </c>
      <c r="Q477" t="s">
        <v>50</v>
      </c>
      <c r="AM477">
        <v>55</v>
      </c>
      <c r="AN477" t="s">
        <v>126</v>
      </c>
      <c r="AO477" t="s">
        <v>49</v>
      </c>
      <c r="AP477">
        <v>-20187</v>
      </c>
      <c r="AQ477">
        <v>0</v>
      </c>
      <c r="AR477" t="s">
        <v>54</v>
      </c>
      <c r="AS477" t="s">
        <v>49</v>
      </c>
      <c r="AT477" t="s">
        <v>49</v>
      </c>
      <c r="AU477" t="s">
        <v>56</v>
      </c>
      <c r="AV477">
        <v>2533</v>
      </c>
      <c r="AW477" t="s">
        <v>49</v>
      </c>
      <c r="AX477" t="s">
        <v>55</v>
      </c>
      <c r="AY477" t="s">
        <v>49</v>
      </c>
      <c r="AZ477" t="s">
        <v>49</v>
      </c>
      <c r="BA477" t="s">
        <v>49</v>
      </c>
      <c r="BB477" t="s">
        <v>49</v>
      </c>
      <c r="BC477" t="s">
        <v>49</v>
      </c>
      <c r="BD477" t="s">
        <v>49</v>
      </c>
      <c r="BE477" t="s">
        <v>49</v>
      </c>
      <c r="BF477">
        <v>36</v>
      </c>
      <c r="BG477" t="s">
        <v>60</v>
      </c>
      <c r="BH477" t="s">
        <v>49</v>
      </c>
      <c r="BI477" t="s">
        <v>62</v>
      </c>
      <c r="BJ477" t="s">
        <v>63</v>
      </c>
      <c r="BK477">
        <v>2007</v>
      </c>
      <c r="BT477">
        <f t="shared" si="40"/>
        <v>0</v>
      </c>
    </row>
    <row r="478" spans="1:72" x14ac:dyDescent="0.2">
      <c r="A478" s="19" t="s">
        <v>541</v>
      </c>
      <c r="B478" s="1">
        <v>906</v>
      </c>
      <c r="C478">
        <v>0</v>
      </c>
      <c r="D478" t="s">
        <v>68</v>
      </c>
      <c r="E478" s="2">
        <v>383</v>
      </c>
      <c r="F478" t="s">
        <v>49</v>
      </c>
      <c r="G478">
        <v>906</v>
      </c>
      <c r="H478" s="2" t="s">
        <v>49</v>
      </c>
      <c r="I478" s="3">
        <v>383</v>
      </c>
      <c r="J478" s="4">
        <f>383-27</f>
        <v>356</v>
      </c>
      <c r="K478" s="11">
        <v>363</v>
      </c>
      <c r="Q478" s="4" t="s">
        <v>51</v>
      </c>
      <c r="R478" s="11" t="s">
        <v>90</v>
      </c>
      <c r="W478">
        <v>7</v>
      </c>
      <c r="X478">
        <v>14</v>
      </c>
      <c r="Y478" s="4">
        <f>J478</f>
        <v>356</v>
      </c>
      <c r="Z478" s="4">
        <v>1</v>
      </c>
      <c r="AA478" s="11">
        <f>K478</f>
        <v>363</v>
      </c>
      <c r="AB478" s="11">
        <v>0</v>
      </c>
      <c r="AM478">
        <v>72</v>
      </c>
      <c r="AN478" t="s">
        <v>126</v>
      </c>
      <c r="AO478" t="s">
        <v>53</v>
      </c>
      <c r="AP478">
        <v>-26621</v>
      </c>
      <c r="AQ478">
        <v>0</v>
      </c>
      <c r="AR478" t="s">
        <v>54</v>
      </c>
      <c r="AS478" t="s">
        <v>55</v>
      </c>
      <c r="AT478" t="s">
        <v>55</v>
      </c>
      <c r="AU478" t="s">
        <v>56</v>
      </c>
      <c r="AV478">
        <v>2534</v>
      </c>
      <c r="AW478" t="s">
        <v>57</v>
      </c>
      <c r="AX478" t="s">
        <v>55</v>
      </c>
      <c r="AY478" t="s">
        <v>114</v>
      </c>
      <c r="AZ478" t="s">
        <v>59</v>
      </c>
      <c r="BA478" t="s">
        <v>55</v>
      </c>
      <c r="BB478" t="s">
        <v>49</v>
      </c>
      <c r="BC478" t="s">
        <v>115</v>
      </c>
      <c r="BD478" t="s">
        <v>66</v>
      </c>
      <c r="BE478" t="s">
        <v>55</v>
      </c>
      <c r="BF478">
        <v>36</v>
      </c>
      <c r="BG478" t="s">
        <v>60</v>
      </c>
      <c r="BH478" t="s">
        <v>82</v>
      </c>
      <c r="BI478" t="s">
        <v>62</v>
      </c>
      <c r="BJ478" t="s">
        <v>63</v>
      </c>
      <c r="BK478">
        <v>2007</v>
      </c>
      <c r="BL478">
        <v>1</v>
      </c>
      <c r="BM478">
        <v>0</v>
      </c>
      <c r="BR478">
        <f>I478-BS478</f>
        <v>230</v>
      </c>
      <c r="BS478">
        <v>153</v>
      </c>
      <c r="BT478">
        <f t="shared" si="40"/>
        <v>2</v>
      </c>
    </row>
    <row r="479" spans="1:72" x14ac:dyDescent="0.2">
      <c r="A479" s="19" t="s">
        <v>542</v>
      </c>
      <c r="B479" s="1">
        <v>788</v>
      </c>
      <c r="C479">
        <v>0</v>
      </c>
      <c r="D479" t="s">
        <v>68</v>
      </c>
      <c r="E479" s="2">
        <v>431</v>
      </c>
      <c r="F479" t="s">
        <v>49</v>
      </c>
      <c r="G479">
        <v>788</v>
      </c>
      <c r="H479" s="2" t="s">
        <v>49</v>
      </c>
      <c r="I479" s="3">
        <v>431</v>
      </c>
      <c r="J479" s="4">
        <v>411</v>
      </c>
      <c r="K479">
        <v>247</v>
      </c>
      <c r="L479" s="7">
        <v>67</v>
      </c>
      <c r="Q479" s="4" t="s">
        <v>51</v>
      </c>
      <c r="R479" t="s">
        <v>255</v>
      </c>
      <c r="S479" s="7" t="s">
        <v>75</v>
      </c>
      <c r="W479">
        <v>6</v>
      </c>
      <c r="X479">
        <v>12</v>
      </c>
      <c r="Y479" s="4">
        <f>J479</f>
        <v>411</v>
      </c>
      <c r="Z479" s="4">
        <v>1</v>
      </c>
      <c r="AI479" s="7">
        <f>L479</f>
        <v>67</v>
      </c>
      <c r="AJ479" s="7">
        <v>0</v>
      </c>
      <c r="AK479" s="8"/>
      <c r="AL479" s="8"/>
      <c r="AM479">
        <v>39</v>
      </c>
      <c r="AN479" t="s">
        <v>52</v>
      </c>
      <c r="AO479" t="s">
        <v>53</v>
      </c>
      <c r="AP479">
        <v>-14594</v>
      </c>
      <c r="AQ479">
        <v>0</v>
      </c>
      <c r="AR479" t="s">
        <v>54</v>
      </c>
      <c r="AS479" t="s">
        <v>55</v>
      </c>
      <c r="AT479" t="s">
        <v>55</v>
      </c>
      <c r="AU479" t="s">
        <v>85</v>
      </c>
      <c r="AV479">
        <v>2537</v>
      </c>
      <c r="AW479" t="s">
        <v>57</v>
      </c>
      <c r="AX479" t="s">
        <v>55</v>
      </c>
      <c r="AY479" t="s">
        <v>114</v>
      </c>
      <c r="AZ479" t="s">
        <v>49</v>
      </c>
      <c r="BA479" t="s">
        <v>55</v>
      </c>
      <c r="BB479" t="s">
        <v>49</v>
      </c>
      <c r="BC479" t="s">
        <v>115</v>
      </c>
      <c r="BD479" t="s">
        <v>66</v>
      </c>
      <c r="BE479" t="s">
        <v>55</v>
      </c>
      <c r="BF479">
        <v>36</v>
      </c>
      <c r="BG479" t="s">
        <v>60</v>
      </c>
      <c r="BH479" t="s">
        <v>82</v>
      </c>
      <c r="BI479" t="s">
        <v>62</v>
      </c>
      <c r="BJ479" t="s">
        <v>63</v>
      </c>
      <c r="BK479">
        <v>2008</v>
      </c>
      <c r="BL479">
        <v>1</v>
      </c>
      <c r="BM479">
        <v>1</v>
      </c>
      <c r="BN479">
        <v>0</v>
      </c>
      <c r="BR479">
        <f>I479-BS479</f>
        <v>306</v>
      </c>
      <c r="BS479">
        <v>125</v>
      </c>
      <c r="BT479">
        <f t="shared" si="40"/>
        <v>3</v>
      </c>
    </row>
    <row r="480" spans="1:72" x14ac:dyDescent="0.2">
      <c r="A480" s="19" t="s">
        <v>548</v>
      </c>
      <c r="B480" s="1">
        <v>763</v>
      </c>
      <c r="C480">
        <v>0</v>
      </c>
      <c r="D480" t="s">
        <v>68</v>
      </c>
      <c r="E480" s="2" t="s">
        <v>49</v>
      </c>
      <c r="F480" t="s">
        <v>49</v>
      </c>
      <c r="G480">
        <v>763</v>
      </c>
      <c r="H480" s="2">
        <v>523</v>
      </c>
      <c r="I480" s="3">
        <v>523</v>
      </c>
      <c r="J480" s="4">
        <f>I480-72</f>
        <v>451</v>
      </c>
      <c r="K480">
        <v>221</v>
      </c>
      <c r="Q480" s="4" t="s">
        <v>51</v>
      </c>
      <c r="R480" t="s">
        <v>255</v>
      </c>
      <c r="W480">
        <v>6</v>
      </c>
      <c r="X480">
        <v>12</v>
      </c>
      <c r="Y480" s="4">
        <f>J480</f>
        <v>451</v>
      </c>
      <c r="Z480" s="4">
        <v>1</v>
      </c>
      <c r="AM480">
        <v>37</v>
      </c>
      <c r="AN480" t="s">
        <v>126</v>
      </c>
      <c r="AO480" t="s">
        <v>53</v>
      </c>
      <c r="AP480">
        <v>-13681</v>
      </c>
      <c r="AQ480">
        <v>0</v>
      </c>
      <c r="AR480" t="s">
        <v>54</v>
      </c>
      <c r="AS480" t="s">
        <v>55</v>
      </c>
      <c r="AT480" t="s">
        <v>55</v>
      </c>
      <c r="AU480" t="s">
        <v>85</v>
      </c>
      <c r="AV480">
        <v>2538</v>
      </c>
      <c r="AW480" t="s">
        <v>57</v>
      </c>
      <c r="AX480" t="s">
        <v>55</v>
      </c>
      <c r="AY480" t="s">
        <v>58</v>
      </c>
      <c r="AZ480" t="s">
        <v>49</v>
      </c>
      <c r="BA480" t="s">
        <v>55</v>
      </c>
      <c r="BB480" t="s">
        <v>49</v>
      </c>
      <c r="BC480" t="s">
        <v>115</v>
      </c>
      <c r="BD480" t="s">
        <v>536</v>
      </c>
      <c r="BE480" t="s">
        <v>55</v>
      </c>
      <c r="BF480">
        <v>36</v>
      </c>
      <c r="BG480" t="s">
        <v>60</v>
      </c>
      <c r="BH480" t="s">
        <v>142</v>
      </c>
      <c r="BI480" t="s">
        <v>72</v>
      </c>
      <c r="BJ480" t="s">
        <v>63</v>
      </c>
      <c r="BK480">
        <v>2008</v>
      </c>
      <c r="BL480">
        <v>1</v>
      </c>
      <c r="BM480">
        <v>0</v>
      </c>
      <c r="BR480">
        <f>I480-BS480</f>
        <v>311</v>
      </c>
      <c r="BS480">
        <v>212</v>
      </c>
      <c r="BT480">
        <f t="shared" si="40"/>
        <v>2</v>
      </c>
    </row>
    <row r="481" spans="1:72" x14ac:dyDescent="0.2">
      <c r="A481" s="19" t="s">
        <v>681</v>
      </c>
      <c r="B481" s="1" t="s">
        <v>49</v>
      </c>
      <c r="C481">
        <v>0</v>
      </c>
      <c r="D481" s="8" t="s">
        <v>49</v>
      </c>
      <c r="E481" s="12" t="s">
        <v>49</v>
      </c>
      <c r="F481" s="8" t="s">
        <v>49</v>
      </c>
      <c r="G481" s="8" t="s">
        <v>49</v>
      </c>
      <c r="H481" s="12" t="s">
        <v>49</v>
      </c>
      <c r="I481" s="3" t="s">
        <v>50</v>
      </c>
      <c r="J481" s="12" t="s">
        <v>50</v>
      </c>
      <c r="K481" s="8"/>
      <c r="L481" s="8"/>
      <c r="M481" s="8"/>
      <c r="N481" s="8"/>
      <c r="O481" s="8"/>
      <c r="P481" s="8"/>
      <c r="Q481" s="8" t="s">
        <v>50</v>
      </c>
      <c r="R481" s="8"/>
      <c r="S481" s="8"/>
      <c r="T481" s="8"/>
      <c r="U481" s="8"/>
      <c r="V481" s="8"/>
      <c r="W481" s="8"/>
      <c r="X481" s="8"/>
      <c r="Y481" s="8"/>
      <c r="Z481" s="8"/>
      <c r="AA481" s="8"/>
      <c r="AB481" s="8"/>
      <c r="AC481" s="8"/>
      <c r="AD481" s="8"/>
      <c r="AE481" s="8"/>
      <c r="AF481" s="8"/>
      <c r="AG481" s="8"/>
      <c r="AH481" s="8"/>
      <c r="AI481" s="8"/>
      <c r="AJ481" s="8"/>
      <c r="AK481" s="8"/>
      <c r="AL481" s="8"/>
      <c r="AM481" s="8" t="s">
        <v>49</v>
      </c>
      <c r="AN481" s="8" t="s">
        <v>49</v>
      </c>
      <c r="AO481" s="8" t="s">
        <v>49</v>
      </c>
      <c r="AP481" s="8" t="s">
        <v>49</v>
      </c>
      <c r="AQ481" s="8" t="s">
        <v>49</v>
      </c>
      <c r="AR481" s="8" t="s">
        <v>49</v>
      </c>
      <c r="AS481" s="8" t="s">
        <v>49</v>
      </c>
      <c r="AT481" s="8" t="s">
        <v>49</v>
      </c>
      <c r="AU481" s="8" t="s">
        <v>49</v>
      </c>
      <c r="AV481" s="8" t="s">
        <v>49</v>
      </c>
      <c r="AW481" s="8" t="s">
        <v>49</v>
      </c>
      <c r="AX481" s="8" t="s">
        <v>49</v>
      </c>
      <c r="AY481" s="8" t="s">
        <v>49</v>
      </c>
      <c r="AZ481" s="8" t="s">
        <v>49</v>
      </c>
      <c r="BA481" s="8" t="s">
        <v>49</v>
      </c>
      <c r="BB481" s="8" t="s">
        <v>49</v>
      </c>
      <c r="BC481" s="8" t="s">
        <v>49</v>
      </c>
      <c r="BD481" s="8" t="s">
        <v>49</v>
      </c>
      <c r="BE481" s="8" t="s">
        <v>49</v>
      </c>
      <c r="BF481" s="8" t="s">
        <v>49</v>
      </c>
      <c r="BG481" s="8" t="s">
        <v>49</v>
      </c>
      <c r="BH481" s="8" t="s">
        <v>49</v>
      </c>
      <c r="BI481" s="8" t="s">
        <v>49</v>
      </c>
      <c r="BJ481" s="8" t="s">
        <v>49</v>
      </c>
      <c r="BK481" s="8" t="s">
        <v>49</v>
      </c>
      <c r="BT481">
        <f t="shared" si="40"/>
        <v>0</v>
      </c>
    </row>
    <row r="482" spans="1:72" x14ac:dyDescent="0.2">
      <c r="A482" s="19" t="s">
        <v>682</v>
      </c>
      <c r="B482" s="1">
        <v>726</v>
      </c>
      <c r="C482">
        <v>0</v>
      </c>
      <c r="D482" s="8" t="s">
        <v>68</v>
      </c>
      <c r="E482" s="12" t="s">
        <v>49</v>
      </c>
      <c r="F482" s="8" t="s">
        <v>49</v>
      </c>
      <c r="G482" s="8">
        <v>724</v>
      </c>
      <c r="H482" s="12">
        <v>665</v>
      </c>
      <c r="I482" s="3">
        <v>665</v>
      </c>
      <c r="J482" s="4">
        <f>665-46</f>
        <v>619</v>
      </c>
      <c r="K482" s="25">
        <v>2</v>
      </c>
      <c r="L482" s="8"/>
      <c r="M482" s="8"/>
      <c r="N482" s="8"/>
      <c r="O482" s="8"/>
      <c r="P482" s="8" t="s">
        <v>836</v>
      </c>
      <c r="Q482" s="4" t="s">
        <v>51</v>
      </c>
      <c r="R482" s="4" t="s">
        <v>51</v>
      </c>
      <c r="S482" s="8"/>
      <c r="T482" s="8"/>
      <c r="U482" s="8"/>
      <c r="V482" s="8"/>
      <c r="W482" s="8">
        <v>6</v>
      </c>
      <c r="X482" s="8">
        <v>12</v>
      </c>
      <c r="Y482" s="4">
        <f>J482+K482</f>
        <v>621</v>
      </c>
      <c r="Z482" s="4">
        <v>0</v>
      </c>
      <c r="AA482" s="8"/>
      <c r="AB482" s="8"/>
      <c r="AC482" s="8"/>
      <c r="AD482" s="8"/>
      <c r="AE482" s="8"/>
      <c r="AF482" s="8"/>
      <c r="AG482" s="8"/>
      <c r="AH482" s="8"/>
      <c r="AI482" s="8"/>
      <c r="AJ482" s="8"/>
      <c r="AK482" s="8"/>
      <c r="AL482" s="8"/>
      <c r="AM482" s="8">
        <v>26</v>
      </c>
      <c r="AN482" s="8" t="s">
        <v>52</v>
      </c>
      <c r="AO482" s="8" t="s">
        <v>53</v>
      </c>
      <c r="AP482" s="8">
        <v>-9760</v>
      </c>
      <c r="AQ482" s="8">
        <v>0</v>
      </c>
      <c r="AR482" s="8" t="s">
        <v>54</v>
      </c>
      <c r="AS482" s="8" t="s">
        <v>55</v>
      </c>
      <c r="AT482" s="8" t="s">
        <v>55</v>
      </c>
      <c r="AU482" s="8" t="s">
        <v>56</v>
      </c>
      <c r="AV482" s="8">
        <v>2540</v>
      </c>
      <c r="AW482" s="8" t="s">
        <v>57</v>
      </c>
      <c r="AX482" s="8" t="s">
        <v>55</v>
      </c>
      <c r="AY482" s="8" t="s">
        <v>58</v>
      </c>
      <c r="AZ482" s="8" t="s">
        <v>59</v>
      </c>
      <c r="BA482" s="8" t="s">
        <v>55</v>
      </c>
      <c r="BB482" s="8" t="s">
        <v>49</v>
      </c>
      <c r="BC482" s="8" t="s">
        <v>115</v>
      </c>
      <c r="BD482" s="8" t="s">
        <v>536</v>
      </c>
      <c r="BE482" s="8" t="s">
        <v>55</v>
      </c>
      <c r="BF482" s="8">
        <v>36</v>
      </c>
      <c r="BG482" s="8" t="s">
        <v>551</v>
      </c>
      <c r="BH482" s="8" t="s">
        <v>82</v>
      </c>
      <c r="BI482" s="8" t="s">
        <v>62</v>
      </c>
      <c r="BJ482" s="8" t="s">
        <v>63</v>
      </c>
      <c r="BK482" s="8">
        <v>2008</v>
      </c>
      <c r="BL482">
        <v>1</v>
      </c>
      <c r="BM482">
        <v>0</v>
      </c>
      <c r="BR482">
        <f>I482-BS482</f>
        <v>480</v>
      </c>
      <c r="BS482">
        <v>185</v>
      </c>
      <c r="BT482">
        <f t="shared" si="40"/>
        <v>2</v>
      </c>
    </row>
    <row r="483" spans="1:72" x14ac:dyDescent="0.2">
      <c r="A483" s="19" t="s">
        <v>562</v>
      </c>
      <c r="B483" s="1">
        <v>657</v>
      </c>
      <c r="C483">
        <v>0</v>
      </c>
      <c r="D483" t="s">
        <v>68</v>
      </c>
      <c r="E483" s="2" t="s">
        <v>49</v>
      </c>
      <c r="F483" t="s">
        <v>49</v>
      </c>
      <c r="G483">
        <v>657</v>
      </c>
      <c r="H483" s="2" t="s">
        <v>49</v>
      </c>
      <c r="I483" s="3" t="s">
        <v>69</v>
      </c>
      <c r="J483" s="4">
        <v>632</v>
      </c>
      <c r="Q483" s="4" t="s">
        <v>51</v>
      </c>
      <c r="W483" s="8">
        <v>6</v>
      </c>
      <c r="X483" s="8">
        <v>12</v>
      </c>
      <c r="Y483" s="4">
        <f>J483</f>
        <v>632</v>
      </c>
      <c r="Z483" s="4">
        <v>0</v>
      </c>
      <c r="AM483">
        <v>59</v>
      </c>
      <c r="AN483" t="s">
        <v>52</v>
      </c>
      <c r="AO483" t="s">
        <v>53</v>
      </c>
      <c r="AP483">
        <v>-21902</v>
      </c>
      <c r="AQ483">
        <v>0</v>
      </c>
      <c r="AR483" t="s">
        <v>54</v>
      </c>
      <c r="AS483" t="s">
        <v>55</v>
      </c>
      <c r="AT483" t="s">
        <v>55</v>
      </c>
      <c r="AU483" t="s">
        <v>85</v>
      </c>
      <c r="AV483">
        <v>2542</v>
      </c>
      <c r="AW483" t="s">
        <v>70</v>
      </c>
      <c r="AX483" t="s">
        <v>55</v>
      </c>
      <c r="AY483" t="s">
        <v>58</v>
      </c>
      <c r="AZ483" t="s">
        <v>180</v>
      </c>
      <c r="BA483" t="s">
        <v>55</v>
      </c>
      <c r="BB483" t="s">
        <v>49</v>
      </c>
      <c r="BC483" t="s">
        <v>115</v>
      </c>
      <c r="BD483" t="s">
        <v>49</v>
      </c>
      <c r="BE483" t="s">
        <v>55</v>
      </c>
      <c r="BF483">
        <v>36</v>
      </c>
      <c r="BG483" t="s">
        <v>60</v>
      </c>
      <c r="BH483" t="s">
        <v>61</v>
      </c>
      <c r="BI483" t="s">
        <v>72</v>
      </c>
      <c r="BJ483" t="s">
        <v>63</v>
      </c>
      <c r="BK483">
        <v>2008</v>
      </c>
      <c r="BL483">
        <v>0</v>
      </c>
      <c r="BR483">
        <f>B483-BS483</f>
        <v>505</v>
      </c>
      <c r="BS483">
        <v>152</v>
      </c>
      <c r="BT483">
        <f t="shared" si="40"/>
        <v>1</v>
      </c>
    </row>
    <row r="484" spans="1:72" x14ac:dyDescent="0.2">
      <c r="A484" s="19" t="s">
        <v>568</v>
      </c>
      <c r="B484" s="1">
        <v>68</v>
      </c>
      <c r="C484">
        <v>1</v>
      </c>
      <c r="D484" t="s">
        <v>48</v>
      </c>
      <c r="E484" s="2">
        <v>27</v>
      </c>
      <c r="F484">
        <v>68</v>
      </c>
      <c r="G484">
        <v>68</v>
      </c>
      <c r="H484" s="2" t="s">
        <v>49</v>
      </c>
      <c r="I484" s="3">
        <v>27</v>
      </c>
      <c r="J484" t="s">
        <v>50</v>
      </c>
      <c r="Q484" t="s">
        <v>50</v>
      </c>
      <c r="AM484">
        <v>85</v>
      </c>
      <c r="AN484" t="s">
        <v>52</v>
      </c>
      <c r="AO484" t="s">
        <v>55</v>
      </c>
      <c r="AP484">
        <v>-31210</v>
      </c>
      <c r="AQ484">
        <v>0</v>
      </c>
      <c r="AR484" t="s">
        <v>54</v>
      </c>
      <c r="AS484" t="s">
        <v>55</v>
      </c>
      <c r="AT484" t="s">
        <v>55</v>
      </c>
      <c r="AU484" t="s">
        <v>85</v>
      </c>
      <c r="AV484">
        <v>2543</v>
      </c>
      <c r="AW484" t="s">
        <v>57</v>
      </c>
      <c r="AX484" t="s">
        <v>55</v>
      </c>
      <c r="AY484" t="s">
        <v>81</v>
      </c>
      <c r="AZ484" t="s">
        <v>49</v>
      </c>
      <c r="BA484" t="s">
        <v>55</v>
      </c>
      <c r="BB484" t="s">
        <v>49</v>
      </c>
      <c r="BC484" t="s">
        <v>115</v>
      </c>
      <c r="BD484" t="s">
        <v>49</v>
      </c>
      <c r="BE484" t="s">
        <v>55</v>
      </c>
      <c r="BF484">
        <v>36</v>
      </c>
      <c r="BG484" t="s">
        <v>60</v>
      </c>
      <c r="BH484" t="s">
        <v>82</v>
      </c>
      <c r="BI484" t="s">
        <v>62</v>
      </c>
      <c r="BJ484" t="s">
        <v>63</v>
      </c>
      <c r="BK484">
        <v>2008</v>
      </c>
      <c r="BT484">
        <f t="shared" si="40"/>
        <v>0</v>
      </c>
    </row>
    <row r="485" spans="1:72" x14ac:dyDescent="0.2">
      <c r="A485" s="19" t="s">
        <v>569</v>
      </c>
      <c r="B485" s="1">
        <v>638</v>
      </c>
      <c r="C485">
        <v>0</v>
      </c>
      <c r="D485" t="s">
        <v>68</v>
      </c>
      <c r="E485" s="2">
        <v>325</v>
      </c>
      <c r="F485" t="s">
        <v>49</v>
      </c>
      <c r="G485">
        <v>638</v>
      </c>
      <c r="H485" s="2" t="s">
        <v>49</v>
      </c>
      <c r="I485" s="3">
        <v>325</v>
      </c>
      <c r="J485" s="4">
        <v>302</v>
      </c>
      <c r="K485" s="4">
        <v>295</v>
      </c>
      <c r="Q485" s="4" t="s">
        <v>51</v>
      </c>
      <c r="R485" s="4" t="s">
        <v>51</v>
      </c>
      <c r="W485">
        <v>6</v>
      </c>
      <c r="X485">
        <v>12</v>
      </c>
      <c r="Y485" s="4">
        <f>J485+K485</f>
        <v>597</v>
      </c>
      <c r="Z485" s="4">
        <v>0</v>
      </c>
      <c r="AM485">
        <v>58</v>
      </c>
      <c r="AN485" t="s">
        <v>52</v>
      </c>
      <c r="AO485" t="s">
        <v>53</v>
      </c>
      <c r="AP485">
        <v>-21383</v>
      </c>
      <c r="AQ485">
        <v>0</v>
      </c>
      <c r="AR485" t="s">
        <v>54</v>
      </c>
      <c r="AS485" t="s">
        <v>55</v>
      </c>
      <c r="AT485" t="s">
        <v>55</v>
      </c>
      <c r="AU485" t="s">
        <v>56</v>
      </c>
      <c r="AV485">
        <v>2544</v>
      </c>
      <c r="AW485" t="s">
        <v>57</v>
      </c>
      <c r="AX485" t="s">
        <v>55</v>
      </c>
      <c r="AY485" t="s">
        <v>114</v>
      </c>
      <c r="AZ485" t="s">
        <v>49</v>
      </c>
      <c r="BA485" t="s">
        <v>55</v>
      </c>
      <c r="BB485" t="s">
        <v>49</v>
      </c>
      <c r="BC485" t="s">
        <v>115</v>
      </c>
      <c r="BD485" t="s">
        <v>66</v>
      </c>
      <c r="BE485" t="s">
        <v>55</v>
      </c>
      <c r="BF485">
        <v>36</v>
      </c>
      <c r="BG485" t="s">
        <v>60</v>
      </c>
      <c r="BH485" t="s">
        <v>82</v>
      </c>
      <c r="BI485" t="s">
        <v>62</v>
      </c>
      <c r="BJ485" t="s">
        <v>63</v>
      </c>
      <c r="BK485">
        <v>2008</v>
      </c>
      <c r="BL485">
        <v>1</v>
      </c>
      <c r="BM485">
        <v>0</v>
      </c>
      <c r="BR485">
        <f>I485-BS485</f>
        <v>197</v>
      </c>
      <c r="BS485">
        <v>128</v>
      </c>
      <c r="BT485">
        <f t="shared" si="40"/>
        <v>2</v>
      </c>
    </row>
    <row r="486" spans="1:72" x14ac:dyDescent="0.2">
      <c r="A486" s="19" t="s">
        <v>572</v>
      </c>
      <c r="B486" s="1">
        <v>557</v>
      </c>
      <c r="C486">
        <v>0</v>
      </c>
      <c r="D486" t="s">
        <v>68</v>
      </c>
      <c r="E486" s="2" t="s">
        <v>49</v>
      </c>
      <c r="F486" t="s">
        <v>49</v>
      </c>
      <c r="G486">
        <v>557</v>
      </c>
      <c r="H486" s="2" t="s">
        <v>49</v>
      </c>
      <c r="I486" s="3" t="s">
        <v>69</v>
      </c>
      <c r="J486" s="4">
        <v>538</v>
      </c>
      <c r="Q486" s="4" t="s">
        <v>51</v>
      </c>
      <c r="W486">
        <v>6</v>
      </c>
      <c r="X486">
        <v>12</v>
      </c>
      <c r="Y486" s="4">
        <f t="shared" ref="Y486:Y493" si="41">J486</f>
        <v>538</v>
      </c>
      <c r="Z486" s="4">
        <v>0</v>
      </c>
      <c r="AM486">
        <v>42</v>
      </c>
      <c r="AN486" t="s">
        <v>52</v>
      </c>
      <c r="AO486" t="s">
        <v>53</v>
      </c>
      <c r="AP486">
        <v>-15444</v>
      </c>
      <c r="AQ486">
        <v>0</v>
      </c>
      <c r="AR486" t="s">
        <v>54</v>
      </c>
      <c r="AS486" t="s">
        <v>55</v>
      </c>
      <c r="AT486" t="s">
        <v>55</v>
      </c>
      <c r="AU486" t="s">
        <v>56</v>
      </c>
      <c r="AV486">
        <v>2545</v>
      </c>
      <c r="AW486" t="s">
        <v>70</v>
      </c>
      <c r="AX486" t="s">
        <v>55</v>
      </c>
      <c r="AY486" t="s">
        <v>49</v>
      </c>
      <c r="AZ486" t="s">
        <v>49</v>
      </c>
      <c r="BA486" t="s">
        <v>55</v>
      </c>
      <c r="BB486" t="s">
        <v>49</v>
      </c>
      <c r="BC486" t="s">
        <v>482</v>
      </c>
      <c r="BD486" t="s">
        <v>49</v>
      </c>
      <c r="BE486" t="s">
        <v>55</v>
      </c>
      <c r="BF486">
        <v>36</v>
      </c>
      <c r="BG486" t="s">
        <v>60</v>
      </c>
      <c r="BH486" t="s">
        <v>71</v>
      </c>
      <c r="BI486" t="s">
        <v>131</v>
      </c>
      <c r="BJ486" t="s">
        <v>63</v>
      </c>
      <c r="BK486">
        <v>2008</v>
      </c>
      <c r="BL486">
        <v>0</v>
      </c>
      <c r="BR486">
        <f>B486-BS486</f>
        <v>412</v>
      </c>
      <c r="BS486">
        <v>145</v>
      </c>
      <c r="BT486">
        <f t="shared" si="40"/>
        <v>1</v>
      </c>
    </row>
    <row r="487" spans="1:72" x14ac:dyDescent="0.2">
      <c r="A487" s="19" t="s">
        <v>574</v>
      </c>
      <c r="B487" s="1">
        <v>624</v>
      </c>
      <c r="C487">
        <v>0</v>
      </c>
      <c r="D487" t="s">
        <v>68</v>
      </c>
      <c r="E487" s="2" t="s">
        <v>49</v>
      </c>
      <c r="F487" t="s">
        <v>49</v>
      </c>
      <c r="G487">
        <v>624</v>
      </c>
      <c r="H487" s="2" t="s">
        <v>49</v>
      </c>
      <c r="I487" s="3" t="s">
        <v>69</v>
      </c>
      <c r="J487" s="4">
        <v>582</v>
      </c>
      <c r="Q487" s="4" t="s">
        <v>51</v>
      </c>
      <c r="Y487" s="4">
        <f t="shared" si="41"/>
        <v>582</v>
      </c>
      <c r="Z487" s="4">
        <v>0</v>
      </c>
      <c r="AM487">
        <v>64</v>
      </c>
      <c r="AN487" t="s">
        <v>101</v>
      </c>
      <c r="AO487" t="s">
        <v>53</v>
      </c>
      <c r="AP487">
        <v>-23706</v>
      </c>
      <c r="AQ487">
        <v>0</v>
      </c>
      <c r="AR487" t="s">
        <v>54</v>
      </c>
      <c r="AS487" t="s">
        <v>55</v>
      </c>
      <c r="AT487" t="s">
        <v>55</v>
      </c>
      <c r="AU487" t="s">
        <v>56</v>
      </c>
      <c r="AV487">
        <v>2547</v>
      </c>
      <c r="AW487" t="s">
        <v>49</v>
      </c>
      <c r="AX487" t="s">
        <v>55</v>
      </c>
      <c r="AY487" t="s">
        <v>49</v>
      </c>
      <c r="AZ487" t="s">
        <v>49</v>
      </c>
      <c r="BA487" t="s">
        <v>55</v>
      </c>
      <c r="BB487" t="s">
        <v>49</v>
      </c>
      <c r="BC487" t="s">
        <v>482</v>
      </c>
      <c r="BD487" t="s">
        <v>49</v>
      </c>
      <c r="BE487" t="s">
        <v>55</v>
      </c>
      <c r="BF487">
        <v>36</v>
      </c>
      <c r="BG487" t="s">
        <v>60</v>
      </c>
      <c r="BH487" t="s">
        <v>71</v>
      </c>
      <c r="BI487" t="s">
        <v>62</v>
      </c>
      <c r="BJ487" t="s">
        <v>63</v>
      </c>
      <c r="BK487">
        <v>2008</v>
      </c>
      <c r="BL487">
        <v>0</v>
      </c>
      <c r="BR487">
        <f>B487-BS487</f>
        <v>456</v>
      </c>
      <c r="BS487">
        <v>168</v>
      </c>
      <c r="BT487">
        <f t="shared" si="40"/>
        <v>1</v>
      </c>
    </row>
    <row r="488" spans="1:72" x14ac:dyDescent="0.2">
      <c r="A488" s="19" t="s">
        <v>575</v>
      </c>
      <c r="B488" s="1">
        <v>431</v>
      </c>
      <c r="C488">
        <v>0</v>
      </c>
      <c r="D488" t="s">
        <v>68</v>
      </c>
      <c r="E488" s="2" t="s">
        <v>49</v>
      </c>
      <c r="F488" t="s">
        <v>49</v>
      </c>
      <c r="G488">
        <v>431</v>
      </c>
      <c r="H488" s="2">
        <v>395</v>
      </c>
      <c r="I488" s="3">
        <v>395</v>
      </c>
      <c r="J488" s="4">
        <v>337</v>
      </c>
      <c r="Q488" s="4" t="s">
        <v>51</v>
      </c>
      <c r="W488">
        <v>9</v>
      </c>
      <c r="X488">
        <v>18</v>
      </c>
      <c r="Y488" s="4">
        <f t="shared" si="41"/>
        <v>337</v>
      </c>
      <c r="Z488" s="4">
        <v>0</v>
      </c>
      <c r="AM488">
        <v>57</v>
      </c>
      <c r="AN488" t="s">
        <v>126</v>
      </c>
      <c r="AO488" t="s">
        <v>53</v>
      </c>
      <c r="AP488">
        <v>-20897</v>
      </c>
      <c r="AQ488">
        <v>0</v>
      </c>
      <c r="AR488" t="s">
        <v>54</v>
      </c>
      <c r="AS488" t="s">
        <v>55</v>
      </c>
      <c r="AT488" t="s">
        <v>55</v>
      </c>
      <c r="AU488" t="s">
        <v>576</v>
      </c>
      <c r="AV488">
        <v>2548</v>
      </c>
      <c r="AW488" t="s">
        <v>57</v>
      </c>
      <c r="AX488" t="s">
        <v>55</v>
      </c>
      <c r="AY488" t="s">
        <v>49</v>
      </c>
      <c r="AZ488" t="s">
        <v>49</v>
      </c>
      <c r="BA488" t="s">
        <v>55</v>
      </c>
      <c r="BB488" t="s">
        <v>49</v>
      </c>
      <c r="BC488" t="s">
        <v>115</v>
      </c>
      <c r="BD488" t="s">
        <v>66</v>
      </c>
      <c r="BE488" t="s">
        <v>55</v>
      </c>
      <c r="BF488">
        <v>36</v>
      </c>
      <c r="BG488" t="s">
        <v>60</v>
      </c>
      <c r="BH488" t="s">
        <v>82</v>
      </c>
      <c r="BI488" t="s">
        <v>62</v>
      </c>
      <c r="BJ488" t="s">
        <v>63</v>
      </c>
      <c r="BK488">
        <v>2008</v>
      </c>
      <c r="BL488">
        <v>1</v>
      </c>
      <c r="BR488">
        <f>I488-BS488</f>
        <v>128</v>
      </c>
      <c r="BS488">
        <v>267</v>
      </c>
      <c r="BT488">
        <f t="shared" si="40"/>
        <v>1</v>
      </c>
    </row>
    <row r="489" spans="1:72" x14ac:dyDescent="0.2">
      <c r="A489" s="19" t="s">
        <v>684</v>
      </c>
      <c r="B489" s="1">
        <v>184</v>
      </c>
      <c r="C489">
        <v>0</v>
      </c>
      <c r="D489" s="8" t="s">
        <v>68</v>
      </c>
      <c r="E489" s="12" t="s">
        <v>49</v>
      </c>
      <c r="F489" s="8" t="s">
        <v>49</v>
      </c>
      <c r="G489" s="8">
        <v>184</v>
      </c>
      <c r="H489" s="12" t="s">
        <v>49</v>
      </c>
      <c r="I489" s="3" t="s">
        <v>69</v>
      </c>
      <c r="J489" s="4">
        <v>143</v>
      </c>
      <c r="K489" s="8"/>
      <c r="L489" s="8"/>
      <c r="M489" s="8"/>
      <c r="N489" s="8"/>
      <c r="O489" s="8"/>
      <c r="P489" s="8"/>
      <c r="Q489" s="4" t="s">
        <v>51</v>
      </c>
      <c r="R489" s="8"/>
      <c r="S489" s="8"/>
      <c r="T489" s="8"/>
      <c r="U489" s="8"/>
      <c r="V489" s="8"/>
      <c r="W489" s="8">
        <v>6</v>
      </c>
      <c r="X489" s="8">
        <v>12</v>
      </c>
      <c r="Y489" s="4">
        <f t="shared" si="41"/>
        <v>143</v>
      </c>
      <c r="Z489" s="4">
        <v>0</v>
      </c>
      <c r="AA489" s="8"/>
      <c r="AB489" s="8"/>
      <c r="AC489" s="8"/>
      <c r="AD489" s="8"/>
      <c r="AE489" s="8"/>
      <c r="AF489" s="8"/>
      <c r="AG489" s="8"/>
      <c r="AH489" s="8"/>
      <c r="AI489" s="8"/>
      <c r="AJ489" s="8"/>
      <c r="AK489" s="8"/>
      <c r="AL489" s="8"/>
      <c r="AM489" s="8">
        <v>54</v>
      </c>
      <c r="AN489" s="8" t="s">
        <v>52</v>
      </c>
      <c r="AO489" s="8" t="s">
        <v>53</v>
      </c>
      <c r="AP489" s="8">
        <v>-20075</v>
      </c>
      <c r="AQ489" s="8">
        <v>0</v>
      </c>
      <c r="AR489" s="8" t="s">
        <v>54</v>
      </c>
      <c r="AS489" s="8" t="s">
        <v>55</v>
      </c>
      <c r="AT489" s="8" t="s">
        <v>55</v>
      </c>
      <c r="AU489" s="8" t="s">
        <v>56</v>
      </c>
      <c r="AV489" s="8">
        <v>2549</v>
      </c>
      <c r="AW489" s="8" t="s">
        <v>70</v>
      </c>
      <c r="AX489" s="8" t="s">
        <v>55</v>
      </c>
      <c r="AY489" s="8" t="s">
        <v>49</v>
      </c>
      <c r="AZ489" s="8" t="s">
        <v>49</v>
      </c>
      <c r="BA489" s="8" t="s">
        <v>55</v>
      </c>
      <c r="BB489" s="8" t="s">
        <v>49</v>
      </c>
      <c r="BC489" s="8" t="s">
        <v>482</v>
      </c>
      <c r="BD489" s="8" t="s">
        <v>49</v>
      </c>
      <c r="BE489" s="8" t="s">
        <v>55</v>
      </c>
      <c r="BF489" s="8">
        <v>36</v>
      </c>
      <c r="BG489" s="8" t="s">
        <v>60</v>
      </c>
      <c r="BH489" s="8" t="s">
        <v>71</v>
      </c>
      <c r="BI489" s="8" t="s">
        <v>521</v>
      </c>
      <c r="BJ489" s="8" t="s">
        <v>63</v>
      </c>
      <c r="BK489" s="8">
        <v>2008</v>
      </c>
      <c r="BL489">
        <v>0</v>
      </c>
      <c r="BR489">
        <f>B489-BS489</f>
        <v>3</v>
      </c>
      <c r="BS489">
        <v>181</v>
      </c>
      <c r="BT489">
        <f t="shared" si="40"/>
        <v>1</v>
      </c>
    </row>
    <row r="490" spans="1:72" x14ac:dyDescent="0.2">
      <c r="A490" s="19" t="s">
        <v>588</v>
      </c>
      <c r="B490" s="1">
        <v>491</v>
      </c>
      <c r="C490">
        <v>0</v>
      </c>
      <c r="D490" t="s">
        <v>68</v>
      </c>
      <c r="E490" s="2" t="s">
        <v>49</v>
      </c>
      <c r="F490" t="s">
        <v>49</v>
      </c>
      <c r="G490">
        <v>491</v>
      </c>
      <c r="H490" s="2">
        <v>338</v>
      </c>
      <c r="I490" s="3">
        <v>338</v>
      </c>
      <c r="J490" s="4">
        <f>338-16</f>
        <v>322</v>
      </c>
      <c r="K490">
        <v>145</v>
      </c>
      <c r="Q490" s="4" t="s">
        <v>51</v>
      </c>
      <c r="R490" t="s">
        <v>255</v>
      </c>
      <c r="W490" s="8">
        <v>8</v>
      </c>
      <c r="X490" s="8">
        <v>14</v>
      </c>
      <c r="Y490" s="4">
        <f t="shared" si="41"/>
        <v>322</v>
      </c>
      <c r="Z490" s="4">
        <v>1</v>
      </c>
      <c r="AM490">
        <v>57</v>
      </c>
      <c r="AN490" t="s">
        <v>52</v>
      </c>
      <c r="AO490" t="s">
        <v>53</v>
      </c>
      <c r="AP490">
        <v>-21045</v>
      </c>
      <c r="AQ490">
        <v>0</v>
      </c>
      <c r="AR490" t="s">
        <v>54</v>
      </c>
      <c r="AS490" t="s">
        <v>55</v>
      </c>
      <c r="AT490" t="s">
        <v>55</v>
      </c>
      <c r="AU490" t="s">
        <v>85</v>
      </c>
      <c r="AV490">
        <v>2551</v>
      </c>
      <c r="AW490" t="s">
        <v>57</v>
      </c>
      <c r="AX490" t="s">
        <v>55</v>
      </c>
      <c r="AY490" t="s">
        <v>58</v>
      </c>
      <c r="AZ490" t="s">
        <v>59</v>
      </c>
      <c r="BA490" t="s">
        <v>55</v>
      </c>
      <c r="BB490" t="s">
        <v>49</v>
      </c>
      <c r="BC490" t="s">
        <v>115</v>
      </c>
      <c r="BD490" t="s">
        <v>66</v>
      </c>
      <c r="BE490" t="s">
        <v>55</v>
      </c>
      <c r="BF490">
        <v>36</v>
      </c>
      <c r="BG490" t="s">
        <v>60</v>
      </c>
      <c r="BH490" t="s">
        <v>82</v>
      </c>
      <c r="BI490" t="s">
        <v>62</v>
      </c>
      <c r="BJ490" t="s">
        <v>63</v>
      </c>
      <c r="BK490">
        <v>2009</v>
      </c>
      <c r="BL490">
        <v>1</v>
      </c>
      <c r="BM490">
        <v>0</v>
      </c>
      <c r="BR490">
        <f>I490-BS490</f>
        <v>141</v>
      </c>
      <c r="BS490">
        <v>197</v>
      </c>
      <c r="BT490">
        <f t="shared" si="40"/>
        <v>2</v>
      </c>
    </row>
    <row r="491" spans="1:72" x14ac:dyDescent="0.2">
      <c r="A491" s="19" t="s">
        <v>685</v>
      </c>
      <c r="B491" s="1">
        <v>349</v>
      </c>
      <c r="C491">
        <v>0</v>
      </c>
      <c r="D491" s="8" t="s">
        <v>68</v>
      </c>
      <c r="E491" s="12" t="s">
        <v>49</v>
      </c>
      <c r="F491" s="8" t="s">
        <v>49</v>
      </c>
      <c r="G491" s="8">
        <v>349</v>
      </c>
      <c r="H491" s="12" t="s">
        <v>49</v>
      </c>
      <c r="I491" s="3" t="s">
        <v>69</v>
      </c>
      <c r="J491" s="4">
        <v>334</v>
      </c>
      <c r="K491" s="8"/>
      <c r="L491" s="8"/>
      <c r="M491" s="8"/>
      <c r="N491" s="8"/>
      <c r="O491" s="8"/>
      <c r="P491" s="8"/>
      <c r="Q491" s="4" t="s">
        <v>51</v>
      </c>
      <c r="R491" s="8"/>
      <c r="S491" s="8"/>
      <c r="T491" s="8"/>
      <c r="U491" s="8"/>
      <c r="V491" s="8"/>
      <c r="W491" s="8">
        <v>6</v>
      </c>
      <c r="X491" s="8">
        <v>12</v>
      </c>
      <c r="Y491" s="4">
        <f t="shared" si="41"/>
        <v>334</v>
      </c>
      <c r="Z491" s="4">
        <v>0</v>
      </c>
      <c r="AA491" s="8"/>
      <c r="AB491" s="8"/>
      <c r="AC491" s="8"/>
      <c r="AD491" s="8"/>
      <c r="AE491" s="8"/>
      <c r="AF491" s="8"/>
      <c r="AG491" s="8"/>
      <c r="AH491" s="8"/>
      <c r="AI491" s="8"/>
      <c r="AJ491" s="8"/>
      <c r="AK491" s="8"/>
      <c r="AL491" s="8"/>
      <c r="AM491" s="8">
        <v>64</v>
      </c>
      <c r="AN491" s="8" t="s">
        <v>52</v>
      </c>
      <c r="AO491" s="8" t="s">
        <v>53</v>
      </c>
      <c r="AP491" s="8">
        <v>-23379</v>
      </c>
      <c r="AQ491" s="8">
        <v>0</v>
      </c>
      <c r="AR491" s="8" t="s">
        <v>54</v>
      </c>
      <c r="AS491" s="8" t="s">
        <v>55</v>
      </c>
      <c r="AT491" s="8" t="s">
        <v>55</v>
      </c>
      <c r="AU491" s="8" t="s">
        <v>56</v>
      </c>
      <c r="AV491" s="8">
        <v>2552</v>
      </c>
      <c r="AW491" s="8" t="s">
        <v>70</v>
      </c>
      <c r="AX491" s="8" t="s">
        <v>55</v>
      </c>
      <c r="AY491" s="8" t="s">
        <v>49</v>
      </c>
      <c r="AZ491" s="8" t="s">
        <v>49</v>
      </c>
      <c r="BA491" s="8" t="s">
        <v>55</v>
      </c>
      <c r="BB491" s="8" t="s">
        <v>49</v>
      </c>
      <c r="BC491" s="8" t="s">
        <v>482</v>
      </c>
      <c r="BD491" s="8" t="s">
        <v>49</v>
      </c>
      <c r="BE491" s="8" t="s">
        <v>55</v>
      </c>
      <c r="BF491" s="8">
        <v>36</v>
      </c>
      <c r="BG491" s="8" t="s">
        <v>60</v>
      </c>
      <c r="BH491" s="8" t="s">
        <v>71</v>
      </c>
      <c r="BI491" s="8" t="s">
        <v>521</v>
      </c>
      <c r="BJ491" s="8" t="s">
        <v>63</v>
      </c>
      <c r="BK491" s="8">
        <v>2009</v>
      </c>
      <c r="BL491">
        <v>0</v>
      </c>
      <c r="BR491">
        <f>B491-BS491</f>
        <v>228</v>
      </c>
      <c r="BS491">
        <v>121</v>
      </c>
      <c r="BT491">
        <f t="shared" si="40"/>
        <v>1</v>
      </c>
    </row>
    <row r="492" spans="1:72" x14ac:dyDescent="0.2">
      <c r="A492" s="19" t="s">
        <v>589</v>
      </c>
      <c r="B492" s="1">
        <v>435</v>
      </c>
      <c r="C492">
        <v>0</v>
      </c>
      <c r="D492" t="s">
        <v>68</v>
      </c>
      <c r="E492" s="2" t="s">
        <v>49</v>
      </c>
      <c r="F492" t="s">
        <v>49</v>
      </c>
      <c r="G492">
        <v>435</v>
      </c>
      <c r="H492" s="2" t="s">
        <v>49</v>
      </c>
      <c r="I492" s="3" t="s">
        <v>69</v>
      </c>
      <c r="J492" s="4">
        <v>399</v>
      </c>
      <c r="Q492" s="4" t="s">
        <v>51</v>
      </c>
      <c r="W492" s="8">
        <v>14</v>
      </c>
      <c r="X492" s="8">
        <v>21</v>
      </c>
      <c r="Y492" s="4">
        <f t="shared" si="41"/>
        <v>399</v>
      </c>
      <c r="Z492" s="4">
        <v>0</v>
      </c>
      <c r="AM492">
        <v>49</v>
      </c>
      <c r="AN492" t="s">
        <v>52</v>
      </c>
      <c r="AO492" t="s">
        <v>53</v>
      </c>
      <c r="AP492">
        <v>-17960</v>
      </c>
      <c r="AQ492">
        <v>0</v>
      </c>
      <c r="AR492" t="s">
        <v>54</v>
      </c>
      <c r="AS492" t="s">
        <v>55</v>
      </c>
      <c r="AT492" t="s">
        <v>55</v>
      </c>
      <c r="AU492" t="s">
        <v>85</v>
      </c>
      <c r="AV492">
        <v>2582</v>
      </c>
      <c r="AW492" t="s">
        <v>57</v>
      </c>
      <c r="AX492" t="s">
        <v>55</v>
      </c>
      <c r="AY492" t="s">
        <v>92</v>
      </c>
      <c r="AZ492" t="s">
        <v>59</v>
      </c>
      <c r="BA492" t="s">
        <v>55</v>
      </c>
      <c r="BB492" t="s">
        <v>49</v>
      </c>
      <c r="BC492" t="s">
        <v>482</v>
      </c>
      <c r="BD492" t="s">
        <v>49</v>
      </c>
      <c r="BE492" t="s">
        <v>55</v>
      </c>
      <c r="BF492">
        <v>42</v>
      </c>
      <c r="BG492" t="s">
        <v>60</v>
      </c>
      <c r="BH492" t="s">
        <v>71</v>
      </c>
      <c r="BI492" t="s">
        <v>62</v>
      </c>
      <c r="BJ492" t="s">
        <v>63</v>
      </c>
      <c r="BK492">
        <v>2009</v>
      </c>
      <c r="BL492">
        <v>0</v>
      </c>
      <c r="BR492">
        <f>B492-BS492</f>
        <v>250</v>
      </c>
      <c r="BS492">
        <v>185</v>
      </c>
      <c r="BT492">
        <f t="shared" si="40"/>
        <v>1</v>
      </c>
    </row>
    <row r="493" spans="1:72" x14ac:dyDescent="0.2">
      <c r="A493" s="19" t="s">
        <v>594</v>
      </c>
      <c r="B493" s="1">
        <v>276</v>
      </c>
      <c r="C493">
        <v>0</v>
      </c>
      <c r="D493" t="s">
        <v>68</v>
      </c>
      <c r="E493" s="2" t="s">
        <v>49</v>
      </c>
      <c r="F493" t="s">
        <v>49</v>
      </c>
      <c r="G493">
        <v>276</v>
      </c>
      <c r="H493" s="2" t="s">
        <v>49</v>
      </c>
      <c r="I493" s="3" t="s">
        <v>69</v>
      </c>
      <c r="J493" s="4">
        <v>259</v>
      </c>
      <c r="Q493" s="4" t="s">
        <v>51</v>
      </c>
      <c r="W493" s="8">
        <v>8</v>
      </c>
      <c r="X493" s="8">
        <v>16</v>
      </c>
      <c r="Y493" s="4">
        <f t="shared" si="41"/>
        <v>259</v>
      </c>
      <c r="Z493" s="4">
        <v>0</v>
      </c>
      <c r="AM493">
        <v>75</v>
      </c>
      <c r="AN493" t="s">
        <v>52</v>
      </c>
      <c r="AO493" t="s">
        <v>53</v>
      </c>
      <c r="AP493">
        <v>-27509</v>
      </c>
      <c r="AQ493">
        <v>0</v>
      </c>
      <c r="AR493" t="s">
        <v>54</v>
      </c>
      <c r="AS493" t="s">
        <v>55</v>
      </c>
      <c r="AT493" t="s">
        <v>55</v>
      </c>
      <c r="AU493" t="s">
        <v>56</v>
      </c>
      <c r="AV493">
        <v>2587</v>
      </c>
      <c r="AW493" t="s">
        <v>70</v>
      </c>
      <c r="AX493" t="s">
        <v>55</v>
      </c>
      <c r="AY493" t="s">
        <v>58</v>
      </c>
      <c r="AZ493" t="s">
        <v>59</v>
      </c>
      <c r="BA493" t="s">
        <v>55</v>
      </c>
      <c r="BB493" t="s">
        <v>49</v>
      </c>
      <c r="BC493" t="s">
        <v>115</v>
      </c>
      <c r="BD493" t="s">
        <v>49</v>
      </c>
      <c r="BE493" t="s">
        <v>55</v>
      </c>
      <c r="BF493">
        <v>42</v>
      </c>
      <c r="BG493" t="s">
        <v>60</v>
      </c>
      <c r="BH493" t="s">
        <v>82</v>
      </c>
      <c r="BI493" t="s">
        <v>62</v>
      </c>
      <c r="BJ493" t="s">
        <v>63</v>
      </c>
      <c r="BK493">
        <v>2009</v>
      </c>
      <c r="BL493">
        <v>0</v>
      </c>
      <c r="BR493">
        <f>B493-BS493</f>
        <v>21</v>
      </c>
      <c r="BS493">
        <v>255</v>
      </c>
      <c r="BT493">
        <f t="shared" si="40"/>
        <v>1</v>
      </c>
    </row>
    <row r="494" spans="1:72" x14ac:dyDescent="0.2">
      <c r="A494" s="19" t="s">
        <v>595</v>
      </c>
      <c r="B494" s="1">
        <v>287</v>
      </c>
      <c r="C494">
        <v>0</v>
      </c>
      <c r="D494" t="s">
        <v>68</v>
      </c>
      <c r="E494" s="2">
        <v>112</v>
      </c>
      <c r="F494" t="s">
        <v>49</v>
      </c>
      <c r="G494">
        <v>287</v>
      </c>
      <c r="H494" s="2" t="s">
        <v>49</v>
      </c>
      <c r="I494" s="3">
        <v>112</v>
      </c>
      <c r="J494" s="4">
        <v>90</v>
      </c>
      <c r="K494" s="4">
        <v>126</v>
      </c>
      <c r="Q494" s="4" t="s">
        <v>51</v>
      </c>
      <c r="R494" s="4" t="s">
        <v>51</v>
      </c>
      <c r="W494" s="8">
        <v>5</v>
      </c>
      <c r="X494" s="8">
        <v>7</v>
      </c>
      <c r="Y494" s="4">
        <f>J494+K494</f>
        <v>216</v>
      </c>
      <c r="Z494" s="4">
        <v>0</v>
      </c>
      <c r="AM494">
        <v>61</v>
      </c>
      <c r="AN494" t="s">
        <v>52</v>
      </c>
      <c r="AO494" t="s">
        <v>53</v>
      </c>
      <c r="AP494">
        <v>-22377</v>
      </c>
      <c r="AQ494">
        <v>0</v>
      </c>
      <c r="AR494" t="s">
        <v>54</v>
      </c>
      <c r="AS494" t="s">
        <v>55</v>
      </c>
      <c r="AT494" t="s">
        <v>55</v>
      </c>
      <c r="AU494" t="s">
        <v>85</v>
      </c>
      <c r="AV494">
        <v>2588</v>
      </c>
      <c r="AW494" t="s">
        <v>57</v>
      </c>
      <c r="AX494" t="s">
        <v>55</v>
      </c>
      <c r="AY494" t="s">
        <v>81</v>
      </c>
      <c r="AZ494" t="s">
        <v>59</v>
      </c>
      <c r="BA494" t="s">
        <v>55</v>
      </c>
      <c r="BB494" t="s">
        <v>49</v>
      </c>
      <c r="BC494" t="s">
        <v>115</v>
      </c>
      <c r="BD494" t="s">
        <v>49</v>
      </c>
      <c r="BE494" t="s">
        <v>55</v>
      </c>
      <c r="BF494">
        <v>42</v>
      </c>
      <c r="BG494" t="s">
        <v>60</v>
      </c>
      <c r="BH494" t="s">
        <v>82</v>
      </c>
      <c r="BI494" t="s">
        <v>83</v>
      </c>
      <c r="BJ494" t="s">
        <v>63</v>
      </c>
      <c r="BK494">
        <v>2009</v>
      </c>
      <c r="BL494">
        <v>1</v>
      </c>
      <c r="BM494">
        <v>0</v>
      </c>
      <c r="BR494">
        <f>I494-BS494</f>
        <v>22</v>
      </c>
      <c r="BS494">
        <v>90</v>
      </c>
      <c r="BT494">
        <f t="shared" si="40"/>
        <v>2</v>
      </c>
    </row>
    <row r="495" spans="1:72" x14ac:dyDescent="0.2">
      <c r="A495" s="19" t="s">
        <v>596</v>
      </c>
      <c r="B495" s="1">
        <v>230</v>
      </c>
      <c r="C495">
        <v>0</v>
      </c>
      <c r="D495" t="s">
        <v>68</v>
      </c>
      <c r="E495" s="2" t="s">
        <v>49</v>
      </c>
      <c r="F495" t="s">
        <v>49</v>
      </c>
      <c r="G495">
        <v>230</v>
      </c>
      <c r="H495" s="2" t="s">
        <v>49</v>
      </c>
      <c r="I495" s="3" t="s">
        <v>69</v>
      </c>
      <c r="J495" s="4">
        <v>209</v>
      </c>
      <c r="Q495" s="4" t="s">
        <v>51</v>
      </c>
      <c r="W495" s="8">
        <v>6</v>
      </c>
      <c r="X495" s="8">
        <v>12</v>
      </c>
      <c r="Y495" s="4">
        <f>J495</f>
        <v>209</v>
      </c>
      <c r="Z495" s="4">
        <v>0</v>
      </c>
      <c r="AM495">
        <v>54</v>
      </c>
      <c r="AN495" t="s">
        <v>52</v>
      </c>
      <c r="AO495" t="s">
        <v>53</v>
      </c>
      <c r="AP495">
        <v>-19852</v>
      </c>
      <c r="AQ495">
        <v>0</v>
      </c>
      <c r="AR495" t="s">
        <v>54</v>
      </c>
      <c r="AS495" t="s">
        <v>55</v>
      </c>
      <c r="AT495" t="s">
        <v>55</v>
      </c>
      <c r="AU495" t="s">
        <v>161</v>
      </c>
      <c r="AV495">
        <v>2589</v>
      </c>
      <c r="AW495" t="s">
        <v>70</v>
      </c>
      <c r="AX495" t="s">
        <v>55</v>
      </c>
      <c r="AY495" t="s">
        <v>58</v>
      </c>
      <c r="AZ495" t="s">
        <v>59</v>
      </c>
      <c r="BA495" t="s">
        <v>55</v>
      </c>
      <c r="BB495" t="s">
        <v>49</v>
      </c>
      <c r="BC495" t="s">
        <v>482</v>
      </c>
      <c r="BD495" t="s">
        <v>49</v>
      </c>
      <c r="BE495" t="s">
        <v>55</v>
      </c>
      <c r="BF495">
        <v>42</v>
      </c>
      <c r="BG495" t="s">
        <v>60</v>
      </c>
      <c r="BH495" t="s">
        <v>61</v>
      </c>
      <c r="BI495" t="s">
        <v>62</v>
      </c>
      <c r="BJ495" t="s">
        <v>63</v>
      </c>
      <c r="BK495">
        <v>2009</v>
      </c>
      <c r="BL495">
        <v>0</v>
      </c>
      <c r="BR495">
        <f>B495-BS495</f>
        <v>104</v>
      </c>
      <c r="BS495">
        <v>126</v>
      </c>
      <c r="BT495">
        <f t="shared" si="40"/>
        <v>1</v>
      </c>
    </row>
    <row r="496" spans="1:72" x14ac:dyDescent="0.2">
      <c r="A496" s="19" t="s">
        <v>686</v>
      </c>
      <c r="B496" s="1">
        <v>227</v>
      </c>
      <c r="C496">
        <v>0</v>
      </c>
      <c r="D496" s="8" t="s">
        <v>68</v>
      </c>
      <c r="E496" s="12">
        <v>226</v>
      </c>
      <c r="F496" s="8" t="s">
        <v>49</v>
      </c>
      <c r="G496" s="8">
        <v>227</v>
      </c>
      <c r="H496" s="12" t="s">
        <v>49</v>
      </c>
      <c r="I496" s="3">
        <v>226</v>
      </c>
      <c r="J496" s="21">
        <v>196</v>
      </c>
      <c r="K496" s="8"/>
      <c r="L496" s="8"/>
      <c r="M496" s="8"/>
      <c r="N496" s="8"/>
      <c r="O496" s="8"/>
      <c r="P496" s="8"/>
      <c r="Q496" s="21" t="s">
        <v>87</v>
      </c>
      <c r="R496" s="8"/>
      <c r="S496" s="8"/>
      <c r="T496" s="8"/>
      <c r="U496" s="8"/>
      <c r="V496" s="8"/>
      <c r="W496" s="8">
        <v>5</v>
      </c>
      <c r="X496" s="8">
        <v>10</v>
      </c>
      <c r="Y496" s="8"/>
      <c r="Z496" s="8"/>
      <c r="AA496" s="8"/>
      <c r="AB496" s="8"/>
      <c r="AC496" s="8"/>
      <c r="AD496" s="8"/>
      <c r="AE496" s="8"/>
      <c r="AF496" s="8"/>
      <c r="AG496" s="8"/>
      <c r="AH496" s="8"/>
      <c r="AI496" s="8"/>
      <c r="AJ496" s="8"/>
      <c r="AK496" s="21">
        <f>J496</f>
        <v>196</v>
      </c>
      <c r="AL496" s="21">
        <v>1</v>
      </c>
      <c r="AM496" s="8">
        <v>57</v>
      </c>
      <c r="AN496" s="8" t="s">
        <v>52</v>
      </c>
      <c r="AO496" s="8" t="s">
        <v>53</v>
      </c>
      <c r="AP496" s="8">
        <v>-20964</v>
      </c>
      <c r="AQ496" s="8">
        <v>0</v>
      </c>
      <c r="AR496" s="8" t="s">
        <v>54</v>
      </c>
      <c r="AS496" s="8" t="s">
        <v>55</v>
      </c>
      <c r="AT496" s="8" t="s">
        <v>55</v>
      </c>
      <c r="AU496" s="8" t="s">
        <v>85</v>
      </c>
      <c r="AV496" s="8">
        <v>2590</v>
      </c>
      <c r="AW496" s="8" t="s">
        <v>57</v>
      </c>
      <c r="AX496" s="8" t="s">
        <v>55</v>
      </c>
      <c r="AY496" s="8" t="s">
        <v>81</v>
      </c>
      <c r="AZ496" s="8" t="s">
        <v>59</v>
      </c>
      <c r="BA496" s="8" t="s">
        <v>55</v>
      </c>
      <c r="BB496" s="8" t="s">
        <v>49</v>
      </c>
      <c r="BC496" s="8" t="s">
        <v>115</v>
      </c>
      <c r="BD496" s="8" t="s">
        <v>49</v>
      </c>
      <c r="BE496" s="8" t="s">
        <v>55</v>
      </c>
      <c r="BF496" s="8">
        <v>42</v>
      </c>
      <c r="BG496" s="8" t="s">
        <v>511</v>
      </c>
      <c r="BH496" s="8" t="s">
        <v>82</v>
      </c>
      <c r="BI496" s="8" t="s">
        <v>83</v>
      </c>
      <c r="BJ496" s="8" t="s">
        <v>63</v>
      </c>
      <c r="BK496" s="8">
        <v>2009</v>
      </c>
      <c r="BL496">
        <v>1</v>
      </c>
      <c r="BR496">
        <f>I496-BS496</f>
        <v>90</v>
      </c>
      <c r="BS496">
        <v>136</v>
      </c>
      <c r="BT496">
        <f t="shared" si="40"/>
        <v>1</v>
      </c>
    </row>
    <row r="497" spans="1:72" x14ac:dyDescent="0.2">
      <c r="A497" s="19" t="s">
        <v>687</v>
      </c>
      <c r="B497" s="1">
        <v>232</v>
      </c>
      <c r="C497">
        <v>0</v>
      </c>
      <c r="D497" s="8" t="s">
        <v>68</v>
      </c>
      <c r="E497" s="12" t="s">
        <v>49</v>
      </c>
      <c r="F497" s="8" t="s">
        <v>49</v>
      </c>
      <c r="G497" s="8">
        <v>232</v>
      </c>
      <c r="H497" s="12" t="s">
        <v>49</v>
      </c>
      <c r="I497" s="3" t="s">
        <v>69</v>
      </c>
      <c r="J497" s="4">
        <v>209</v>
      </c>
      <c r="K497" s="8"/>
      <c r="L497" s="8"/>
      <c r="M497" s="8"/>
      <c r="N497" s="8"/>
      <c r="O497" s="8"/>
      <c r="P497" s="8"/>
      <c r="Q497" s="4" t="s">
        <v>51</v>
      </c>
      <c r="R497" s="8"/>
      <c r="S497" s="8"/>
      <c r="T497" s="8"/>
      <c r="U497" s="8"/>
      <c r="V497" s="8"/>
      <c r="W497" s="8">
        <v>8</v>
      </c>
      <c r="X497" s="8">
        <v>16</v>
      </c>
      <c r="Y497" s="4">
        <f>J497</f>
        <v>209</v>
      </c>
      <c r="Z497" s="4">
        <v>0</v>
      </c>
      <c r="AA497" s="8"/>
      <c r="AB497" s="8"/>
      <c r="AC497" s="8"/>
      <c r="AD497" s="8"/>
      <c r="AE497" s="8"/>
      <c r="AF497" s="8"/>
      <c r="AG497" s="8"/>
      <c r="AH497" s="8"/>
      <c r="AI497" s="8"/>
      <c r="AJ497" s="8"/>
      <c r="AK497" s="8"/>
      <c r="AL497" s="8"/>
      <c r="AM497" s="8">
        <v>57</v>
      </c>
      <c r="AN497" s="8" t="s">
        <v>52</v>
      </c>
      <c r="AO497" s="8" t="s">
        <v>53</v>
      </c>
      <c r="AP497" s="8">
        <v>-20845</v>
      </c>
      <c r="AQ497" s="8">
        <v>0</v>
      </c>
      <c r="AR497" s="8" t="s">
        <v>54</v>
      </c>
      <c r="AS497" s="8" t="s">
        <v>55</v>
      </c>
      <c r="AT497" s="8" t="s">
        <v>55</v>
      </c>
      <c r="AU497" s="8" t="s">
        <v>56</v>
      </c>
      <c r="AV497" s="8">
        <v>2591</v>
      </c>
      <c r="AW497" s="8" t="s">
        <v>70</v>
      </c>
      <c r="AX497" s="8" t="s">
        <v>55</v>
      </c>
      <c r="AY497" s="8" t="s">
        <v>58</v>
      </c>
      <c r="AZ497" s="8" t="s">
        <v>59</v>
      </c>
      <c r="BA497" s="8" t="s">
        <v>55</v>
      </c>
      <c r="BB497" s="8" t="s">
        <v>49</v>
      </c>
      <c r="BC497" s="8" t="s">
        <v>49</v>
      </c>
      <c r="BD497" s="8" t="s">
        <v>49</v>
      </c>
      <c r="BE497" s="8" t="s">
        <v>55</v>
      </c>
      <c r="BF497" s="8">
        <v>42</v>
      </c>
      <c r="BG497" s="8" t="s">
        <v>571</v>
      </c>
      <c r="BH497" s="8" t="s">
        <v>71</v>
      </c>
      <c r="BI497" s="8" t="s">
        <v>62</v>
      </c>
      <c r="BJ497" s="8" t="s">
        <v>63</v>
      </c>
      <c r="BK497" s="8">
        <v>2009</v>
      </c>
      <c r="BL497">
        <v>0</v>
      </c>
      <c r="BR497">
        <f>B497-BS497</f>
        <v>28</v>
      </c>
      <c r="BS497">
        <v>204</v>
      </c>
      <c r="BT497">
        <f t="shared" si="40"/>
        <v>1</v>
      </c>
    </row>
    <row r="498" spans="1:72" x14ac:dyDescent="0.2">
      <c r="A498" s="19" t="s">
        <v>688</v>
      </c>
      <c r="B498" s="1" t="s">
        <v>49</v>
      </c>
      <c r="C498">
        <v>0</v>
      </c>
      <c r="D498" s="8" t="s">
        <v>49</v>
      </c>
      <c r="E498" s="12" t="s">
        <v>49</v>
      </c>
      <c r="F498" s="8" t="s">
        <v>49</v>
      </c>
      <c r="G498" s="8" t="s">
        <v>49</v>
      </c>
      <c r="H498" s="12" t="s">
        <v>49</v>
      </c>
      <c r="I498" s="3" t="s">
        <v>50</v>
      </c>
      <c r="J498" s="12" t="s">
        <v>50</v>
      </c>
      <c r="K498" s="8"/>
      <c r="L498" s="8"/>
      <c r="M498" s="8"/>
      <c r="N498" s="8"/>
      <c r="O498" s="8"/>
      <c r="P498" s="8"/>
      <c r="Q498" s="8" t="s">
        <v>50</v>
      </c>
      <c r="R498" s="8"/>
      <c r="S498" s="8"/>
      <c r="T498" s="8"/>
      <c r="U498" s="8"/>
      <c r="V498" s="8"/>
      <c r="W498" s="8"/>
      <c r="X498" s="8"/>
      <c r="Y498" s="8"/>
      <c r="Z498" s="8"/>
      <c r="AA498" s="8"/>
      <c r="AB498" s="8"/>
      <c r="AC498" s="8"/>
      <c r="AD498" s="8"/>
      <c r="AE498" s="8"/>
      <c r="AF498" s="8"/>
      <c r="AG498" s="8"/>
      <c r="AH498" s="8"/>
      <c r="AI498" s="8"/>
      <c r="AJ498" s="8"/>
      <c r="AK498" s="8"/>
      <c r="AL498" s="8"/>
      <c r="AM498" s="8">
        <v>67</v>
      </c>
      <c r="AN498" s="8" t="s">
        <v>49</v>
      </c>
      <c r="AO498" s="8" t="s">
        <v>49</v>
      </c>
      <c r="AP498" s="8">
        <v>-24822</v>
      </c>
      <c r="AQ498" s="8">
        <v>0</v>
      </c>
      <c r="AR498" s="8" t="s">
        <v>54</v>
      </c>
      <c r="AS498" s="8" t="s">
        <v>49</v>
      </c>
      <c r="AT498" s="8" t="s">
        <v>49</v>
      </c>
      <c r="AU498" s="8" t="s">
        <v>49</v>
      </c>
      <c r="AV498" s="8">
        <v>2593</v>
      </c>
      <c r="AW498" s="8" t="s">
        <v>49</v>
      </c>
      <c r="AX498" s="8" t="s">
        <v>53</v>
      </c>
      <c r="AY498" s="8" t="s">
        <v>49</v>
      </c>
      <c r="AZ498" s="8" t="s">
        <v>49</v>
      </c>
      <c r="BA498" s="8" t="s">
        <v>49</v>
      </c>
      <c r="BB498" s="8" t="s">
        <v>49</v>
      </c>
      <c r="BC498" s="8" t="s">
        <v>49</v>
      </c>
      <c r="BD498" s="8" t="s">
        <v>49</v>
      </c>
      <c r="BE498" s="8" t="s">
        <v>49</v>
      </c>
      <c r="BF498" s="8">
        <v>42</v>
      </c>
      <c r="BG498" s="8" t="s">
        <v>49</v>
      </c>
      <c r="BH498" s="8" t="s">
        <v>49</v>
      </c>
      <c r="BI498" s="8" t="s">
        <v>49</v>
      </c>
      <c r="BJ498" s="8" t="s">
        <v>63</v>
      </c>
      <c r="BK498" s="8">
        <v>2009</v>
      </c>
      <c r="BT498">
        <f t="shared" si="40"/>
        <v>0</v>
      </c>
    </row>
    <row r="499" spans="1:72" x14ac:dyDescent="0.2">
      <c r="A499" s="19" t="s">
        <v>597</v>
      </c>
      <c r="B499" s="1">
        <v>731</v>
      </c>
      <c r="C499">
        <v>1</v>
      </c>
      <c r="D499" t="s">
        <v>48</v>
      </c>
      <c r="E499" s="2" t="s">
        <v>49</v>
      </c>
      <c r="F499">
        <v>731</v>
      </c>
      <c r="G499">
        <v>731</v>
      </c>
      <c r="H499" s="2" t="s">
        <v>49</v>
      </c>
      <c r="I499" s="3">
        <v>273</v>
      </c>
      <c r="J499" s="4">
        <v>243</v>
      </c>
      <c r="K499">
        <v>184</v>
      </c>
      <c r="L499" s="5">
        <v>61</v>
      </c>
      <c r="M499" s="9">
        <v>92</v>
      </c>
      <c r="N499" s="10">
        <v>121</v>
      </c>
      <c r="Q499" s="4" t="s">
        <v>51</v>
      </c>
      <c r="R499" t="s">
        <v>532</v>
      </c>
      <c r="S499" s="5" t="s">
        <v>65</v>
      </c>
      <c r="T499" s="9" t="s">
        <v>80</v>
      </c>
      <c r="U499" s="10" t="s">
        <v>87</v>
      </c>
      <c r="W499" s="8">
        <v>6</v>
      </c>
      <c r="X499" s="8">
        <v>12</v>
      </c>
      <c r="Y499" s="4">
        <f>J499</f>
        <v>243</v>
      </c>
      <c r="Z499" s="4">
        <v>1</v>
      </c>
      <c r="AE499" s="5">
        <f>L499</f>
        <v>61</v>
      </c>
      <c r="AF499" s="5">
        <v>1</v>
      </c>
      <c r="AG499" s="9">
        <f>M499</f>
        <v>92</v>
      </c>
      <c r="AH499" s="9">
        <v>1</v>
      </c>
      <c r="AK499" s="10">
        <f>N499</f>
        <v>121</v>
      </c>
      <c r="AL499" s="10">
        <v>1</v>
      </c>
      <c r="AM499">
        <v>50</v>
      </c>
      <c r="AN499" t="s">
        <v>101</v>
      </c>
      <c r="AO499" t="s">
        <v>53</v>
      </c>
      <c r="AP499" t="s">
        <v>49</v>
      </c>
      <c r="AQ499">
        <v>0</v>
      </c>
      <c r="AR499" t="s">
        <v>54</v>
      </c>
      <c r="AS499" t="s">
        <v>55</v>
      </c>
      <c r="AT499" t="s">
        <v>55</v>
      </c>
      <c r="AU499" t="s">
        <v>56</v>
      </c>
      <c r="AV499">
        <v>1582</v>
      </c>
      <c r="AW499" t="s">
        <v>57</v>
      </c>
      <c r="AX499" t="s">
        <v>55</v>
      </c>
      <c r="AY499" t="s">
        <v>81</v>
      </c>
      <c r="AZ499" t="s">
        <v>59</v>
      </c>
      <c r="BA499" t="s">
        <v>55</v>
      </c>
      <c r="BB499" t="s">
        <v>49</v>
      </c>
      <c r="BC499" t="s">
        <v>49</v>
      </c>
      <c r="BD499" t="s">
        <v>49</v>
      </c>
      <c r="BE499" t="s">
        <v>55</v>
      </c>
      <c r="BF499">
        <v>57</v>
      </c>
      <c r="BG499" t="s">
        <v>60</v>
      </c>
      <c r="BH499" t="s">
        <v>61</v>
      </c>
      <c r="BI499" t="s">
        <v>62</v>
      </c>
      <c r="BJ499" t="s">
        <v>63</v>
      </c>
      <c r="BK499">
        <v>2006</v>
      </c>
      <c r="BL499">
        <v>1</v>
      </c>
      <c r="BM499">
        <v>1</v>
      </c>
      <c r="BN499">
        <v>1</v>
      </c>
      <c r="BO499">
        <v>1</v>
      </c>
      <c r="BP499">
        <v>1</v>
      </c>
      <c r="BR499">
        <f>I499-BS499</f>
        <v>90</v>
      </c>
      <c r="BS499">
        <v>183</v>
      </c>
      <c r="BT499">
        <f t="shared" si="40"/>
        <v>5</v>
      </c>
    </row>
    <row r="500" spans="1:72" x14ac:dyDescent="0.2">
      <c r="A500" s="19" t="s">
        <v>599</v>
      </c>
      <c r="B500" s="1">
        <v>346</v>
      </c>
      <c r="C500">
        <v>1</v>
      </c>
      <c r="D500" t="s">
        <v>48</v>
      </c>
      <c r="E500" s="2" t="s">
        <v>49</v>
      </c>
      <c r="F500">
        <v>346</v>
      </c>
      <c r="G500">
        <v>346</v>
      </c>
      <c r="H500" s="2" t="s">
        <v>49</v>
      </c>
      <c r="I500" s="3">
        <v>346</v>
      </c>
      <c r="J500" s="4">
        <f>346-37</f>
        <v>309</v>
      </c>
      <c r="Q500" s="4" t="s">
        <v>51</v>
      </c>
      <c r="Y500" s="4">
        <f>J500</f>
        <v>309</v>
      </c>
      <c r="Z500" s="4">
        <v>1</v>
      </c>
      <c r="AM500">
        <v>57</v>
      </c>
      <c r="AN500" t="s">
        <v>101</v>
      </c>
      <c r="AO500" t="s">
        <v>53</v>
      </c>
      <c r="AP500">
        <v>-21154</v>
      </c>
      <c r="AQ500">
        <v>0</v>
      </c>
      <c r="AR500" t="s">
        <v>54</v>
      </c>
      <c r="AS500" t="s">
        <v>55</v>
      </c>
      <c r="AT500" t="s">
        <v>55</v>
      </c>
      <c r="AU500" t="s">
        <v>56</v>
      </c>
      <c r="AV500">
        <v>1583</v>
      </c>
      <c r="AW500" t="s">
        <v>57</v>
      </c>
      <c r="AX500" t="s">
        <v>55</v>
      </c>
      <c r="AY500" t="s">
        <v>49</v>
      </c>
      <c r="AZ500" t="s">
        <v>111</v>
      </c>
      <c r="BA500" t="s">
        <v>55</v>
      </c>
      <c r="BB500" t="s">
        <v>49</v>
      </c>
      <c r="BC500" t="s">
        <v>49</v>
      </c>
      <c r="BD500" t="s">
        <v>49</v>
      </c>
      <c r="BE500" t="s">
        <v>55</v>
      </c>
      <c r="BF500">
        <v>57</v>
      </c>
      <c r="BG500" t="s">
        <v>60</v>
      </c>
      <c r="BH500" t="s">
        <v>71</v>
      </c>
      <c r="BI500" t="s">
        <v>62</v>
      </c>
      <c r="BJ500" t="s">
        <v>63</v>
      </c>
      <c r="BK500">
        <v>2006</v>
      </c>
      <c r="BL500">
        <v>1</v>
      </c>
      <c r="BR500">
        <f>I500-BS500</f>
        <v>179</v>
      </c>
      <c r="BS500">
        <f>37+130</f>
        <v>167</v>
      </c>
      <c r="BT500">
        <f t="shared" si="40"/>
        <v>1</v>
      </c>
    </row>
    <row r="501" spans="1:72" x14ac:dyDescent="0.2">
      <c r="A501" s="19" t="s">
        <v>600</v>
      </c>
      <c r="B501" s="1">
        <v>643</v>
      </c>
      <c r="C501">
        <v>0</v>
      </c>
      <c r="D501" t="s">
        <v>68</v>
      </c>
      <c r="E501" s="2" t="s">
        <v>49</v>
      </c>
      <c r="F501" t="s">
        <v>49</v>
      </c>
      <c r="G501">
        <v>643</v>
      </c>
      <c r="H501" s="2">
        <v>530</v>
      </c>
      <c r="I501" s="3">
        <v>530</v>
      </c>
      <c r="J501" s="4">
        <v>70</v>
      </c>
      <c r="P501" t="s">
        <v>835</v>
      </c>
      <c r="Q501" s="4" t="s">
        <v>51</v>
      </c>
      <c r="Y501" s="4">
        <f>J501</f>
        <v>70</v>
      </c>
      <c r="Z501" s="4">
        <v>0</v>
      </c>
      <c r="AM501">
        <v>47</v>
      </c>
      <c r="AN501" t="s">
        <v>52</v>
      </c>
      <c r="AO501" t="s">
        <v>55</v>
      </c>
      <c r="AP501">
        <v>-17257</v>
      </c>
      <c r="AQ501">
        <v>0</v>
      </c>
      <c r="AR501" t="s">
        <v>54</v>
      </c>
      <c r="AS501" t="s">
        <v>55</v>
      </c>
      <c r="AT501" t="s">
        <v>55</v>
      </c>
      <c r="AU501" t="s">
        <v>56</v>
      </c>
      <c r="AV501">
        <v>1584</v>
      </c>
      <c r="AW501" t="s">
        <v>57</v>
      </c>
      <c r="AX501" t="s">
        <v>55</v>
      </c>
      <c r="AY501" t="s">
        <v>49</v>
      </c>
      <c r="AZ501" t="s">
        <v>59</v>
      </c>
      <c r="BA501" t="s">
        <v>55</v>
      </c>
      <c r="BB501" t="s">
        <v>49</v>
      </c>
      <c r="BC501" t="s">
        <v>49</v>
      </c>
      <c r="BD501" t="s">
        <v>66</v>
      </c>
      <c r="BE501" t="s">
        <v>55</v>
      </c>
      <c r="BF501">
        <v>57</v>
      </c>
      <c r="BG501" t="s">
        <v>60</v>
      </c>
      <c r="BH501" t="s">
        <v>61</v>
      </c>
      <c r="BI501" t="s">
        <v>62</v>
      </c>
      <c r="BJ501" t="s">
        <v>63</v>
      </c>
      <c r="BK501">
        <v>2007</v>
      </c>
      <c r="BL501">
        <v>1</v>
      </c>
      <c r="BR501">
        <f>I501-BS501</f>
        <v>-43</v>
      </c>
      <c r="BS501">
        <v>573</v>
      </c>
      <c r="BT501">
        <f t="shared" si="40"/>
        <v>1</v>
      </c>
    </row>
    <row r="502" spans="1:72" x14ac:dyDescent="0.2">
      <c r="A502" s="19" t="s">
        <v>601</v>
      </c>
      <c r="B502" s="1">
        <v>53</v>
      </c>
      <c r="C502">
        <v>1</v>
      </c>
      <c r="D502" t="s">
        <v>48</v>
      </c>
      <c r="E502" s="2" t="s">
        <v>49</v>
      </c>
      <c r="F502">
        <v>53</v>
      </c>
      <c r="G502">
        <v>53</v>
      </c>
      <c r="H502" s="2" t="s">
        <v>49</v>
      </c>
      <c r="I502" s="3">
        <v>23</v>
      </c>
      <c r="J502" s="4">
        <v>23</v>
      </c>
      <c r="Q502" s="4" t="s">
        <v>51</v>
      </c>
      <c r="Y502" s="4">
        <f>J502</f>
        <v>23</v>
      </c>
      <c r="Z502" s="4">
        <v>1</v>
      </c>
      <c r="AM502">
        <v>57</v>
      </c>
      <c r="AN502" t="s">
        <v>52</v>
      </c>
      <c r="AO502" t="s">
        <v>53</v>
      </c>
      <c r="AP502">
        <v>-20850</v>
      </c>
      <c r="AQ502">
        <v>0</v>
      </c>
      <c r="AR502" t="s">
        <v>54</v>
      </c>
      <c r="AS502" t="s">
        <v>55</v>
      </c>
      <c r="AT502" t="s">
        <v>55</v>
      </c>
      <c r="AU502" t="s">
        <v>56</v>
      </c>
      <c r="AV502">
        <v>1585</v>
      </c>
      <c r="AW502" t="s">
        <v>57</v>
      </c>
      <c r="AX502" t="s">
        <v>55</v>
      </c>
      <c r="AY502" t="s">
        <v>81</v>
      </c>
      <c r="AZ502" t="s">
        <v>59</v>
      </c>
      <c r="BA502" t="s">
        <v>55</v>
      </c>
      <c r="BB502" t="s">
        <v>49</v>
      </c>
      <c r="BC502" t="s">
        <v>49</v>
      </c>
      <c r="BD502" t="s">
        <v>49</v>
      </c>
      <c r="BE502" t="s">
        <v>55</v>
      </c>
      <c r="BF502">
        <v>57</v>
      </c>
      <c r="BG502" t="s">
        <v>60</v>
      </c>
      <c r="BH502" t="s">
        <v>142</v>
      </c>
      <c r="BI502" t="s">
        <v>62</v>
      </c>
      <c r="BJ502" t="s">
        <v>63</v>
      </c>
      <c r="BK502">
        <v>2007</v>
      </c>
      <c r="BL502">
        <v>1</v>
      </c>
      <c r="BR502">
        <f>I502-BS502</f>
        <v>-30</v>
      </c>
      <c r="BS502">
        <v>53</v>
      </c>
      <c r="BT502">
        <f t="shared" si="40"/>
        <v>1</v>
      </c>
    </row>
    <row r="503" spans="1:72" x14ac:dyDescent="0.2">
      <c r="A503" s="19" t="s">
        <v>602</v>
      </c>
      <c r="B503" s="1">
        <v>679</v>
      </c>
      <c r="C503">
        <v>0</v>
      </c>
      <c r="D503" t="s">
        <v>68</v>
      </c>
      <c r="E503" s="2" t="s">
        <v>49</v>
      </c>
      <c r="F503" t="s">
        <v>49</v>
      </c>
      <c r="G503">
        <v>679</v>
      </c>
      <c r="H503" s="2">
        <v>259</v>
      </c>
      <c r="I503" s="3">
        <v>259</v>
      </c>
      <c r="J503" s="4">
        <v>210</v>
      </c>
      <c r="K503" s="10">
        <v>64</v>
      </c>
      <c r="L503" s="5">
        <v>201</v>
      </c>
      <c r="M503" s="9">
        <v>120</v>
      </c>
      <c r="N503" s="4">
        <v>126</v>
      </c>
      <c r="Q503" s="4" t="s">
        <v>51</v>
      </c>
      <c r="R503" s="10" t="s">
        <v>87</v>
      </c>
      <c r="S503" s="5" t="s">
        <v>65</v>
      </c>
      <c r="T503" s="9" t="s">
        <v>80</v>
      </c>
      <c r="U503" s="4" t="s">
        <v>51</v>
      </c>
      <c r="W503">
        <v>8</v>
      </c>
      <c r="X503">
        <v>16</v>
      </c>
      <c r="Y503" s="4">
        <f>N503+J503</f>
        <v>336</v>
      </c>
      <c r="Z503" s="4">
        <v>0</v>
      </c>
      <c r="AE503" s="5">
        <f>L503</f>
        <v>201</v>
      </c>
      <c r="AF503" s="5">
        <v>1</v>
      </c>
      <c r="AG503" s="9">
        <f>M503</f>
        <v>120</v>
      </c>
      <c r="AH503" s="9">
        <v>1</v>
      </c>
      <c r="AI503" s="8"/>
      <c r="AK503" s="10">
        <f>K503</f>
        <v>64</v>
      </c>
      <c r="AL503" s="10">
        <v>1</v>
      </c>
      <c r="AM503">
        <v>66</v>
      </c>
      <c r="AN503" t="s">
        <v>52</v>
      </c>
      <c r="AO503" t="s">
        <v>53</v>
      </c>
      <c r="AP503">
        <v>-24317</v>
      </c>
      <c r="AQ503">
        <v>0</v>
      </c>
      <c r="AR503" t="s">
        <v>54</v>
      </c>
      <c r="AS503" t="s">
        <v>55</v>
      </c>
      <c r="AT503" t="s">
        <v>55</v>
      </c>
      <c r="AU503" t="s">
        <v>56</v>
      </c>
      <c r="AV503">
        <v>1586</v>
      </c>
      <c r="AW503" t="s">
        <v>57</v>
      </c>
      <c r="AX503" t="s">
        <v>55</v>
      </c>
      <c r="AY503" t="s">
        <v>49</v>
      </c>
      <c r="AZ503" t="s">
        <v>59</v>
      </c>
      <c r="BA503" t="s">
        <v>55</v>
      </c>
      <c r="BB503" t="s">
        <v>49</v>
      </c>
      <c r="BC503" t="s">
        <v>49</v>
      </c>
      <c r="BD503" t="s">
        <v>106</v>
      </c>
      <c r="BE503" t="s">
        <v>55</v>
      </c>
      <c r="BF503">
        <v>57</v>
      </c>
      <c r="BG503" t="s">
        <v>60</v>
      </c>
      <c r="BH503" t="s">
        <v>142</v>
      </c>
      <c r="BI503" t="s">
        <v>62</v>
      </c>
      <c r="BJ503" t="s">
        <v>63</v>
      </c>
      <c r="BK503">
        <v>2007</v>
      </c>
      <c r="BL503">
        <v>1</v>
      </c>
      <c r="BM503">
        <v>1</v>
      </c>
      <c r="BN503">
        <v>1</v>
      </c>
      <c r="BO503">
        <v>1</v>
      </c>
      <c r="BP503">
        <v>0</v>
      </c>
      <c r="BR503">
        <f>I503-BS503</f>
        <v>96</v>
      </c>
      <c r="BS503">
        <v>163</v>
      </c>
      <c r="BT503">
        <f t="shared" si="40"/>
        <v>5</v>
      </c>
    </row>
    <row r="504" spans="1:72" x14ac:dyDescent="0.2">
      <c r="A504" s="19" t="s">
        <v>689</v>
      </c>
      <c r="B504" s="1">
        <v>881</v>
      </c>
      <c r="C504">
        <v>0</v>
      </c>
      <c r="D504" s="8" t="s">
        <v>68</v>
      </c>
      <c r="E504" s="12" t="s">
        <v>49</v>
      </c>
      <c r="F504" s="8" t="s">
        <v>49</v>
      </c>
      <c r="G504" s="8">
        <v>881</v>
      </c>
      <c r="H504" s="12" t="s">
        <v>49</v>
      </c>
      <c r="I504" s="3" t="s">
        <v>69</v>
      </c>
      <c r="J504" s="12" t="s">
        <v>50</v>
      </c>
      <c r="K504" s="8"/>
      <c r="L504" s="8"/>
      <c r="M504" s="8"/>
      <c r="N504" s="8"/>
      <c r="O504" s="8"/>
      <c r="P504" s="8"/>
      <c r="Q504" s="8" t="s">
        <v>50</v>
      </c>
      <c r="R504" s="8"/>
      <c r="S504" s="8"/>
      <c r="T504" s="8"/>
      <c r="U504" s="8"/>
      <c r="V504" s="8"/>
      <c r="W504" s="8"/>
      <c r="X504" s="8"/>
      <c r="Y504" s="8"/>
      <c r="Z504" s="8"/>
      <c r="AA504" s="8"/>
      <c r="AB504" s="8"/>
      <c r="AC504" s="8"/>
      <c r="AD504" s="8"/>
      <c r="AE504" s="8"/>
      <c r="AF504" s="8"/>
      <c r="AG504" s="8"/>
      <c r="AH504" s="8"/>
      <c r="AI504" s="8"/>
      <c r="AJ504" s="8"/>
      <c r="AK504" s="8"/>
      <c r="AL504" s="8"/>
      <c r="AM504" s="8">
        <v>62</v>
      </c>
      <c r="AN504" s="8" t="s">
        <v>101</v>
      </c>
      <c r="AO504" s="8" t="s">
        <v>53</v>
      </c>
      <c r="AP504" s="8" t="s">
        <v>49</v>
      </c>
      <c r="AQ504" s="8">
        <v>0</v>
      </c>
      <c r="AR504" s="8" t="s">
        <v>54</v>
      </c>
      <c r="AS504" s="8" t="s">
        <v>55</v>
      </c>
      <c r="AT504" s="8" t="s">
        <v>55</v>
      </c>
      <c r="AU504" s="8" t="s">
        <v>56</v>
      </c>
      <c r="AV504" s="8">
        <v>1992</v>
      </c>
      <c r="AW504" s="8" t="s">
        <v>70</v>
      </c>
      <c r="AX504" s="8" t="s">
        <v>55</v>
      </c>
      <c r="AY504" s="8" t="s">
        <v>58</v>
      </c>
      <c r="AZ504" s="8" t="s">
        <v>49</v>
      </c>
      <c r="BA504" s="8" t="s">
        <v>55</v>
      </c>
      <c r="BB504" s="8" t="s">
        <v>49</v>
      </c>
      <c r="BC504" s="8" t="s">
        <v>49</v>
      </c>
      <c r="BD504" s="8" t="s">
        <v>49</v>
      </c>
      <c r="BE504" s="8" t="s">
        <v>55</v>
      </c>
      <c r="BF504" s="8">
        <v>57</v>
      </c>
      <c r="BG504" s="8" t="s">
        <v>60</v>
      </c>
      <c r="BH504" s="8" t="s">
        <v>71</v>
      </c>
      <c r="BI504" s="8" t="s">
        <v>556</v>
      </c>
      <c r="BJ504" s="8" t="s">
        <v>63</v>
      </c>
      <c r="BK504" s="8">
        <v>2006</v>
      </c>
      <c r="BT504">
        <f t="shared" si="40"/>
        <v>0</v>
      </c>
    </row>
    <row r="505" spans="1:72" x14ac:dyDescent="0.2">
      <c r="A505" s="19" t="s">
        <v>603</v>
      </c>
      <c r="B505" s="1">
        <v>762</v>
      </c>
      <c r="C505">
        <v>0</v>
      </c>
      <c r="D505" t="s">
        <v>68</v>
      </c>
      <c r="E505" s="2" t="s">
        <v>49</v>
      </c>
      <c r="F505" t="s">
        <v>49</v>
      </c>
      <c r="G505">
        <v>762</v>
      </c>
      <c r="H505" s="2" t="s">
        <v>49</v>
      </c>
      <c r="I505" s="3" t="s">
        <v>69</v>
      </c>
      <c r="J505" s="4">
        <v>701</v>
      </c>
      <c r="Q505" s="4" t="s">
        <v>51</v>
      </c>
      <c r="Y505" s="4">
        <f>J505</f>
        <v>701</v>
      </c>
      <c r="Z505" s="4">
        <v>0</v>
      </c>
      <c r="AM505">
        <v>56</v>
      </c>
      <c r="AN505" t="s">
        <v>52</v>
      </c>
      <c r="AO505" t="s">
        <v>53</v>
      </c>
      <c r="AP505">
        <v>-20485</v>
      </c>
      <c r="AQ505">
        <v>0</v>
      </c>
      <c r="AR505" t="s">
        <v>54</v>
      </c>
      <c r="AS505" t="s">
        <v>55</v>
      </c>
      <c r="AT505" t="s">
        <v>55</v>
      </c>
      <c r="AU505" t="s">
        <v>56</v>
      </c>
      <c r="AV505">
        <v>1993</v>
      </c>
      <c r="AW505" t="s">
        <v>70</v>
      </c>
      <c r="AX505" t="s">
        <v>55</v>
      </c>
      <c r="AY505" t="s">
        <v>49</v>
      </c>
      <c r="AZ505" t="s">
        <v>59</v>
      </c>
      <c r="BA505" t="s">
        <v>55</v>
      </c>
      <c r="BB505" t="s">
        <v>49</v>
      </c>
      <c r="BC505" t="s">
        <v>482</v>
      </c>
      <c r="BD505" t="s">
        <v>49</v>
      </c>
      <c r="BE505" t="s">
        <v>55</v>
      </c>
      <c r="BF505">
        <v>57</v>
      </c>
      <c r="BG505" t="s">
        <v>60</v>
      </c>
      <c r="BH505" t="s">
        <v>71</v>
      </c>
      <c r="BI505" t="s">
        <v>62</v>
      </c>
      <c r="BJ505" t="s">
        <v>63</v>
      </c>
      <c r="BK505">
        <v>2007</v>
      </c>
      <c r="BL505">
        <v>0</v>
      </c>
      <c r="BR505">
        <f>B505-BS505</f>
        <v>575</v>
      </c>
      <c r="BS505">
        <f>61+126</f>
        <v>187</v>
      </c>
      <c r="BT505">
        <f t="shared" si="40"/>
        <v>1</v>
      </c>
    </row>
    <row r="506" spans="1:72" x14ac:dyDescent="0.2">
      <c r="A506" s="19" t="s">
        <v>690</v>
      </c>
      <c r="B506" s="1">
        <v>761</v>
      </c>
      <c r="C506">
        <v>0</v>
      </c>
      <c r="D506" s="8" t="s">
        <v>68</v>
      </c>
      <c r="E506" s="12" t="s">
        <v>49</v>
      </c>
      <c r="F506" s="8" t="s">
        <v>49</v>
      </c>
      <c r="G506" s="8">
        <v>761</v>
      </c>
      <c r="H506" s="12" t="s">
        <v>49</v>
      </c>
      <c r="I506" s="3" t="s">
        <v>69</v>
      </c>
      <c r="J506" s="12" t="s">
        <v>50</v>
      </c>
      <c r="K506" s="8"/>
      <c r="L506" s="8"/>
      <c r="M506" s="8"/>
      <c r="N506" s="8"/>
      <c r="O506" s="8"/>
      <c r="P506" s="8"/>
      <c r="Q506" s="8" t="s">
        <v>50</v>
      </c>
      <c r="R506" s="8"/>
      <c r="S506" s="8"/>
      <c r="T506" s="8"/>
      <c r="U506" s="8"/>
      <c r="V506" s="8"/>
      <c r="W506" s="8"/>
      <c r="X506" s="8"/>
      <c r="Y506" s="8"/>
      <c r="Z506" s="8"/>
      <c r="AA506" s="8"/>
      <c r="AB506" s="8"/>
      <c r="AC506" s="8"/>
      <c r="AD506" s="8"/>
      <c r="AE506" s="8"/>
      <c r="AF506" s="8"/>
      <c r="AG506" s="8"/>
      <c r="AH506" s="8"/>
      <c r="AI506" s="8"/>
      <c r="AJ506" s="8"/>
      <c r="AK506" s="8"/>
      <c r="AL506" s="8"/>
      <c r="AM506" s="8">
        <v>63</v>
      </c>
      <c r="AN506" s="8" t="s">
        <v>49</v>
      </c>
      <c r="AO506" s="8" t="s">
        <v>55</v>
      </c>
      <c r="AP506" s="8">
        <v>-23061</v>
      </c>
      <c r="AQ506" s="8">
        <v>0</v>
      </c>
      <c r="AR506" s="8" t="s">
        <v>54</v>
      </c>
      <c r="AS506" s="8" t="s">
        <v>55</v>
      </c>
      <c r="AT506" s="8" t="s">
        <v>55</v>
      </c>
      <c r="AU506" s="8" t="s">
        <v>56</v>
      </c>
      <c r="AV506" s="8">
        <v>1994</v>
      </c>
      <c r="AW506" s="8" t="s">
        <v>49</v>
      </c>
      <c r="AX506" s="8" t="s">
        <v>55</v>
      </c>
      <c r="AY506" s="8" t="s">
        <v>49</v>
      </c>
      <c r="AZ506" s="8" t="s">
        <v>59</v>
      </c>
      <c r="BA506" s="8" t="s">
        <v>55</v>
      </c>
      <c r="BB506" s="8" t="s">
        <v>49</v>
      </c>
      <c r="BC506" s="8" t="s">
        <v>49</v>
      </c>
      <c r="BD506" s="8" t="s">
        <v>49</v>
      </c>
      <c r="BE506" s="8" t="s">
        <v>55</v>
      </c>
      <c r="BF506" s="8">
        <v>57</v>
      </c>
      <c r="BG506" s="8" t="s">
        <v>49</v>
      </c>
      <c r="BH506" s="8" t="s">
        <v>49</v>
      </c>
      <c r="BI506" s="8" t="s">
        <v>49</v>
      </c>
      <c r="BJ506" s="8" t="s">
        <v>63</v>
      </c>
      <c r="BK506" s="8">
        <v>2004</v>
      </c>
      <c r="BT506">
        <f t="shared" si="40"/>
        <v>0</v>
      </c>
    </row>
    <row r="507" spans="1:72" x14ac:dyDescent="0.2">
      <c r="A507" s="19" t="s">
        <v>604</v>
      </c>
      <c r="B507" s="1">
        <v>5480</v>
      </c>
      <c r="C507">
        <v>0</v>
      </c>
      <c r="D507" t="s">
        <v>68</v>
      </c>
      <c r="E507" s="2" t="s">
        <v>49</v>
      </c>
      <c r="F507" t="s">
        <v>49</v>
      </c>
      <c r="G507">
        <v>5480</v>
      </c>
      <c r="H507" s="2" t="s">
        <v>49</v>
      </c>
      <c r="I507" s="3" t="s">
        <v>69</v>
      </c>
      <c r="J507" t="s">
        <v>50</v>
      </c>
      <c r="Q507" t="s">
        <v>50</v>
      </c>
      <c r="AM507">
        <v>59</v>
      </c>
      <c r="AN507" t="s">
        <v>52</v>
      </c>
      <c r="AO507" t="s">
        <v>49</v>
      </c>
      <c r="AP507" t="s">
        <v>49</v>
      </c>
      <c r="AQ507">
        <v>0</v>
      </c>
      <c r="AR507" t="s">
        <v>54</v>
      </c>
      <c r="AS507" t="s">
        <v>49</v>
      </c>
      <c r="AT507" t="s">
        <v>49</v>
      </c>
      <c r="AU507" t="s">
        <v>56</v>
      </c>
      <c r="AV507">
        <v>2348</v>
      </c>
      <c r="AW507" t="s">
        <v>70</v>
      </c>
      <c r="AX507" t="s">
        <v>55</v>
      </c>
      <c r="AY507" t="s">
        <v>58</v>
      </c>
      <c r="AZ507" t="s">
        <v>59</v>
      </c>
      <c r="BA507" t="s">
        <v>49</v>
      </c>
      <c r="BB507" t="s">
        <v>49</v>
      </c>
      <c r="BC507" t="s">
        <v>49</v>
      </c>
      <c r="BD507" t="s">
        <v>49</v>
      </c>
      <c r="BE507" t="s">
        <v>49</v>
      </c>
      <c r="BF507">
        <v>59</v>
      </c>
      <c r="BG507" t="s">
        <v>60</v>
      </c>
      <c r="BH507" t="s">
        <v>49</v>
      </c>
      <c r="BI507" t="s">
        <v>62</v>
      </c>
      <c r="BJ507" t="s">
        <v>63</v>
      </c>
      <c r="BK507">
        <v>1994</v>
      </c>
      <c r="BT507">
        <f t="shared" si="40"/>
        <v>0</v>
      </c>
    </row>
    <row r="508" spans="1:72" x14ac:dyDescent="0.2">
      <c r="A508" s="19" t="s">
        <v>692</v>
      </c>
      <c r="B508" s="1">
        <v>2437</v>
      </c>
      <c r="C508">
        <v>1</v>
      </c>
      <c r="D508" s="8" t="s">
        <v>48</v>
      </c>
      <c r="E508" s="12" t="s">
        <v>49</v>
      </c>
      <c r="F508" s="8">
        <v>2437</v>
      </c>
      <c r="G508" s="8">
        <v>2437</v>
      </c>
      <c r="H508" s="12" t="s">
        <v>49</v>
      </c>
      <c r="I508" s="3">
        <v>2437</v>
      </c>
      <c r="J508" s="12" t="s">
        <v>50</v>
      </c>
      <c r="K508" s="8"/>
      <c r="L508" s="8"/>
      <c r="M508" s="8"/>
      <c r="N508" s="8"/>
      <c r="O508" s="8"/>
      <c r="P508" s="8"/>
      <c r="Q508" s="8" t="s">
        <v>50</v>
      </c>
      <c r="R508" s="8"/>
      <c r="S508" s="8"/>
      <c r="T508" s="8"/>
      <c r="U508" s="8"/>
      <c r="V508" s="8"/>
      <c r="W508" s="8"/>
      <c r="X508" s="8"/>
      <c r="Y508" s="8"/>
      <c r="Z508" s="8"/>
      <c r="AA508" s="8"/>
      <c r="AB508" s="8"/>
      <c r="AC508" s="8"/>
      <c r="AD508" s="8"/>
      <c r="AE508" s="8"/>
      <c r="AF508" s="8"/>
      <c r="AG508" s="8"/>
      <c r="AH508" s="8"/>
      <c r="AI508" s="8"/>
      <c r="AJ508" s="8"/>
      <c r="AK508" s="8"/>
      <c r="AL508" s="8"/>
      <c r="AM508" s="8">
        <v>71</v>
      </c>
      <c r="AN508" s="8" t="s">
        <v>101</v>
      </c>
      <c r="AO508" s="8" t="s">
        <v>49</v>
      </c>
      <c r="AP508" s="8" t="s">
        <v>49</v>
      </c>
      <c r="AQ508" s="8">
        <v>0</v>
      </c>
      <c r="AR508" s="8" t="s">
        <v>54</v>
      </c>
      <c r="AS508" s="8" t="s">
        <v>49</v>
      </c>
      <c r="AT508" s="8" t="s">
        <v>49</v>
      </c>
      <c r="AU508" s="8" t="s">
        <v>56</v>
      </c>
      <c r="AV508" s="8">
        <v>2349</v>
      </c>
      <c r="AW508" s="8" t="s">
        <v>49</v>
      </c>
      <c r="AX508" s="8" t="s">
        <v>55</v>
      </c>
      <c r="AY508" s="8" t="s">
        <v>58</v>
      </c>
      <c r="AZ508" s="8" t="s">
        <v>49</v>
      </c>
      <c r="BA508" s="8" t="s">
        <v>49</v>
      </c>
      <c r="BB508" s="8" t="s">
        <v>49</v>
      </c>
      <c r="BC508" s="8" t="s">
        <v>49</v>
      </c>
      <c r="BD508" s="8" t="s">
        <v>49</v>
      </c>
      <c r="BE508" s="8" t="s">
        <v>49</v>
      </c>
      <c r="BF508" s="8">
        <v>59</v>
      </c>
      <c r="BG508" s="8" t="s">
        <v>60</v>
      </c>
      <c r="BH508" s="8" t="s">
        <v>71</v>
      </c>
      <c r="BI508" s="8" t="s">
        <v>524</v>
      </c>
      <c r="BJ508" s="8" t="s">
        <v>63</v>
      </c>
      <c r="BK508" s="8">
        <v>1994</v>
      </c>
      <c r="BT508">
        <f t="shared" si="40"/>
        <v>0</v>
      </c>
    </row>
    <row r="509" spans="1:72" x14ac:dyDescent="0.2">
      <c r="A509" s="19" t="s">
        <v>605</v>
      </c>
      <c r="B509" s="1">
        <v>679</v>
      </c>
      <c r="C509">
        <v>1</v>
      </c>
      <c r="D509" t="s">
        <v>48</v>
      </c>
      <c r="E509" s="2">
        <v>211</v>
      </c>
      <c r="F509">
        <v>679</v>
      </c>
      <c r="G509">
        <v>679</v>
      </c>
      <c r="H509" s="2" t="s">
        <v>49</v>
      </c>
      <c r="I509" s="3">
        <v>211</v>
      </c>
      <c r="J509" t="s">
        <v>50</v>
      </c>
      <c r="Q509" t="s">
        <v>50</v>
      </c>
      <c r="AM509">
        <v>44</v>
      </c>
      <c r="AN509" t="s">
        <v>52</v>
      </c>
      <c r="AO509" t="s">
        <v>49</v>
      </c>
      <c r="AP509" t="s">
        <v>49</v>
      </c>
      <c r="AQ509">
        <v>0</v>
      </c>
      <c r="AR509" t="s">
        <v>54</v>
      </c>
      <c r="AS509" t="s">
        <v>49</v>
      </c>
      <c r="AT509" t="s">
        <v>49</v>
      </c>
      <c r="AU509" t="s">
        <v>56</v>
      </c>
      <c r="AV509">
        <v>2350</v>
      </c>
      <c r="AW509" t="s">
        <v>57</v>
      </c>
      <c r="AX509" t="s">
        <v>55</v>
      </c>
      <c r="AY509" t="s">
        <v>114</v>
      </c>
      <c r="AZ509" t="s">
        <v>49</v>
      </c>
      <c r="BA509" t="s">
        <v>49</v>
      </c>
      <c r="BB509" t="s">
        <v>49</v>
      </c>
      <c r="BC509" t="s">
        <v>49</v>
      </c>
      <c r="BD509" t="s">
        <v>106</v>
      </c>
      <c r="BE509" t="s">
        <v>49</v>
      </c>
      <c r="BF509">
        <v>59</v>
      </c>
      <c r="BG509" t="s">
        <v>60</v>
      </c>
      <c r="BH509" t="s">
        <v>61</v>
      </c>
      <c r="BI509" t="s">
        <v>83</v>
      </c>
      <c r="BJ509" t="s">
        <v>63</v>
      </c>
      <c r="BK509">
        <v>1995</v>
      </c>
      <c r="BT509">
        <f t="shared" si="40"/>
        <v>0</v>
      </c>
    </row>
    <row r="510" spans="1:72" x14ac:dyDescent="0.2">
      <c r="A510" s="19" t="s">
        <v>606</v>
      </c>
      <c r="B510" s="1">
        <v>3532</v>
      </c>
      <c r="C510">
        <v>0</v>
      </c>
      <c r="D510" t="s">
        <v>68</v>
      </c>
      <c r="E510" s="2">
        <v>2139</v>
      </c>
      <c r="F510" t="s">
        <v>49</v>
      </c>
      <c r="G510">
        <v>3532</v>
      </c>
      <c r="H510" s="2" t="s">
        <v>49</v>
      </c>
      <c r="I510" s="3">
        <v>2139</v>
      </c>
      <c r="J510" t="s">
        <v>50</v>
      </c>
      <c r="Q510" t="s">
        <v>50</v>
      </c>
      <c r="AM510">
        <v>51</v>
      </c>
      <c r="AN510" t="s">
        <v>52</v>
      </c>
      <c r="AO510" t="s">
        <v>49</v>
      </c>
      <c r="AP510" t="s">
        <v>49</v>
      </c>
      <c r="AQ510">
        <v>0</v>
      </c>
      <c r="AR510" t="s">
        <v>54</v>
      </c>
      <c r="AS510" t="s">
        <v>49</v>
      </c>
      <c r="AT510" t="s">
        <v>49</v>
      </c>
      <c r="AU510" t="s">
        <v>56</v>
      </c>
      <c r="AV510">
        <v>2351</v>
      </c>
      <c r="AW510" t="s">
        <v>70</v>
      </c>
      <c r="AX510" t="s">
        <v>55</v>
      </c>
      <c r="AY510" t="s">
        <v>58</v>
      </c>
      <c r="AZ510" t="s">
        <v>59</v>
      </c>
      <c r="BA510" t="s">
        <v>49</v>
      </c>
      <c r="BB510" t="s">
        <v>49</v>
      </c>
      <c r="BC510" t="s">
        <v>49</v>
      </c>
      <c r="BD510" t="s">
        <v>106</v>
      </c>
      <c r="BE510" t="s">
        <v>49</v>
      </c>
      <c r="BF510">
        <v>59</v>
      </c>
      <c r="BG510" t="s">
        <v>60</v>
      </c>
      <c r="BH510" t="s">
        <v>61</v>
      </c>
      <c r="BI510" t="s">
        <v>62</v>
      </c>
      <c r="BJ510" t="s">
        <v>63</v>
      </c>
      <c r="BK510">
        <v>1999</v>
      </c>
      <c r="BT510">
        <f t="shared" si="40"/>
        <v>0</v>
      </c>
    </row>
    <row r="511" spans="1:72" x14ac:dyDescent="0.2">
      <c r="A511" s="19" t="s">
        <v>609</v>
      </c>
      <c r="B511" s="1">
        <v>286</v>
      </c>
      <c r="C511">
        <v>1</v>
      </c>
      <c r="D511" t="s">
        <v>48</v>
      </c>
      <c r="E511" s="2" t="s">
        <v>49</v>
      </c>
      <c r="F511">
        <v>286</v>
      </c>
      <c r="G511">
        <v>286</v>
      </c>
      <c r="H511" s="2" t="s">
        <v>49</v>
      </c>
      <c r="I511" s="3">
        <v>286</v>
      </c>
      <c r="J511" t="s">
        <v>50</v>
      </c>
      <c r="Q511" t="s">
        <v>50</v>
      </c>
      <c r="AM511">
        <v>78</v>
      </c>
      <c r="AN511" t="s">
        <v>126</v>
      </c>
      <c r="AO511" t="s">
        <v>49</v>
      </c>
      <c r="AP511" t="s">
        <v>49</v>
      </c>
      <c r="AQ511">
        <v>0</v>
      </c>
      <c r="AR511" t="s">
        <v>54</v>
      </c>
      <c r="AS511" t="s">
        <v>49</v>
      </c>
      <c r="AT511" t="s">
        <v>49</v>
      </c>
      <c r="AU511" t="s">
        <v>85</v>
      </c>
      <c r="AV511">
        <v>2352</v>
      </c>
      <c r="AW511" t="s">
        <v>57</v>
      </c>
      <c r="AX511" t="s">
        <v>55</v>
      </c>
      <c r="AY511" t="s">
        <v>49</v>
      </c>
      <c r="AZ511" t="s">
        <v>59</v>
      </c>
      <c r="BA511" t="s">
        <v>49</v>
      </c>
      <c r="BB511" t="s">
        <v>49</v>
      </c>
      <c r="BC511" t="s">
        <v>49</v>
      </c>
      <c r="BD511" t="s">
        <v>49</v>
      </c>
      <c r="BE511" t="s">
        <v>49</v>
      </c>
      <c r="BF511">
        <v>59</v>
      </c>
      <c r="BG511" t="s">
        <v>60</v>
      </c>
      <c r="BH511" t="s">
        <v>49</v>
      </c>
      <c r="BI511" t="s">
        <v>62</v>
      </c>
      <c r="BJ511" t="s">
        <v>63</v>
      </c>
      <c r="BK511">
        <v>2002</v>
      </c>
      <c r="BT511">
        <f t="shared" si="40"/>
        <v>0</v>
      </c>
    </row>
    <row r="512" spans="1:72" x14ac:dyDescent="0.2">
      <c r="A512" s="19" t="s">
        <v>610</v>
      </c>
      <c r="B512" s="1">
        <v>1046</v>
      </c>
      <c r="C512">
        <v>1</v>
      </c>
      <c r="D512" t="s">
        <v>48</v>
      </c>
      <c r="E512" s="2">
        <v>461</v>
      </c>
      <c r="F512">
        <v>1046</v>
      </c>
      <c r="G512">
        <v>1046</v>
      </c>
      <c r="H512" s="2" t="s">
        <v>49</v>
      </c>
      <c r="I512" s="3">
        <v>461</v>
      </c>
      <c r="J512" s="11">
        <v>461</v>
      </c>
      <c r="Q512" s="11" t="s">
        <v>90</v>
      </c>
      <c r="AA512" s="11">
        <f>J512</f>
        <v>461</v>
      </c>
      <c r="AB512" s="11">
        <v>1</v>
      </c>
      <c r="AM512">
        <v>64</v>
      </c>
      <c r="AN512" t="s">
        <v>101</v>
      </c>
      <c r="AO512" t="s">
        <v>53</v>
      </c>
      <c r="AP512" t="s">
        <v>49</v>
      </c>
      <c r="AQ512">
        <v>0</v>
      </c>
      <c r="AR512" t="s">
        <v>54</v>
      </c>
      <c r="AS512" t="s">
        <v>49</v>
      </c>
      <c r="AT512" t="s">
        <v>49</v>
      </c>
      <c r="AU512" t="s">
        <v>56</v>
      </c>
      <c r="AV512">
        <v>2354</v>
      </c>
      <c r="AW512" t="s">
        <v>57</v>
      </c>
      <c r="AX512" t="s">
        <v>55</v>
      </c>
      <c r="AY512" t="s">
        <v>92</v>
      </c>
      <c r="AZ512" t="s">
        <v>59</v>
      </c>
      <c r="BA512" t="s">
        <v>49</v>
      </c>
      <c r="BB512" t="s">
        <v>49</v>
      </c>
      <c r="BC512" t="s">
        <v>49</v>
      </c>
      <c r="BD512" t="s">
        <v>49</v>
      </c>
      <c r="BE512" t="s">
        <v>49</v>
      </c>
      <c r="BF512">
        <v>59</v>
      </c>
      <c r="BG512" t="s">
        <v>60</v>
      </c>
      <c r="BH512" t="s">
        <v>61</v>
      </c>
      <c r="BI512" t="s">
        <v>62</v>
      </c>
      <c r="BJ512" t="s">
        <v>63</v>
      </c>
      <c r="BK512">
        <v>2005</v>
      </c>
      <c r="BL512">
        <v>1</v>
      </c>
      <c r="BR512">
        <f>I512-BS512</f>
        <v>335</v>
      </c>
      <c r="BS512">
        <v>126</v>
      </c>
      <c r="BT512">
        <f t="shared" si="40"/>
        <v>1</v>
      </c>
    </row>
    <row r="513" spans="1:72" x14ac:dyDescent="0.2">
      <c r="A513" s="19" t="s">
        <v>613</v>
      </c>
      <c r="B513" s="1">
        <v>65</v>
      </c>
      <c r="C513">
        <v>1</v>
      </c>
      <c r="D513" t="s">
        <v>48</v>
      </c>
      <c r="E513" s="2" t="s">
        <v>49</v>
      </c>
      <c r="F513">
        <v>65</v>
      </c>
      <c r="G513">
        <v>65</v>
      </c>
      <c r="H513" s="2" t="s">
        <v>49</v>
      </c>
      <c r="I513" s="3">
        <v>65</v>
      </c>
      <c r="J513" s="4">
        <v>65</v>
      </c>
      <c r="Q513" s="4" t="s">
        <v>51</v>
      </c>
      <c r="Y513" s="4">
        <f>J513</f>
        <v>65</v>
      </c>
      <c r="Z513" s="4">
        <v>1</v>
      </c>
      <c r="AM513">
        <v>58</v>
      </c>
      <c r="AN513" t="s">
        <v>126</v>
      </c>
      <c r="AO513" t="s">
        <v>53</v>
      </c>
      <c r="AP513" t="s">
        <v>49</v>
      </c>
      <c r="AQ513">
        <v>0</v>
      </c>
      <c r="AR513" t="s">
        <v>54</v>
      </c>
      <c r="AS513" t="s">
        <v>49</v>
      </c>
      <c r="AT513" t="s">
        <v>49</v>
      </c>
      <c r="AU513" t="s">
        <v>56</v>
      </c>
      <c r="AV513">
        <v>2355</v>
      </c>
      <c r="AW513" t="s">
        <v>57</v>
      </c>
      <c r="AX513" t="s">
        <v>55</v>
      </c>
      <c r="AY513" t="s">
        <v>49</v>
      </c>
      <c r="AZ513" t="s">
        <v>59</v>
      </c>
      <c r="BA513" t="s">
        <v>49</v>
      </c>
      <c r="BB513" t="s">
        <v>49</v>
      </c>
      <c r="BC513" t="s">
        <v>49</v>
      </c>
      <c r="BD513" t="s">
        <v>49</v>
      </c>
      <c r="BE513" t="s">
        <v>49</v>
      </c>
      <c r="BF513">
        <v>59</v>
      </c>
      <c r="BG513" t="s">
        <v>60</v>
      </c>
      <c r="BH513" t="s">
        <v>82</v>
      </c>
      <c r="BI513" t="s">
        <v>83</v>
      </c>
      <c r="BJ513" t="s">
        <v>63</v>
      </c>
      <c r="BK513">
        <v>2006</v>
      </c>
      <c r="BL513">
        <v>1</v>
      </c>
      <c r="BR513">
        <f>I513-BS513</f>
        <v>0</v>
      </c>
      <c r="BS513">
        <v>65</v>
      </c>
      <c r="BT513">
        <f t="shared" si="40"/>
        <v>1</v>
      </c>
    </row>
    <row r="514" spans="1:72" x14ac:dyDescent="0.2">
      <c r="A514" s="19" t="s">
        <v>614</v>
      </c>
      <c r="B514" s="1">
        <v>164</v>
      </c>
      <c r="C514">
        <v>0</v>
      </c>
      <c r="D514" t="s">
        <v>68</v>
      </c>
      <c r="E514" s="2" t="s">
        <v>49</v>
      </c>
      <c r="F514" t="s">
        <v>49</v>
      </c>
      <c r="G514">
        <v>164</v>
      </c>
      <c r="H514" s="2" t="s">
        <v>49</v>
      </c>
      <c r="I514" s="3" t="s">
        <v>69</v>
      </c>
      <c r="J514" s="4">
        <v>164</v>
      </c>
      <c r="Q514" s="4" t="s">
        <v>51</v>
      </c>
      <c r="Y514" s="4">
        <f>J514</f>
        <v>164</v>
      </c>
      <c r="Z514" s="4">
        <v>0</v>
      </c>
      <c r="AM514">
        <v>40</v>
      </c>
      <c r="AN514" t="s">
        <v>52</v>
      </c>
      <c r="AO514" t="s">
        <v>53</v>
      </c>
      <c r="AP514" t="s">
        <v>49</v>
      </c>
      <c r="AQ514">
        <v>0</v>
      </c>
      <c r="AR514" t="s">
        <v>54</v>
      </c>
      <c r="AS514" t="s">
        <v>55</v>
      </c>
      <c r="AT514" t="s">
        <v>55</v>
      </c>
      <c r="AU514" t="s">
        <v>56</v>
      </c>
      <c r="AV514">
        <v>2363</v>
      </c>
      <c r="AW514" t="s">
        <v>70</v>
      </c>
      <c r="AX514" t="s">
        <v>55</v>
      </c>
      <c r="AY514" t="s">
        <v>58</v>
      </c>
      <c r="AZ514" t="s">
        <v>180</v>
      </c>
      <c r="BA514" t="s">
        <v>55</v>
      </c>
      <c r="BB514" t="s">
        <v>49</v>
      </c>
      <c r="BC514" t="s">
        <v>482</v>
      </c>
      <c r="BD514" t="s">
        <v>49</v>
      </c>
      <c r="BE514" t="s">
        <v>55</v>
      </c>
      <c r="BF514">
        <v>59</v>
      </c>
      <c r="BG514" t="s">
        <v>60</v>
      </c>
      <c r="BH514" t="s">
        <v>71</v>
      </c>
      <c r="BI514" t="s">
        <v>131</v>
      </c>
      <c r="BJ514" t="s">
        <v>63</v>
      </c>
      <c r="BK514">
        <v>2007</v>
      </c>
      <c r="BL514">
        <v>0</v>
      </c>
      <c r="BR514">
        <f>B514-BS514</f>
        <v>38</v>
      </c>
      <c r="BS514">
        <v>126</v>
      </c>
      <c r="BT514">
        <f t="shared" si="40"/>
        <v>1</v>
      </c>
    </row>
    <row r="515" spans="1:72" x14ac:dyDescent="0.2">
      <c r="A515" s="19" t="s">
        <v>696</v>
      </c>
      <c r="B515" s="1">
        <v>1362</v>
      </c>
      <c r="C515">
        <v>1</v>
      </c>
      <c r="D515" s="8" t="s">
        <v>48</v>
      </c>
      <c r="E515" s="12" t="s">
        <v>49</v>
      </c>
      <c r="F515" s="8">
        <v>1362</v>
      </c>
      <c r="G515" s="8">
        <v>1362</v>
      </c>
      <c r="H515" s="12" t="s">
        <v>49</v>
      </c>
      <c r="I515" s="3">
        <v>1362</v>
      </c>
      <c r="J515" s="4">
        <f>I515</f>
        <v>1362</v>
      </c>
      <c r="K515" s="8"/>
      <c r="L515" s="8"/>
      <c r="M515" s="8"/>
      <c r="N515" s="8"/>
      <c r="O515" s="8"/>
      <c r="P515" s="8"/>
      <c r="Q515" s="4" t="s">
        <v>51</v>
      </c>
      <c r="R515" s="8"/>
      <c r="S515" s="8"/>
      <c r="T515" s="8"/>
      <c r="U515" s="8"/>
      <c r="V515" s="8"/>
      <c r="W515" s="8">
        <v>4</v>
      </c>
      <c r="X515" s="8">
        <v>8</v>
      </c>
      <c r="Y515" s="4">
        <f>J515</f>
        <v>1362</v>
      </c>
      <c r="Z515" s="4">
        <v>1</v>
      </c>
      <c r="AA515" s="8"/>
      <c r="AB515" s="8"/>
      <c r="AC515" s="8"/>
      <c r="AD515" s="8"/>
      <c r="AE515" s="8"/>
      <c r="AF515" s="8"/>
      <c r="AG515" s="8"/>
      <c r="AH515" s="8"/>
      <c r="AI515" s="8"/>
      <c r="AJ515" s="8"/>
      <c r="AK515" s="8"/>
      <c r="AL515" s="8"/>
      <c r="AM515" s="8">
        <v>74</v>
      </c>
      <c r="AN515" s="8" t="s">
        <v>52</v>
      </c>
      <c r="AO515" s="8" t="s">
        <v>53</v>
      </c>
      <c r="AP515" s="8" t="s">
        <v>49</v>
      </c>
      <c r="AQ515" s="8">
        <v>0</v>
      </c>
      <c r="AR515" s="8" t="s">
        <v>54</v>
      </c>
      <c r="AS515" s="8" t="s">
        <v>55</v>
      </c>
      <c r="AT515" s="8" t="s">
        <v>55</v>
      </c>
      <c r="AU515" s="8" t="s">
        <v>56</v>
      </c>
      <c r="AV515" s="8">
        <v>2372</v>
      </c>
      <c r="AW515" s="8" t="s">
        <v>49</v>
      </c>
      <c r="AX515" s="8" t="s">
        <v>55</v>
      </c>
      <c r="AY515" s="8" t="s">
        <v>49</v>
      </c>
      <c r="AZ515" s="8" t="s">
        <v>59</v>
      </c>
      <c r="BA515" s="8" t="s">
        <v>55</v>
      </c>
      <c r="BB515" s="8" t="s">
        <v>49</v>
      </c>
      <c r="BC515" s="8" t="s">
        <v>482</v>
      </c>
      <c r="BD515" s="8" t="s">
        <v>49</v>
      </c>
      <c r="BE515" s="8" t="s">
        <v>55</v>
      </c>
      <c r="BF515" s="8">
        <v>59</v>
      </c>
      <c r="BG515" s="8" t="s">
        <v>511</v>
      </c>
      <c r="BH515" s="8" t="s">
        <v>71</v>
      </c>
      <c r="BI515" s="8" t="s">
        <v>62</v>
      </c>
      <c r="BJ515" s="8" t="s">
        <v>63</v>
      </c>
      <c r="BK515" s="8">
        <v>2005</v>
      </c>
      <c r="BL515">
        <v>1</v>
      </c>
      <c r="BR515">
        <f>I515-BS515</f>
        <v>1278</v>
      </c>
      <c r="BS515">
        <v>84</v>
      </c>
      <c r="BT515">
        <f t="shared" si="40"/>
        <v>1</v>
      </c>
    </row>
    <row r="516" spans="1:72" x14ac:dyDescent="0.2">
      <c r="A516" s="19" t="s">
        <v>697</v>
      </c>
      <c r="B516" s="1">
        <v>338</v>
      </c>
      <c r="C516">
        <v>0</v>
      </c>
      <c r="D516" s="8" t="s">
        <v>68</v>
      </c>
      <c r="E516" s="12" t="s">
        <v>49</v>
      </c>
      <c r="F516" s="8" t="s">
        <v>49</v>
      </c>
      <c r="G516" s="8">
        <v>338</v>
      </c>
      <c r="H516" s="12" t="s">
        <v>49</v>
      </c>
      <c r="I516" s="3" t="s">
        <v>69</v>
      </c>
      <c r="J516" s="4">
        <v>336</v>
      </c>
      <c r="K516" s="8"/>
      <c r="L516" s="8"/>
      <c r="M516" s="8"/>
      <c r="N516" s="8"/>
      <c r="O516" s="8"/>
      <c r="P516" s="8"/>
      <c r="Q516" s="4" t="s">
        <v>51</v>
      </c>
      <c r="R516" s="8"/>
      <c r="S516" s="8"/>
      <c r="T516" s="8"/>
      <c r="U516" s="8"/>
      <c r="V516" s="8"/>
      <c r="W516" s="8">
        <v>12</v>
      </c>
      <c r="X516" s="8">
        <v>24</v>
      </c>
      <c r="Y516" s="4">
        <f>J516</f>
        <v>336</v>
      </c>
      <c r="Z516" s="4">
        <v>0</v>
      </c>
      <c r="AA516" s="8"/>
      <c r="AB516" s="8"/>
      <c r="AC516" s="8"/>
      <c r="AD516" s="8"/>
      <c r="AE516" s="8"/>
      <c r="AF516" s="8"/>
      <c r="AG516" s="8"/>
      <c r="AH516" s="8"/>
      <c r="AI516" s="8"/>
      <c r="AJ516" s="8"/>
      <c r="AK516" s="8"/>
      <c r="AL516" s="8"/>
      <c r="AM516" s="8">
        <v>38</v>
      </c>
      <c r="AN516" s="8" t="s">
        <v>52</v>
      </c>
      <c r="AO516" s="8" t="s">
        <v>53</v>
      </c>
      <c r="AP516" s="8">
        <v>-13894</v>
      </c>
      <c r="AQ516" s="8">
        <v>0</v>
      </c>
      <c r="AR516" s="8" t="s">
        <v>54</v>
      </c>
      <c r="AS516" s="8" t="s">
        <v>55</v>
      </c>
      <c r="AT516" s="8" t="s">
        <v>55</v>
      </c>
      <c r="AU516" s="8" t="s">
        <v>157</v>
      </c>
      <c r="AV516" s="8">
        <v>1721</v>
      </c>
      <c r="AW516" s="8" t="s">
        <v>70</v>
      </c>
      <c r="AX516" s="8" t="s">
        <v>53</v>
      </c>
      <c r="AY516" s="8" t="s">
        <v>58</v>
      </c>
      <c r="AZ516" s="8" t="s">
        <v>59</v>
      </c>
      <c r="BA516" s="8" t="s">
        <v>55</v>
      </c>
      <c r="BB516" s="8" t="s">
        <v>49</v>
      </c>
      <c r="BC516" s="8" t="s">
        <v>49</v>
      </c>
      <c r="BD516" s="8" t="s">
        <v>49</v>
      </c>
      <c r="BE516" s="8" t="s">
        <v>55</v>
      </c>
      <c r="BF516" s="8">
        <v>61</v>
      </c>
      <c r="BG516" s="8" t="s">
        <v>551</v>
      </c>
      <c r="BH516" s="8" t="s">
        <v>49</v>
      </c>
      <c r="BI516" s="8" t="s">
        <v>83</v>
      </c>
      <c r="BJ516" s="8" t="s">
        <v>63</v>
      </c>
      <c r="BK516" s="8">
        <v>2008</v>
      </c>
      <c r="BL516">
        <v>0</v>
      </c>
      <c r="BR516">
        <f>B516-BS516</f>
        <v>21</v>
      </c>
      <c r="BS516">
        <v>317</v>
      </c>
      <c r="BT516">
        <f t="shared" si="40"/>
        <v>1</v>
      </c>
    </row>
    <row r="517" spans="1:72" x14ac:dyDescent="0.2">
      <c r="A517" s="19" t="s">
        <v>698</v>
      </c>
      <c r="B517" s="1">
        <v>245</v>
      </c>
      <c r="C517">
        <v>0</v>
      </c>
      <c r="D517" s="8" t="s">
        <v>68</v>
      </c>
      <c r="E517" s="12" t="s">
        <v>49</v>
      </c>
      <c r="F517" s="8" t="s">
        <v>49</v>
      </c>
      <c r="G517" s="8">
        <v>245</v>
      </c>
      <c r="H517" s="12" t="s">
        <v>49</v>
      </c>
      <c r="I517" s="3" t="s">
        <v>69</v>
      </c>
      <c r="J517" s="8">
        <v>142</v>
      </c>
      <c r="K517" s="8"/>
      <c r="L517" s="8"/>
      <c r="M517" s="8"/>
      <c r="N517" s="8"/>
      <c r="O517" s="8"/>
      <c r="P517" s="8"/>
      <c r="Q517" s="8" t="s">
        <v>699</v>
      </c>
      <c r="R517" s="8"/>
      <c r="S517" s="8"/>
      <c r="T517" s="8"/>
      <c r="U517" s="8"/>
      <c r="V517" s="8"/>
      <c r="W517" s="8">
        <v>3</v>
      </c>
      <c r="X517" s="8">
        <v>9</v>
      </c>
      <c r="Y517" s="8"/>
      <c r="Z517" s="8"/>
      <c r="AA517" s="8"/>
      <c r="AB517" s="8"/>
      <c r="AC517" s="8"/>
      <c r="AD517" s="8"/>
      <c r="AE517" s="8"/>
      <c r="AF517" s="8"/>
      <c r="AG517" s="8"/>
      <c r="AH517" s="8"/>
      <c r="AI517" s="8"/>
      <c r="AJ517" s="8"/>
      <c r="AK517" s="8"/>
      <c r="AL517" s="8"/>
      <c r="AM517" s="8">
        <v>89</v>
      </c>
      <c r="AN517" s="8" t="s">
        <v>52</v>
      </c>
      <c r="AO517" s="8" t="s">
        <v>55</v>
      </c>
      <c r="AP517" s="8">
        <v>-32853</v>
      </c>
      <c r="AQ517" s="8">
        <v>0</v>
      </c>
      <c r="AR517" s="8" t="s">
        <v>54</v>
      </c>
      <c r="AS517" s="8" t="s">
        <v>55</v>
      </c>
      <c r="AT517" s="8" t="s">
        <v>55</v>
      </c>
      <c r="AU517" s="8" t="s">
        <v>56</v>
      </c>
      <c r="AV517" s="8">
        <v>1722</v>
      </c>
      <c r="AW517" s="8" t="s">
        <v>57</v>
      </c>
      <c r="AX517" s="8" t="s">
        <v>55</v>
      </c>
      <c r="AY517" s="8" t="s">
        <v>92</v>
      </c>
      <c r="AZ517" s="8" t="s">
        <v>59</v>
      </c>
      <c r="BA517" s="8" t="s">
        <v>55</v>
      </c>
      <c r="BB517" s="8" t="s">
        <v>49</v>
      </c>
      <c r="BC517" s="8" t="s">
        <v>49</v>
      </c>
      <c r="BD517" s="8" t="s">
        <v>106</v>
      </c>
      <c r="BE517" s="8" t="s">
        <v>55</v>
      </c>
      <c r="BF517" s="8">
        <v>61</v>
      </c>
      <c r="BG517" s="8" t="s">
        <v>60</v>
      </c>
      <c r="BH517" s="8" t="s">
        <v>71</v>
      </c>
      <c r="BI517" s="8" t="s">
        <v>512</v>
      </c>
      <c r="BJ517" s="8" t="s">
        <v>63</v>
      </c>
      <c r="BK517" s="8">
        <v>2008</v>
      </c>
      <c r="BL517">
        <v>0</v>
      </c>
      <c r="BT517">
        <f t="shared" si="40"/>
        <v>1</v>
      </c>
    </row>
    <row r="518" spans="1:72" x14ac:dyDescent="0.2">
      <c r="A518" s="19" t="s">
        <v>616</v>
      </c>
      <c r="B518" s="1">
        <v>637</v>
      </c>
      <c r="C518">
        <v>1</v>
      </c>
      <c r="D518" t="s">
        <v>48</v>
      </c>
      <c r="E518" s="2" t="s">
        <v>49</v>
      </c>
      <c r="F518">
        <v>637</v>
      </c>
      <c r="G518">
        <v>637</v>
      </c>
      <c r="H518" s="2" t="s">
        <v>49</v>
      </c>
      <c r="I518" s="3">
        <v>287</v>
      </c>
      <c r="J518" s="10">
        <v>287</v>
      </c>
      <c r="K518" s="11">
        <v>81</v>
      </c>
      <c r="L518" s="5">
        <v>145</v>
      </c>
      <c r="M518" s="6">
        <v>94</v>
      </c>
      <c r="N518" s="7">
        <v>30</v>
      </c>
      <c r="Q518" s="10" t="s">
        <v>87</v>
      </c>
      <c r="R518" s="11" t="s">
        <v>90</v>
      </c>
      <c r="S518" s="5" t="s">
        <v>65</v>
      </c>
      <c r="T518" s="6" t="s">
        <v>74</v>
      </c>
      <c r="U518" s="7" t="s">
        <v>75</v>
      </c>
      <c r="AA518" s="11">
        <f>K518</f>
        <v>81</v>
      </c>
      <c r="AB518" s="11">
        <v>1</v>
      </c>
      <c r="AC518" s="6">
        <f>M518</f>
        <v>94</v>
      </c>
      <c r="AD518" s="6">
        <v>1</v>
      </c>
      <c r="AE518" s="5">
        <f>L518</f>
        <v>145</v>
      </c>
      <c r="AF518" s="5">
        <v>1</v>
      </c>
      <c r="AI518" s="7">
        <f>N518</f>
        <v>30</v>
      </c>
      <c r="AJ518" s="7">
        <v>1</v>
      </c>
      <c r="AK518" s="10">
        <f>J518</f>
        <v>287</v>
      </c>
      <c r="AL518" s="10">
        <v>1</v>
      </c>
      <c r="AM518">
        <v>47</v>
      </c>
      <c r="AN518" t="s">
        <v>52</v>
      </c>
      <c r="AO518" t="s">
        <v>53</v>
      </c>
      <c r="AP518">
        <v>-17168</v>
      </c>
      <c r="AQ518">
        <v>0</v>
      </c>
      <c r="AR518" t="s">
        <v>54</v>
      </c>
      <c r="AS518" t="s">
        <v>55</v>
      </c>
      <c r="AT518" t="s">
        <v>55</v>
      </c>
      <c r="AU518" t="s">
        <v>56</v>
      </c>
      <c r="AV518">
        <v>1724</v>
      </c>
      <c r="AW518" t="s">
        <v>57</v>
      </c>
      <c r="AX518" t="s">
        <v>55</v>
      </c>
      <c r="AY518" t="s">
        <v>81</v>
      </c>
      <c r="AZ518" t="s">
        <v>59</v>
      </c>
      <c r="BA518" t="s">
        <v>55</v>
      </c>
      <c r="BB518" t="s">
        <v>49</v>
      </c>
      <c r="BC518" t="s">
        <v>49</v>
      </c>
      <c r="BD518" t="s">
        <v>106</v>
      </c>
      <c r="BE518" t="s">
        <v>55</v>
      </c>
      <c r="BF518">
        <v>61</v>
      </c>
      <c r="BG518" t="s">
        <v>60</v>
      </c>
      <c r="BH518" t="s">
        <v>71</v>
      </c>
      <c r="BI518" t="s">
        <v>62</v>
      </c>
      <c r="BJ518" t="s">
        <v>63</v>
      </c>
      <c r="BK518">
        <v>2007</v>
      </c>
      <c r="BL518">
        <v>1</v>
      </c>
      <c r="BM518">
        <v>1</v>
      </c>
      <c r="BN518">
        <v>1</v>
      </c>
      <c r="BO518">
        <v>1</v>
      </c>
      <c r="BP518">
        <v>1</v>
      </c>
      <c r="BR518">
        <f>I518-BS518</f>
        <v>161</v>
      </c>
      <c r="BS518">
        <v>126</v>
      </c>
      <c r="BT518">
        <f t="shared" si="40"/>
        <v>5</v>
      </c>
    </row>
    <row r="519" spans="1:72" x14ac:dyDescent="0.2">
      <c r="A519" s="19" t="s">
        <v>619</v>
      </c>
      <c r="B519" s="1">
        <v>955</v>
      </c>
      <c r="C519">
        <v>0</v>
      </c>
      <c r="D519" t="s">
        <v>68</v>
      </c>
      <c r="E519" s="2" t="s">
        <v>49</v>
      </c>
      <c r="F519" t="s">
        <v>49</v>
      </c>
      <c r="G519">
        <v>955</v>
      </c>
      <c r="H519" s="2">
        <v>843</v>
      </c>
      <c r="I519" s="3">
        <v>843</v>
      </c>
      <c r="J519" s="4">
        <v>799</v>
      </c>
      <c r="K519" s="10">
        <v>48</v>
      </c>
      <c r="Q519" s="4" t="s">
        <v>51</v>
      </c>
      <c r="R519" s="10" t="s">
        <v>87</v>
      </c>
      <c r="W519">
        <v>18</v>
      </c>
      <c r="X519">
        <v>24</v>
      </c>
      <c r="Y519" s="4">
        <f>J519</f>
        <v>799</v>
      </c>
      <c r="Z519" s="4">
        <v>1</v>
      </c>
      <c r="AI519" s="8"/>
      <c r="AK519" s="10">
        <f>K519</f>
        <v>48</v>
      </c>
      <c r="AL519" s="10">
        <v>0</v>
      </c>
      <c r="AM519">
        <v>40</v>
      </c>
      <c r="AN519" t="s">
        <v>52</v>
      </c>
      <c r="AO519" t="s">
        <v>53</v>
      </c>
      <c r="AP519">
        <v>-14782</v>
      </c>
      <c r="AQ519">
        <v>0</v>
      </c>
      <c r="AR519" t="s">
        <v>54</v>
      </c>
      <c r="AS519" t="s">
        <v>55</v>
      </c>
      <c r="AT519" t="s">
        <v>55</v>
      </c>
      <c r="AU519" t="s">
        <v>56</v>
      </c>
      <c r="AV519">
        <v>1725</v>
      </c>
      <c r="AW519" t="s">
        <v>57</v>
      </c>
      <c r="AX519" t="s">
        <v>55</v>
      </c>
      <c r="AY519" t="s">
        <v>92</v>
      </c>
      <c r="AZ519" t="s">
        <v>59</v>
      </c>
      <c r="BA519" t="s">
        <v>55</v>
      </c>
      <c r="BB519" t="s">
        <v>49</v>
      </c>
      <c r="BC519" t="s">
        <v>49</v>
      </c>
      <c r="BD519" t="s">
        <v>66</v>
      </c>
      <c r="BE519" t="s">
        <v>55</v>
      </c>
      <c r="BF519">
        <v>61</v>
      </c>
      <c r="BG519" t="s">
        <v>60</v>
      </c>
      <c r="BH519" t="s">
        <v>142</v>
      </c>
      <c r="BI519" t="s">
        <v>62</v>
      </c>
      <c r="BJ519" t="s">
        <v>63</v>
      </c>
      <c r="BK519">
        <v>2007</v>
      </c>
      <c r="BL519">
        <v>1</v>
      </c>
      <c r="BM519">
        <v>0</v>
      </c>
      <c r="BR519">
        <f>I519-BS519</f>
        <v>686</v>
      </c>
      <c r="BS519">
        <v>157</v>
      </c>
      <c r="BT519">
        <f t="shared" si="40"/>
        <v>2</v>
      </c>
    </row>
    <row r="520" spans="1:72" x14ac:dyDescent="0.2">
      <c r="A520" s="19" t="s">
        <v>700</v>
      </c>
      <c r="B520" s="1">
        <v>564</v>
      </c>
      <c r="C520">
        <v>0</v>
      </c>
      <c r="D520" s="8" t="s">
        <v>68</v>
      </c>
      <c r="E520" s="12" t="s">
        <v>49</v>
      </c>
      <c r="F520" s="8" t="s">
        <v>49</v>
      </c>
      <c r="G520" s="8">
        <v>564</v>
      </c>
      <c r="H520" s="12" t="s">
        <v>49</v>
      </c>
      <c r="I520" s="3" t="s">
        <v>69</v>
      </c>
      <c r="J520" s="4">
        <v>502</v>
      </c>
      <c r="K520" s="8"/>
      <c r="L520" s="8"/>
      <c r="M520" s="8"/>
      <c r="N520" s="8"/>
      <c r="O520" s="8"/>
      <c r="P520" s="8"/>
      <c r="Q520" s="4" t="s">
        <v>51</v>
      </c>
      <c r="R520" s="8"/>
      <c r="S520" s="8"/>
      <c r="T520" s="8"/>
      <c r="U520" s="8"/>
      <c r="V520" s="8"/>
      <c r="W520" s="8">
        <v>6</v>
      </c>
      <c r="X520" s="8">
        <v>12</v>
      </c>
      <c r="Y520" s="4">
        <f>J520</f>
        <v>502</v>
      </c>
      <c r="Z520" s="4">
        <v>0</v>
      </c>
      <c r="AA520" s="8"/>
      <c r="AB520" s="8"/>
      <c r="AC520" s="8"/>
      <c r="AD520" s="8"/>
      <c r="AE520" s="8"/>
      <c r="AF520" s="8"/>
      <c r="AG520" s="8"/>
      <c r="AH520" s="8"/>
      <c r="AI520" s="8"/>
      <c r="AJ520" s="8"/>
      <c r="AK520" s="8"/>
      <c r="AL520" s="8"/>
      <c r="AM520" s="8">
        <v>74</v>
      </c>
      <c r="AN520" s="8" t="s">
        <v>126</v>
      </c>
      <c r="AO520" s="8" t="s">
        <v>53</v>
      </c>
      <c r="AP520" s="8">
        <v>-27202</v>
      </c>
      <c r="AQ520" s="8">
        <v>0</v>
      </c>
      <c r="AR520" s="8" t="s">
        <v>54</v>
      </c>
      <c r="AS520" s="8" t="s">
        <v>55</v>
      </c>
      <c r="AT520" s="8" t="s">
        <v>55</v>
      </c>
      <c r="AU520" s="8" t="s">
        <v>56</v>
      </c>
      <c r="AV520" s="8">
        <v>1727</v>
      </c>
      <c r="AW520" s="8" t="s">
        <v>70</v>
      </c>
      <c r="AX520" s="8" t="s">
        <v>55</v>
      </c>
      <c r="AY520" s="8" t="s">
        <v>58</v>
      </c>
      <c r="AZ520" s="8" t="s">
        <v>59</v>
      </c>
      <c r="BA520" s="8" t="s">
        <v>55</v>
      </c>
      <c r="BB520" s="8" t="s">
        <v>49</v>
      </c>
      <c r="BC520" s="8" t="s">
        <v>49</v>
      </c>
      <c r="BD520" s="8" t="s">
        <v>49</v>
      </c>
      <c r="BE520" s="8" t="s">
        <v>55</v>
      </c>
      <c r="BF520" s="8">
        <v>61</v>
      </c>
      <c r="BG520" s="8" t="s">
        <v>60</v>
      </c>
      <c r="BH520" s="8" t="s">
        <v>71</v>
      </c>
      <c r="BI520" s="8" t="s">
        <v>556</v>
      </c>
      <c r="BJ520" s="8" t="s">
        <v>63</v>
      </c>
      <c r="BK520" s="8">
        <v>2007</v>
      </c>
      <c r="BL520">
        <v>0</v>
      </c>
      <c r="BR520">
        <f>B520-BS520</f>
        <v>411</v>
      </c>
      <c r="BS520">
        <v>153</v>
      </c>
      <c r="BT520">
        <f t="shared" si="40"/>
        <v>1</v>
      </c>
    </row>
    <row r="521" spans="1:72" x14ac:dyDescent="0.2">
      <c r="A521" s="19" t="s">
        <v>620</v>
      </c>
      <c r="B521" s="1">
        <v>848</v>
      </c>
      <c r="C521">
        <v>0</v>
      </c>
      <c r="D521" t="s">
        <v>68</v>
      </c>
      <c r="E521" s="2" t="s">
        <v>49</v>
      </c>
      <c r="F521" t="s">
        <v>49</v>
      </c>
      <c r="G521">
        <v>848</v>
      </c>
      <c r="H521" s="2">
        <v>533</v>
      </c>
      <c r="I521" s="3">
        <v>533</v>
      </c>
      <c r="J521" s="4">
        <v>490</v>
      </c>
      <c r="Q521" s="4" t="s">
        <v>51</v>
      </c>
      <c r="W521" s="8">
        <v>8</v>
      </c>
      <c r="X521" s="8">
        <v>16</v>
      </c>
      <c r="Y521" s="4">
        <f>J521</f>
        <v>490</v>
      </c>
      <c r="Z521" s="4">
        <v>0</v>
      </c>
      <c r="AM521">
        <v>59</v>
      </c>
      <c r="AN521" t="s">
        <v>52</v>
      </c>
      <c r="AO521" t="s">
        <v>53</v>
      </c>
      <c r="AP521">
        <v>-21582</v>
      </c>
      <c r="AQ521">
        <v>0</v>
      </c>
      <c r="AR521" t="s">
        <v>54</v>
      </c>
      <c r="AS521" t="s">
        <v>55</v>
      </c>
      <c r="AT521" t="s">
        <v>55</v>
      </c>
      <c r="AU521" t="s">
        <v>56</v>
      </c>
      <c r="AV521">
        <v>1728</v>
      </c>
      <c r="AW521" t="s">
        <v>70</v>
      </c>
      <c r="AX521" t="s">
        <v>55</v>
      </c>
      <c r="AY521" t="s">
        <v>58</v>
      </c>
      <c r="AZ521" t="s">
        <v>59</v>
      </c>
      <c r="BA521" t="s">
        <v>55</v>
      </c>
      <c r="BB521" t="s">
        <v>49</v>
      </c>
      <c r="BC521" t="s">
        <v>49</v>
      </c>
      <c r="BD521" t="s">
        <v>66</v>
      </c>
      <c r="BE521" t="s">
        <v>55</v>
      </c>
      <c r="BF521">
        <v>61</v>
      </c>
      <c r="BG521" t="s">
        <v>60</v>
      </c>
      <c r="BH521" t="s">
        <v>61</v>
      </c>
      <c r="BI521" t="s">
        <v>83</v>
      </c>
      <c r="BJ521" t="s">
        <v>63</v>
      </c>
      <c r="BK521">
        <v>2007</v>
      </c>
      <c r="BL521">
        <v>1</v>
      </c>
      <c r="BR521">
        <f>I521-BS521</f>
        <v>329</v>
      </c>
      <c r="BS521">
        <v>204</v>
      </c>
      <c r="BT521">
        <f t="shared" si="40"/>
        <v>1</v>
      </c>
    </row>
    <row r="522" spans="1:72" x14ac:dyDescent="0.2">
      <c r="A522" s="19" t="s">
        <v>701</v>
      </c>
      <c r="B522" s="1">
        <v>132</v>
      </c>
      <c r="C522">
        <v>1</v>
      </c>
      <c r="D522" s="8" t="s">
        <v>48</v>
      </c>
      <c r="E522" s="12" t="s">
        <v>49</v>
      </c>
      <c r="F522" s="8">
        <v>132</v>
      </c>
      <c r="G522" s="8">
        <v>132</v>
      </c>
      <c r="H522" s="12" t="s">
        <v>49</v>
      </c>
      <c r="I522" s="3">
        <v>132</v>
      </c>
      <c r="J522" s="8" t="s">
        <v>50</v>
      </c>
      <c r="K522" s="8"/>
      <c r="L522" s="8"/>
      <c r="M522" s="8"/>
      <c r="N522" s="8"/>
      <c r="O522" s="8"/>
      <c r="P522" s="8"/>
      <c r="Q522" s="8" t="s">
        <v>50</v>
      </c>
      <c r="R522" s="8"/>
      <c r="S522" s="8"/>
      <c r="T522" s="8"/>
      <c r="U522" s="8"/>
      <c r="V522" s="8"/>
      <c r="W522" s="8"/>
      <c r="X522" s="8"/>
      <c r="Y522" s="8"/>
      <c r="Z522" s="8"/>
      <c r="AA522" s="8"/>
      <c r="AB522" s="8"/>
      <c r="AC522" s="8"/>
      <c r="AD522" s="8"/>
      <c r="AE522" s="8"/>
      <c r="AF522" s="8"/>
      <c r="AG522" s="8"/>
      <c r="AH522" s="8"/>
      <c r="AI522" s="8"/>
      <c r="AJ522" s="8"/>
      <c r="AK522" s="8"/>
      <c r="AL522" s="8"/>
      <c r="AM522" s="8">
        <v>78</v>
      </c>
      <c r="AN522" s="8" t="s">
        <v>101</v>
      </c>
      <c r="AO522" s="8" t="s">
        <v>55</v>
      </c>
      <c r="AP522" s="8">
        <v>-28507</v>
      </c>
      <c r="AQ522" s="8">
        <v>0</v>
      </c>
      <c r="AR522" s="8" t="s">
        <v>54</v>
      </c>
      <c r="AS522" s="8" t="s">
        <v>55</v>
      </c>
      <c r="AT522" s="8" t="s">
        <v>55</v>
      </c>
      <c r="AU522" s="8" t="s">
        <v>56</v>
      </c>
      <c r="AV522" s="8">
        <v>1730</v>
      </c>
      <c r="AW522" s="8" t="s">
        <v>57</v>
      </c>
      <c r="AX522" s="8" t="s">
        <v>55</v>
      </c>
      <c r="AY522" s="8" t="s">
        <v>49</v>
      </c>
      <c r="AZ522" s="8" t="s">
        <v>59</v>
      </c>
      <c r="BA522" s="8" t="s">
        <v>55</v>
      </c>
      <c r="BB522" s="8" t="s">
        <v>49</v>
      </c>
      <c r="BC522" s="8" t="s">
        <v>49</v>
      </c>
      <c r="BD522" s="8" t="s">
        <v>49</v>
      </c>
      <c r="BE522" s="8" t="s">
        <v>55</v>
      </c>
      <c r="BF522" s="8">
        <v>61</v>
      </c>
      <c r="BG522" s="8" t="s">
        <v>60</v>
      </c>
      <c r="BH522" s="8" t="s">
        <v>61</v>
      </c>
      <c r="BI522" s="8" t="s">
        <v>556</v>
      </c>
      <c r="BJ522" s="8" t="s">
        <v>63</v>
      </c>
      <c r="BK522" s="8">
        <v>2007</v>
      </c>
      <c r="BT522">
        <f t="shared" si="40"/>
        <v>0</v>
      </c>
    </row>
    <row r="523" spans="1:72" x14ac:dyDescent="0.2">
      <c r="A523" s="19" t="s">
        <v>621</v>
      </c>
      <c r="B523" s="1">
        <v>966</v>
      </c>
      <c r="C523">
        <v>0</v>
      </c>
      <c r="D523" t="s">
        <v>68</v>
      </c>
      <c r="E523" s="2" t="s">
        <v>49</v>
      </c>
      <c r="F523" t="s">
        <v>49</v>
      </c>
      <c r="G523">
        <v>966</v>
      </c>
      <c r="H523" s="2">
        <v>174</v>
      </c>
      <c r="I523" s="3">
        <v>174</v>
      </c>
      <c r="J523" s="4">
        <f>174-22</f>
        <v>152</v>
      </c>
      <c r="K523" s="5">
        <v>253</v>
      </c>
      <c r="L523" s="4">
        <v>503</v>
      </c>
      <c r="Q523" s="4" t="s">
        <v>51</v>
      </c>
      <c r="R523" s="5" t="s">
        <v>65</v>
      </c>
      <c r="S523" s="4" t="s">
        <v>51</v>
      </c>
      <c r="W523" s="8">
        <v>6</v>
      </c>
      <c r="X523" s="8">
        <v>12</v>
      </c>
      <c r="Y523" s="4">
        <f>J523+L523</f>
        <v>655</v>
      </c>
      <c r="Z523" s="4">
        <v>0</v>
      </c>
      <c r="AE523" s="5">
        <f>K523</f>
        <v>253</v>
      </c>
      <c r="AF523" s="5">
        <v>1</v>
      </c>
      <c r="AM523">
        <v>71</v>
      </c>
      <c r="AN523" t="s">
        <v>52</v>
      </c>
      <c r="AO523" t="s">
        <v>53</v>
      </c>
      <c r="AP523">
        <v>-26180</v>
      </c>
      <c r="AQ523">
        <v>0</v>
      </c>
      <c r="AR523" t="s">
        <v>54</v>
      </c>
      <c r="AS523" t="s">
        <v>55</v>
      </c>
      <c r="AT523" t="s">
        <v>55</v>
      </c>
      <c r="AU523" t="s">
        <v>56</v>
      </c>
      <c r="AV523">
        <v>1733</v>
      </c>
      <c r="AW523" t="s">
        <v>57</v>
      </c>
      <c r="AX523" t="s">
        <v>55</v>
      </c>
      <c r="AY523" t="s">
        <v>92</v>
      </c>
      <c r="AZ523" t="s">
        <v>59</v>
      </c>
      <c r="BA523" t="s">
        <v>55</v>
      </c>
      <c r="BB523" t="s">
        <v>49</v>
      </c>
      <c r="BC523" t="s">
        <v>49</v>
      </c>
      <c r="BD523" t="s">
        <v>66</v>
      </c>
      <c r="BE523" t="s">
        <v>55</v>
      </c>
      <c r="BF523">
        <v>61</v>
      </c>
      <c r="BG523" t="s">
        <v>60</v>
      </c>
      <c r="BH523" t="s">
        <v>71</v>
      </c>
      <c r="BI523" t="s">
        <v>62</v>
      </c>
      <c r="BJ523" t="s">
        <v>63</v>
      </c>
      <c r="BK523">
        <v>2006</v>
      </c>
      <c r="BL523">
        <v>1</v>
      </c>
      <c r="BM523">
        <v>1</v>
      </c>
      <c r="BN523">
        <v>0</v>
      </c>
      <c r="BR523">
        <f>I523-BS523</f>
        <v>48</v>
      </c>
      <c r="BS523">
        <v>126</v>
      </c>
      <c r="BT523">
        <f t="shared" si="40"/>
        <v>3</v>
      </c>
    </row>
    <row r="524" spans="1:72" x14ac:dyDescent="0.2">
      <c r="A524" s="19" t="s">
        <v>702</v>
      </c>
      <c r="B524" s="1">
        <v>866</v>
      </c>
      <c r="C524">
        <v>0</v>
      </c>
      <c r="D524" s="8" t="s">
        <v>68</v>
      </c>
      <c r="E524" s="12" t="s">
        <v>49</v>
      </c>
      <c r="F524" s="8" t="s">
        <v>49</v>
      </c>
      <c r="G524" s="8">
        <v>866</v>
      </c>
      <c r="H524" s="12" t="s">
        <v>49</v>
      </c>
      <c r="I524" s="3" t="s">
        <v>69</v>
      </c>
      <c r="J524" s="4">
        <v>820</v>
      </c>
      <c r="K524" s="8"/>
      <c r="L524" s="8"/>
      <c r="M524" s="8"/>
      <c r="N524" s="8"/>
      <c r="O524" s="8"/>
      <c r="P524" s="8"/>
      <c r="Q524" s="4" t="s">
        <v>51</v>
      </c>
      <c r="R524" s="8"/>
      <c r="S524" s="8"/>
      <c r="T524" s="8"/>
      <c r="U524" s="8"/>
      <c r="V524" s="8"/>
      <c r="W524" s="8">
        <v>6</v>
      </c>
      <c r="X524" s="8">
        <v>12</v>
      </c>
      <c r="Y524" s="4">
        <f>J524</f>
        <v>820</v>
      </c>
      <c r="Z524" s="4">
        <v>0</v>
      </c>
      <c r="AA524" s="8"/>
      <c r="AB524" s="8"/>
      <c r="AC524" s="8"/>
      <c r="AD524" s="8"/>
      <c r="AE524" s="8"/>
      <c r="AF524" s="8"/>
      <c r="AG524" s="8"/>
      <c r="AH524" s="8"/>
      <c r="AI524" s="8"/>
      <c r="AJ524" s="8"/>
      <c r="AK524" s="8"/>
      <c r="AL524" s="8"/>
      <c r="AM524" s="8">
        <v>52</v>
      </c>
      <c r="AN524" s="8" t="s">
        <v>52</v>
      </c>
      <c r="AO524" s="8" t="s">
        <v>53</v>
      </c>
      <c r="AP524" s="8">
        <v>-19026</v>
      </c>
      <c r="AQ524" s="8">
        <v>0</v>
      </c>
      <c r="AR524" s="8" t="s">
        <v>54</v>
      </c>
      <c r="AS524" s="8" t="s">
        <v>55</v>
      </c>
      <c r="AT524" s="8" t="s">
        <v>55</v>
      </c>
      <c r="AU524" s="8" t="s">
        <v>56</v>
      </c>
      <c r="AV524" s="8">
        <v>1734</v>
      </c>
      <c r="AW524" s="8" t="s">
        <v>70</v>
      </c>
      <c r="AX524" s="8" t="s">
        <v>55</v>
      </c>
      <c r="AY524" s="8" t="s">
        <v>58</v>
      </c>
      <c r="AZ524" s="8" t="s">
        <v>59</v>
      </c>
      <c r="BA524" s="8" t="s">
        <v>55</v>
      </c>
      <c r="BB524" s="8" t="s">
        <v>49</v>
      </c>
      <c r="BC524" s="8" t="s">
        <v>49</v>
      </c>
      <c r="BD524" s="8" t="s">
        <v>49</v>
      </c>
      <c r="BE524" s="8" t="s">
        <v>55</v>
      </c>
      <c r="BF524" s="8">
        <v>61</v>
      </c>
      <c r="BG524" s="8" t="s">
        <v>60</v>
      </c>
      <c r="BH524" s="8" t="s">
        <v>49</v>
      </c>
      <c r="BI524" s="8" t="s">
        <v>556</v>
      </c>
      <c r="BJ524" s="8" t="s">
        <v>63</v>
      </c>
      <c r="BK524" s="8">
        <v>2006</v>
      </c>
      <c r="BL524">
        <v>0</v>
      </c>
      <c r="BR524">
        <f>B524-BS524</f>
        <v>708</v>
      </c>
      <c r="BS524">
        <v>158</v>
      </c>
      <c r="BT524">
        <f t="shared" si="40"/>
        <v>1</v>
      </c>
    </row>
    <row r="525" spans="1:72" x14ac:dyDescent="0.2">
      <c r="A525" s="19" t="s">
        <v>622</v>
      </c>
      <c r="B525" s="1">
        <v>1484</v>
      </c>
      <c r="C525">
        <v>1</v>
      </c>
      <c r="D525" t="s">
        <v>48</v>
      </c>
      <c r="E525" s="2" t="s">
        <v>49</v>
      </c>
      <c r="F525">
        <v>1484</v>
      </c>
      <c r="G525">
        <v>1484</v>
      </c>
      <c r="H525" s="2">
        <v>764</v>
      </c>
      <c r="I525" s="3">
        <v>764</v>
      </c>
      <c r="J525" s="4">
        <v>730</v>
      </c>
      <c r="K525" s="10">
        <v>179</v>
      </c>
      <c r="L525" s="5">
        <v>541</v>
      </c>
      <c r="Q525" s="4" t="s">
        <v>51</v>
      </c>
      <c r="R525" s="10" t="s">
        <v>87</v>
      </c>
      <c r="S525" s="5" t="s">
        <v>65</v>
      </c>
      <c r="W525" s="8">
        <v>6</v>
      </c>
      <c r="X525" s="8">
        <v>12</v>
      </c>
      <c r="Y525" s="4">
        <f>J525</f>
        <v>730</v>
      </c>
      <c r="Z525" s="4">
        <v>1</v>
      </c>
      <c r="AE525" s="5">
        <f>L525</f>
        <v>541</v>
      </c>
      <c r="AF525" s="5">
        <v>1</v>
      </c>
      <c r="AI525" s="8"/>
      <c r="AK525" s="10">
        <f>K525</f>
        <v>179</v>
      </c>
      <c r="AL525" s="10">
        <v>1</v>
      </c>
      <c r="AM525">
        <v>45</v>
      </c>
      <c r="AN525" t="s">
        <v>52</v>
      </c>
      <c r="AO525" t="s">
        <v>53</v>
      </c>
      <c r="AP525">
        <v>-16612</v>
      </c>
      <c r="AQ525">
        <v>0</v>
      </c>
      <c r="AR525" t="s">
        <v>54</v>
      </c>
      <c r="AS525" t="s">
        <v>55</v>
      </c>
      <c r="AT525" t="s">
        <v>55</v>
      </c>
      <c r="AU525" t="s">
        <v>157</v>
      </c>
      <c r="AV525">
        <v>1736</v>
      </c>
      <c r="AW525" t="s">
        <v>57</v>
      </c>
      <c r="AX525" t="s">
        <v>55</v>
      </c>
      <c r="AY525" t="s">
        <v>58</v>
      </c>
      <c r="AZ525" t="s">
        <v>59</v>
      </c>
      <c r="BA525" t="s">
        <v>55</v>
      </c>
      <c r="BB525" t="s">
        <v>49</v>
      </c>
      <c r="BC525" t="s">
        <v>49</v>
      </c>
      <c r="BD525" t="s">
        <v>106</v>
      </c>
      <c r="BE525" t="s">
        <v>55</v>
      </c>
      <c r="BF525">
        <v>61</v>
      </c>
      <c r="BG525" t="s">
        <v>60</v>
      </c>
      <c r="BH525" t="s">
        <v>49</v>
      </c>
      <c r="BI525" t="s">
        <v>62</v>
      </c>
      <c r="BJ525" t="s">
        <v>63</v>
      </c>
      <c r="BK525">
        <v>2005</v>
      </c>
      <c r="BL525">
        <v>1</v>
      </c>
      <c r="BM525">
        <v>1</v>
      </c>
      <c r="BN525">
        <v>1</v>
      </c>
      <c r="BR525">
        <f>I525-BS525</f>
        <v>626</v>
      </c>
      <c r="BS525">
        <v>138</v>
      </c>
      <c r="BT525">
        <f t="shared" si="40"/>
        <v>3</v>
      </c>
    </row>
    <row r="526" spans="1:72" x14ac:dyDescent="0.2">
      <c r="A526" s="19" t="s">
        <v>623</v>
      </c>
      <c r="B526" s="1">
        <v>1364</v>
      </c>
      <c r="C526">
        <v>0</v>
      </c>
      <c r="D526" t="s">
        <v>68</v>
      </c>
      <c r="E526" s="2" t="s">
        <v>49</v>
      </c>
      <c r="F526" t="s">
        <v>49</v>
      </c>
      <c r="G526">
        <v>1364</v>
      </c>
      <c r="H526" s="2" t="s">
        <v>49</v>
      </c>
      <c r="I526" s="3" t="s">
        <v>69</v>
      </c>
      <c r="J526" s="4">
        <v>1321</v>
      </c>
      <c r="Q526" s="4" t="s">
        <v>51</v>
      </c>
      <c r="W526" s="8">
        <v>7</v>
      </c>
      <c r="X526" s="8">
        <v>14</v>
      </c>
      <c r="Y526" s="4">
        <f>J526</f>
        <v>1321</v>
      </c>
      <c r="Z526" s="4">
        <v>0</v>
      </c>
      <c r="AM526">
        <v>42</v>
      </c>
      <c r="AN526" t="s">
        <v>52</v>
      </c>
      <c r="AO526" t="s">
        <v>53</v>
      </c>
      <c r="AP526">
        <v>-15514</v>
      </c>
      <c r="AQ526">
        <v>0</v>
      </c>
      <c r="AR526" t="s">
        <v>54</v>
      </c>
      <c r="AS526" t="s">
        <v>53</v>
      </c>
      <c r="AT526" t="s">
        <v>55</v>
      </c>
      <c r="AU526" t="s">
        <v>85</v>
      </c>
      <c r="AV526">
        <v>1737</v>
      </c>
      <c r="AW526" t="s">
        <v>70</v>
      </c>
      <c r="AX526" t="s">
        <v>55</v>
      </c>
      <c r="AY526" t="s">
        <v>58</v>
      </c>
      <c r="AZ526" t="s">
        <v>59</v>
      </c>
      <c r="BA526" t="s">
        <v>55</v>
      </c>
      <c r="BB526" t="s">
        <v>49</v>
      </c>
      <c r="BC526" t="s">
        <v>49</v>
      </c>
      <c r="BD526" t="s">
        <v>49</v>
      </c>
      <c r="BE526" t="s">
        <v>55</v>
      </c>
      <c r="BF526">
        <v>61</v>
      </c>
      <c r="BG526" t="s">
        <v>60</v>
      </c>
      <c r="BH526" t="s">
        <v>61</v>
      </c>
      <c r="BI526" t="s">
        <v>83</v>
      </c>
      <c r="BJ526" t="s">
        <v>63</v>
      </c>
      <c r="BK526">
        <v>2005</v>
      </c>
      <c r="BL526">
        <v>0</v>
      </c>
      <c r="BR526">
        <f>B526-BS526</f>
        <v>1188</v>
      </c>
      <c r="BS526">
        <v>176</v>
      </c>
      <c r="BT526">
        <f t="shared" ref="BT526:BT577" si="42">COUNT(BL526:BQ526)</f>
        <v>1</v>
      </c>
    </row>
    <row r="527" spans="1:72" x14ac:dyDescent="0.2">
      <c r="A527" s="19" t="s">
        <v>624</v>
      </c>
      <c r="B527" s="1">
        <v>1089</v>
      </c>
      <c r="C527">
        <v>1</v>
      </c>
      <c r="D527" t="s">
        <v>48</v>
      </c>
      <c r="E527" s="2" t="s">
        <v>49</v>
      </c>
      <c r="F527">
        <v>1089</v>
      </c>
      <c r="G527">
        <v>1089</v>
      </c>
      <c r="H527" s="2">
        <v>276</v>
      </c>
      <c r="I527" s="3">
        <v>276</v>
      </c>
      <c r="J527" s="4">
        <f>276-21</f>
        <v>255</v>
      </c>
      <c r="K527" s="5">
        <v>135</v>
      </c>
      <c r="L527" s="9">
        <v>287</v>
      </c>
      <c r="M527" s="7">
        <v>134</v>
      </c>
      <c r="Q527" s="4" t="s">
        <v>51</v>
      </c>
      <c r="R527" s="5" t="s">
        <v>65</v>
      </c>
      <c r="S527" s="9" t="s">
        <v>80</v>
      </c>
      <c r="T527" s="7" t="s">
        <v>75</v>
      </c>
      <c r="W527" s="8">
        <v>10</v>
      </c>
      <c r="X527" s="8">
        <v>16</v>
      </c>
      <c r="Y527" s="4">
        <f>J527</f>
        <v>255</v>
      </c>
      <c r="Z527" s="4">
        <v>1</v>
      </c>
      <c r="AE527" s="5">
        <f>K527</f>
        <v>135</v>
      </c>
      <c r="AF527" s="5">
        <v>1</v>
      </c>
      <c r="AG527" s="9">
        <f>L527</f>
        <v>287</v>
      </c>
      <c r="AH527" s="9">
        <v>1</v>
      </c>
      <c r="AI527" s="7">
        <f>M527</f>
        <v>134</v>
      </c>
      <c r="AJ527" s="7">
        <v>1</v>
      </c>
      <c r="AK527" s="8"/>
      <c r="AL527" s="8"/>
      <c r="AM527">
        <v>60</v>
      </c>
      <c r="AN527" t="s">
        <v>126</v>
      </c>
      <c r="AO527" t="s">
        <v>53</v>
      </c>
      <c r="AP527">
        <v>-21965</v>
      </c>
      <c r="AQ527">
        <v>0</v>
      </c>
      <c r="AR527" t="s">
        <v>54</v>
      </c>
      <c r="AS527" t="s">
        <v>55</v>
      </c>
      <c r="AT527" t="s">
        <v>55</v>
      </c>
      <c r="AU527" t="s">
        <v>56</v>
      </c>
      <c r="AV527">
        <v>1738</v>
      </c>
      <c r="AW527" t="s">
        <v>57</v>
      </c>
      <c r="AX527" t="s">
        <v>55</v>
      </c>
      <c r="AY527" t="s">
        <v>81</v>
      </c>
      <c r="AZ527" t="s">
        <v>111</v>
      </c>
      <c r="BA527" t="s">
        <v>55</v>
      </c>
      <c r="BB527" t="s">
        <v>49</v>
      </c>
      <c r="BC527" t="s">
        <v>49</v>
      </c>
      <c r="BD527" t="s">
        <v>66</v>
      </c>
      <c r="BE527" t="s">
        <v>55</v>
      </c>
      <c r="BF527">
        <v>61</v>
      </c>
      <c r="BG527" t="s">
        <v>60</v>
      </c>
      <c r="BH527" t="s">
        <v>61</v>
      </c>
      <c r="BI527" t="s">
        <v>62</v>
      </c>
      <c r="BJ527" t="s">
        <v>63</v>
      </c>
      <c r="BK527">
        <v>2005</v>
      </c>
      <c r="BL527">
        <v>1</v>
      </c>
      <c r="BM527">
        <v>1</v>
      </c>
      <c r="BN527">
        <v>1</v>
      </c>
      <c r="BO527">
        <v>1</v>
      </c>
      <c r="BR527">
        <f>I527-BS527</f>
        <v>0</v>
      </c>
      <c r="BS527">
        <v>276</v>
      </c>
      <c r="BT527">
        <f t="shared" si="42"/>
        <v>4</v>
      </c>
    </row>
    <row r="528" spans="1:72" x14ac:dyDescent="0.2">
      <c r="A528" s="19" t="s">
        <v>625</v>
      </c>
      <c r="B528" s="1">
        <v>74</v>
      </c>
      <c r="C528">
        <v>1</v>
      </c>
      <c r="D528" t="s">
        <v>48</v>
      </c>
      <c r="E528" s="2" t="s">
        <v>49</v>
      </c>
      <c r="F528">
        <v>74</v>
      </c>
      <c r="G528">
        <v>74</v>
      </c>
      <c r="H528" s="2" t="s">
        <v>49</v>
      </c>
      <c r="I528" s="3">
        <v>74</v>
      </c>
      <c r="J528" t="s">
        <v>50</v>
      </c>
      <c r="Q528" t="s">
        <v>50</v>
      </c>
      <c r="AM528">
        <v>71</v>
      </c>
      <c r="AN528" t="s">
        <v>126</v>
      </c>
      <c r="AO528" t="s">
        <v>55</v>
      </c>
      <c r="AP528">
        <v>-26168</v>
      </c>
      <c r="AQ528">
        <v>0</v>
      </c>
      <c r="AR528" t="s">
        <v>54</v>
      </c>
      <c r="AS528" t="s">
        <v>53</v>
      </c>
      <c r="AT528" t="s">
        <v>55</v>
      </c>
      <c r="AU528" t="s">
        <v>56</v>
      </c>
      <c r="AV528">
        <v>1740</v>
      </c>
      <c r="AW528" t="s">
        <v>57</v>
      </c>
      <c r="AX528" t="s">
        <v>55</v>
      </c>
      <c r="AY528" t="s">
        <v>81</v>
      </c>
      <c r="AZ528" t="s">
        <v>59</v>
      </c>
      <c r="BA528" t="s">
        <v>55</v>
      </c>
      <c r="BB528" t="s">
        <v>49</v>
      </c>
      <c r="BC528" t="s">
        <v>49</v>
      </c>
      <c r="BD528" t="s">
        <v>66</v>
      </c>
      <c r="BE528" t="s">
        <v>55</v>
      </c>
      <c r="BF528">
        <v>61</v>
      </c>
      <c r="BG528" t="s">
        <v>60</v>
      </c>
      <c r="BH528" t="s">
        <v>82</v>
      </c>
      <c r="BI528" t="s">
        <v>62</v>
      </c>
      <c r="BJ528" t="s">
        <v>63</v>
      </c>
      <c r="BK528">
        <v>2005</v>
      </c>
      <c r="BT528">
        <f t="shared" si="42"/>
        <v>0</v>
      </c>
    </row>
    <row r="529" spans="1:72" x14ac:dyDescent="0.2">
      <c r="A529" s="19" t="s">
        <v>626</v>
      </c>
      <c r="B529" s="1">
        <v>1024</v>
      </c>
      <c r="C529">
        <v>1</v>
      </c>
      <c r="D529" t="s">
        <v>48</v>
      </c>
      <c r="E529" s="2" t="s">
        <v>49</v>
      </c>
      <c r="F529">
        <v>1024</v>
      </c>
      <c r="G529">
        <v>1024</v>
      </c>
      <c r="H529" s="2">
        <v>487</v>
      </c>
      <c r="I529" s="3">
        <v>487</v>
      </c>
      <c r="J529" s="4">
        <f>487-12</f>
        <v>475</v>
      </c>
      <c r="K529" s="4">
        <v>503</v>
      </c>
      <c r="Q529" s="4" t="s">
        <v>51</v>
      </c>
      <c r="R529" s="4" t="s">
        <v>51</v>
      </c>
      <c r="W529">
        <v>8</v>
      </c>
      <c r="X529">
        <v>16</v>
      </c>
      <c r="Y529" s="4">
        <f>J529+K529</f>
        <v>978</v>
      </c>
      <c r="Z529" s="4">
        <v>1</v>
      </c>
      <c r="AM529">
        <v>76</v>
      </c>
      <c r="AN529" t="s">
        <v>52</v>
      </c>
      <c r="AO529" t="s">
        <v>53</v>
      </c>
      <c r="AP529">
        <v>-27762</v>
      </c>
      <c r="AQ529">
        <v>0</v>
      </c>
      <c r="AR529" t="s">
        <v>54</v>
      </c>
      <c r="AS529" t="s">
        <v>55</v>
      </c>
      <c r="AT529" t="s">
        <v>55</v>
      </c>
      <c r="AU529" t="s">
        <v>56</v>
      </c>
      <c r="AV529">
        <v>1741</v>
      </c>
      <c r="AW529" t="s">
        <v>57</v>
      </c>
      <c r="AX529" t="s">
        <v>55</v>
      </c>
      <c r="AY529" t="s">
        <v>58</v>
      </c>
      <c r="AZ529" t="s">
        <v>59</v>
      </c>
      <c r="BA529" t="s">
        <v>55</v>
      </c>
      <c r="BB529" t="s">
        <v>49</v>
      </c>
      <c r="BC529" t="s">
        <v>49</v>
      </c>
      <c r="BD529" t="s">
        <v>66</v>
      </c>
      <c r="BE529" t="s">
        <v>55</v>
      </c>
      <c r="BF529">
        <v>61</v>
      </c>
      <c r="BG529" t="s">
        <v>60</v>
      </c>
      <c r="BH529" t="s">
        <v>82</v>
      </c>
      <c r="BI529" t="s">
        <v>72</v>
      </c>
      <c r="BJ529" t="s">
        <v>63</v>
      </c>
      <c r="BK529">
        <v>2004</v>
      </c>
      <c r="BL529">
        <v>1</v>
      </c>
      <c r="BM529">
        <v>1</v>
      </c>
      <c r="BR529">
        <f>I529-BS529</f>
        <v>308</v>
      </c>
      <c r="BS529">
        <v>179</v>
      </c>
      <c r="BT529">
        <f t="shared" si="42"/>
        <v>2</v>
      </c>
    </row>
    <row r="530" spans="1:72" x14ac:dyDescent="0.2">
      <c r="A530" s="19" t="s">
        <v>704</v>
      </c>
      <c r="B530" s="1">
        <v>1329</v>
      </c>
      <c r="C530">
        <v>1</v>
      </c>
      <c r="D530" s="8" t="s">
        <v>48</v>
      </c>
      <c r="E530" s="12" t="s">
        <v>49</v>
      </c>
      <c r="F530" s="8">
        <v>1329</v>
      </c>
      <c r="G530" s="8">
        <v>1329</v>
      </c>
      <c r="H530" s="12">
        <v>809</v>
      </c>
      <c r="I530" s="3">
        <v>809</v>
      </c>
      <c r="J530" s="4">
        <v>769</v>
      </c>
      <c r="K530" s="8"/>
      <c r="L530" s="8"/>
      <c r="M530" s="8"/>
      <c r="N530" s="8"/>
      <c r="O530" s="8"/>
      <c r="P530" s="8" t="s">
        <v>780</v>
      </c>
      <c r="Q530" s="4" t="s">
        <v>51</v>
      </c>
      <c r="R530" s="8"/>
      <c r="S530" s="8"/>
      <c r="T530" s="8"/>
      <c r="U530" s="8"/>
      <c r="V530" s="8"/>
      <c r="W530" s="8">
        <v>6</v>
      </c>
      <c r="X530" s="8">
        <v>12</v>
      </c>
      <c r="Y530" s="4">
        <f t="shared" ref="Y530:Y536" si="43">J530</f>
        <v>769</v>
      </c>
      <c r="Z530" s="4">
        <v>1</v>
      </c>
      <c r="AA530" s="8"/>
      <c r="AB530" s="8"/>
      <c r="AC530" s="8"/>
      <c r="AD530" s="8"/>
      <c r="AE530" s="8"/>
      <c r="AF530" s="8"/>
      <c r="AG530" s="8"/>
      <c r="AH530" s="8"/>
      <c r="AI530" s="8"/>
      <c r="AJ530" s="8"/>
      <c r="AK530" s="8"/>
      <c r="AL530" s="8"/>
      <c r="AM530" s="8">
        <v>53</v>
      </c>
      <c r="AN530" s="8" t="s">
        <v>52</v>
      </c>
      <c r="AO530" s="8" t="s">
        <v>53</v>
      </c>
      <c r="AP530" s="8">
        <v>-19365</v>
      </c>
      <c r="AQ530" s="8">
        <v>0</v>
      </c>
      <c r="AR530" s="8" t="s">
        <v>54</v>
      </c>
      <c r="AS530" s="8" t="s">
        <v>55</v>
      </c>
      <c r="AT530" s="8" t="s">
        <v>55</v>
      </c>
      <c r="AU530" s="8" t="s">
        <v>56</v>
      </c>
      <c r="AV530" s="8">
        <v>1743</v>
      </c>
      <c r="AW530" s="8" t="s">
        <v>57</v>
      </c>
      <c r="AX530" s="8" t="s">
        <v>55</v>
      </c>
      <c r="AY530" s="8" t="s">
        <v>58</v>
      </c>
      <c r="AZ530" s="8" t="s">
        <v>59</v>
      </c>
      <c r="BA530" s="8" t="s">
        <v>55</v>
      </c>
      <c r="BB530" s="8" t="s">
        <v>49</v>
      </c>
      <c r="BC530" s="8" t="s">
        <v>49</v>
      </c>
      <c r="BD530" s="8" t="s">
        <v>106</v>
      </c>
      <c r="BE530" s="8" t="s">
        <v>55</v>
      </c>
      <c r="BF530" s="8">
        <v>61</v>
      </c>
      <c r="BG530" s="8" t="s">
        <v>511</v>
      </c>
      <c r="BH530" s="8" t="s">
        <v>71</v>
      </c>
      <c r="BI530" s="8" t="s">
        <v>521</v>
      </c>
      <c r="BJ530" s="8" t="s">
        <v>63</v>
      </c>
      <c r="BK530" s="8">
        <v>2004</v>
      </c>
      <c r="BL530">
        <v>1</v>
      </c>
      <c r="BR530">
        <f>I530-BS530</f>
        <v>637</v>
      </c>
      <c r="BS530">
        <v>172</v>
      </c>
      <c r="BT530">
        <f t="shared" si="42"/>
        <v>1</v>
      </c>
    </row>
    <row r="531" spans="1:72" x14ac:dyDescent="0.2">
      <c r="A531" s="19" t="s">
        <v>627</v>
      </c>
      <c r="B531" s="1">
        <v>155</v>
      </c>
      <c r="C531">
        <v>0</v>
      </c>
      <c r="D531" t="s">
        <v>68</v>
      </c>
      <c r="E531" s="2" t="s">
        <v>49</v>
      </c>
      <c r="F531" t="s">
        <v>49</v>
      </c>
      <c r="G531">
        <v>43</v>
      </c>
      <c r="H531" s="2" t="s">
        <v>49</v>
      </c>
      <c r="I531" s="3" t="s">
        <v>69</v>
      </c>
      <c r="J531" s="4">
        <v>112</v>
      </c>
      <c r="Q531" s="4" t="s">
        <v>51</v>
      </c>
      <c r="W531" s="8">
        <v>6</v>
      </c>
      <c r="X531" s="8">
        <v>12</v>
      </c>
      <c r="Y531" s="4">
        <f t="shared" si="43"/>
        <v>112</v>
      </c>
      <c r="Z531" s="4">
        <v>0</v>
      </c>
      <c r="AM531">
        <v>52</v>
      </c>
      <c r="AN531" t="s">
        <v>52</v>
      </c>
      <c r="AO531" t="s">
        <v>53</v>
      </c>
      <c r="AP531">
        <v>-19060</v>
      </c>
      <c r="AQ531">
        <v>0</v>
      </c>
      <c r="AR531" t="s">
        <v>54</v>
      </c>
      <c r="AS531" t="s">
        <v>55</v>
      </c>
      <c r="AT531" t="s">
        <v>55</v>
      </c>
      <c r="AU531" t="s">
        <v>56</v>
      </c>
      <c r="AV531">
        <v>1895</v>
      </c>
      <c r="AW531" t="s">
        <v>70</v>
      </c>
      <c r="AX531" t="s">
        <v>55</v>
      </c>
      <c r="AY531" t="s">
        <v>92</v>
      </c>
      <c r="AZ531" t="s">
        <v>59</v>
      </c>
      <c r="BA531" t="s">
        <v>55</v>
      </c>
      <c r="BB531" t="s">
        <v>49</v>
      </c>
      <c r="BC531" t="s">
        <v>49</v>
      </c>
      <c r="BD531" t="s">
        <v>49</v>
      </c>
      <c r="BE531" t="s">
        <v>55</v>
      </c>
      <c r="BF531">
        <v>61</v>
      </c>
      <c r="BG531" t="s">
        <v>60</v>
      </c>
      <c r="BH531" t="s">
        <v>71</v>
      </c>
      <c r="BI531" t="s">
        <v>72</v>
      </c>
      <c r="BJ531" t="s">
        <v>63</v>
      </c>
      <c r="BK531">
        <v>2009</v>
      </c>
      <c r="BL531">
        <v>0</v>
      </c>
      <c r="BR531">
        <f>B531-BS531</f>
        <v>0</v>
      </c>
      <c r="BS531">
        <v>155</v>
      </c>
      <c r="BT531">
        <f t="shared" si="42"/>
        <v>1</v>
      </c>
    </row>
    <row r="532" spans="1:72" x14ac:dyDescent="0.2">
      <c r="A532" s="19" t="s">
        <v>628</v>
      </c>
      <c r="B532" s="1">
        <v>256</v>
      </c>
      <c r="C532">
        <v>0</v>
      </c>
      <c r="D532" t="s">
        <v>68</v>
      </c>
      <c r="E532" s="2" t="s">
        <v>49</v>
      </c>
      <c r="F532" t="s">
        <v>49</v>
      </c>
      <c r="G532">
        <v>256</v>
      </c>
      <c r="H532" s="2" t="s">
        <v>49</v>
      </c>
      <c r="I532" s="3" t="s">
        <v>69</v>
      </c>
      <c r="J532" s="4">
        <v>204</v>
      </c>
      <c r="Q532" s="4" t="s">
        <v>51</v>
      </c>
      <c r="W532" s="8">
        <v>6</v>
      </c>
      <c r="X532" s="8">
        <v>12</v>
      </c>
      <c r="Y532" s="4">
        <f t="shared" si="43"/>
        <v>204</v>
      </c>
      <c r="Z532" s="4">
        <v>0</v>
      </c>
      <c r="AM532">
        <v>81</v>
      </c>
      <c r="AN532" t="s">
        <v>101</v>
      </c>
      <c r="AO532" t="s">
        <v>53</v>
      </c>
      <c r="AP532">
        <v>-29692</v>
      </c>
      <c r="AQ532">
        <v>0</v>
      </c>
      <c r="AR532" t="s">
        <v>54</v>
      </c>
      <c r="AS532" t="s">
        <v>55</v>
      </c>
      <c r="AT532" t="s">
        <v>55</v>
      </c>
      <c r="AU532" t="s">
        <v>56</v>
      </c>
      <c r="AV532">
        <v>1899</v>
      </c>
      <c r="AW532" t="s">
        <v>70</v>
      </c>
      <c r="AX532" t="s">
        <v>55</v>
      </c>
      <c r="AY532" t="s">
        <v>58</v>
      </c>
      <c r="AZ532" t="s">
        <v>59</v>
      </c>
      <c r="BA532" t="s">
        <v>55</v>
      </c>
      <c r="BB532" t="s">
        <v>49</v>
      </c>
      <c r="BC532" t="s">
        <v>49</v>
      </c>
      <c r="BD532" t="s">
        <v>49</v>
      </c>
      <c r="BE532" t="s">
        <v>55</v>
      </c>
      <c r="BF532">
        <v>61</v>
      </c>
      <c r="BG532" t="s">
        <v>60</v>
      </c>
      <c r="BH532" t="s">
        <v>71</v>
      </c>
      <c r="BI532" t="s">
        <v>62</v>
      </c>
      <c r="BJ532" t="s">
        <v>63</v>
      </c>
      <c r="BK532">
        <v>2008</v>
      </c>
      <c r="BL532">
        <v>0</v>
      </c>
      <c r="BR532">
        <f>B532-BS532</f>
        <v>97</v>
      </c>
      <c r="BS532">
        <v>159</v>
      </c>
      <c r="BT532">
        <f t="shared" si="42"/>
        <v>1</v>
      </c>
    </row>
    <row r="533" spans="1:72" x14ac:dyDescent="0.2">
      <c r="A533" s="19" t="s">
        <v>629</v>
      </c>
      <c r="B533" s="1">
        <v>176</v>
      </c>
      <c r="C533">
        <v>0</v>
      </c>
      <c r="D533" t="s">
        <v>68</v>
      </c>
      <c r="E533" s="2" t="s">
        <v>49</v>
      </c>
      <c r="F533" t="s">
        <v>49</v>
      </c>
      <c r="G533">
        <v>176</v>
      </c>
      <c r="H533" s="2" t="s">
        <v>49</v>
      </c>
      <c r="I533" s="3" t="s">
        <v>69</v>
      </c>
      <c r="J533" s="4">
        <v>141</v>
      </c>
      <c r="Q533" s="4" t="s">
        <v>51</v>
      </c>
      <c r="W533" s="8">
        <v>2</v>
      </c>
      <c r="X533" s="8">
        <v>4</v>
      </c>
      <c r="Y533" s="4">
        <f t="shared" si="43"/>
        <v>141</v>
      </c>
      <c r="Z533" s="4">
        <v>0</v>
      </c>
      <c r="AM533">
        <v>51</v>
      </c>
      <c r="AN533" t="s">
        <v>52</v>
      </c>
      <c r="AO533" t="s">
        <v>53</v>
      </c>
      <c r="AP533">
        <v>-18963</v>
      </c>
      <c r="AQ533">
        <v>0</v>
      </c>
      <c r="AR533" t="s">
        <v>54</v>
      </c>
      <c r="AS533" t="s">
        <v>55</v>
      </c>
      <c r="AT533" t="s">
        <v>55</v>
      </c>
      <c r="AU533" t="s">
        <v>85</v>
      </c>
      <c r="AV533">
        <v>1900</v>
      </c>
      <c r="AW533" t="s">
        <v>70</v>
      </c>
      <c r="AX533" t="s">
        <v>55</v>
      </c>
      <c r="AY533" t="s">
        <v>92</v>
      </c>
      <c r="AZ533" t="s">
        <v>111</v>
      </c>
      <c r="BA533" t="s">
        <v>55</v>
      </c>
      <c r="BB533" t="s">
        <v>49</v>
      </c>
      <c r="BC533" t="s">
        <v>49</v>
      </c>
      <c r="BD533" t="s">
        <v>49</v>
      </c>
      <c r="BE533" t="s">
        <v>55</v>
      </c>
      <c r="BF533">
        <v>61</v>
      </c>
      <c r="BG533" t="s">
        <v>60</v>
      </c>
      <c r="BH533" t="s">
        <v>71</v>
      </c>
      <c r="BI533" t="s">
        <v>72</v>
      </c>
      <c r="BJ533" t="s">
        <v>63</v>
      </c>
      <c r="BK533">
        <v>2008</v>
      </c>
      <c r="BL533">
        <v>0</v>
      </c>
      <c r="BR533">
        <f>B533-BS533</f>
        <v>100</v>
      </c>
      <c r="BS533">
        <v>76</v>
      </c>
      <c r="BT533">
        <f t="shared" si="42"/>
        <v>1</v>
      </c>
    </row>
    <row r="534" spans="1:72" x14ac:dyDescent="0.2">
      <c r="A534" s="19" t="s">
        <v>630</v>
      </c>
      <c r="B534" s="1">
        <v>347</v>
      </c>
      <c r="C534">
        <v>1</v>
      </c>
      <c r="D534" t="s">
        <v>48</v>
      </c>
      <c r="E534" s="2">
        <v>329</v>
      </c>
      <c r="F534">
        <v>347</v>
      </c>
      <c r="G534">
        <v>347</v>
      </c>
      <c r="H534" s="2" t="s">
        <v>49</v>
      </c>
      <c r="I534" s="3">
        <v>329</v>
      </c>
      <c r="J534" s="4">
        <f>I534-29</f>
        <v>300</v>
      </c>
      <c r="Q534" s="4" t="s">
        <v>51</v>
      </c>
      <c r="W534" s="8">
        <v>8</v>
      </c>
      <c r="X534" s="8">
        <v>16</v>
      </c>
      <c r="Y534" s="4">
        <f t="shared" si="43"/>
        <v>300</v>
      </c>
      <c r="Z534" s="4">
        <v>1</v>
      </c>
      <c r="AM534">
        <v>65</v>
      </c>
      <c r="AN534" t="s">
        <v>52</v>
      </c>
      <c r="AO534" t="s">
        <v>53</v>
      </c>
      <c r="AP534">
        <v>-24042</v>
      </c>
      <c r="AQ534">
        <v>0</v>
      </c>
      <c r="AR534" t="s">
        <v>54</v>
      </c>
      <c r="AS534" t="s">
        <v>55</v>
      </c>
      <c r="AT534" t="s">
        <v>55</v>
      </c>
      <c r="AU534" t="s">
        <v>85</v>
      </c>
      <c r="AV534">
        <v>1901</v>
      </c>
      <c r="AW534" t="s">
        <v>57</v>
      </c>
      <c r="AX534" t="s">
        <v>55</v>
      </c>
      <c r="AY534" t="s">
        <v>92</v>
      </c>
      <c r="AZ534" t="s">
        <v>59</v>
      </c>
      <c r="BA534" t="s">
        <v>55</v>
      </c>
      <c r="BB534" t="s">
        <v>49</v>
      </c>
      <c r="BC534" t="s">
        <v>49</v>
      </c>
      <c r="BD534" t="s">
        <v>66</v>
      </c>
      <c r="BE534" t="s">
        <v>55</v>
      </c>
      <c r="BF534">
        <v>61</v>
      </c>
      <c r="BG534" t="s">
        <v>60</v>
      </c>
      <c r="BH534" t="s">
        <v>49</v>
      </c>
      <c r="BI534" t="s">
        <v>83</v>
      </c>
      <c r="BJ534" t="s">
        <v>63</v>
      </c>
      <c r="BK534">
        <v>2008</v>
      </c>
      <c r="BL534">
        <v>1</v>
      </c>
      <c r="BR534">
        <f>I534-BS534</f>
        <v>35</v>
      </c>
      <c r="BS534">
        <v>294</v>
      </c>
      <c r="BT534">
        <f t="shared" si="42"/>
        <v>1</v>
      </c>
    </row>
    <row r="535" spans="1:72" x14ac:dyDescent="0.2">
      <c r="A535" s="19" t="s">
        <v>705</v>
      </c>
      <c r="B535" s="1">
        <v>396</v>
      </c>
      <c r="C535">
        <v>0</v>
      </c>
      <c r="D535" s="8" t="s">
        <v>68</v>
      </c>
      <c r="E535" s="12" t="s">
        <v>49</v>
      </c>
      <c r="F535" s="8" t="s">
        <v>49</v>
      </c>
      <c r="G535" s="8">
        <v>396</v>
      </c>
      <c r="H535" s="12" t="s">
        <v>49</v>
      </c>
      <c r="I535" s="3" t="s">
        <v>69</v>
      </c>
      <c r="J535" s="4">
        <v>364</v>
      </c>
      <c r="K535" s="8"/>
      <c r="L535" s="8"/>
      <c r="M535" s="8"/>
      <c r="N535" s="8"/>
      <c r="O535" s="8"/>
      <c r="P535" s="8"/>
      <c r="Q535" s="4" t="s">
        <v>51</v>
      </c>
      <c r="R535" s="8"/>
      <c r="S535" s="8"/>
      <c r="T535" s="8"/>
      <c r="U535" s="8"/>
      <c r="V535" s="8"/>
      <c r="W535" s="8">
        <v>6</v>
      </c>
      <c r="X535" s="8">
        <v>12</v>
      </c>
      <c r="Y535" s="4">
        <f t="shared" si="43"/>
        <v>364</v>
      </c>
      <c r="Z535" s="4">
        <v>0</v>
      </c>
      <c r="AA535" s="8"/>
      <c r="AB535" s="8"/>
      <c r="AC535" s="8"/>
      <c r="AD535" s="8"/>
      <c r="AE535" s="8"/>
      <c r="AF535" s="8"/>
      <c r="AG535" s="8"/>
      <c r="AH535" s="8"/>
      <c r="AI535" s="8"/>
      <c r="AJ535" s="8"/>
      <c r="AK535" s="8"/>
      <c r="AL535" s="8"/>
      <c r="AM535" s="8">
        <v>55</v>
      </c>
      <c r="AN535" s="8" t="s">
        <v>52</v>
      </c>
      <c r="AO535" s="8" t="s">
        <v>53</v>
      </c>
      <c r="AP535" s="8">
        <v>-20380</v>
      </c>
      <c r="AQ535" s="8">
        <v>0</v>
      </c>
      <c r="AR535" s="8" t="s">
        <v>54</v>
      </c>
      <c r="AS535" s="8" t="s">
        <v>55</v>
      </c>
      <c r="AT535" s="8" t="s">
        <v>55</v>
      </c>
      <c r="AU535" s="8" t="s">
        <v>56</v>
      </c>
      <c r="AV535" s="8">
        <v>1903</v>
      </c>
      <c r="AW535" s="8" t="s">
        <v>70</v>
      </c>
      <c r="AX535" s="8" t="s">
        <v>55</v>
      </c>
      <c r="AY535" s="8" t="s">
        <v>58</v>
      </c>
      <c r="AZ535" s="8" t="s">
        <v>59</v>
      </c>
      <c r="BA535" s="8" t="s">
        <v>55</v>
      </c>
      <c r="BB535" s="8" t="s">
        <v>49</v>
      </c>
      <c r="BC535" s="8" t="s">
        <v>49</v>
      </c>
      <c r="BD535" s="8" t="s">
        <v>49</v>
      </c>
      <c r="BE535" s="8" t="s">
        <v>55</v>
      </c>
      <c r="BF535" s="8">
        <v>61</v>
      </c>
      <c r="BG535" s="8" t="s">
        <v>60</v>
      </c>
      <c r="BH535" s="8" t="s">
        <v>49</v>
      </c>
      <c r="BI535" s="8" t="s">
        <v>512</v>
      </c>
      <c r="BJ535" s="8" t="s">
        <v>63</v>
      </c>
      <c r="BK535" s="8">
        <v>2007</v>
      </c>
      <c r="BL535">
        <v>0</v>
      </c>
      <c r="BR535">
        <f>B535-BS535</f>
        <v>249</v>
      </c>
      <c r="BS535">
        <v>147</v>
      </c>
      <c r="BT535">
        <f t="shared" si="42"/>
        <v>1</v>
      </c>
    </row>
    <row r="536" spans="1:72" x14ac:dyDescent="0.2">
      <c r="A536" s="19" t="s">
        <v>631</v>
      </c>
      <c r="B536" s="1">
        <v>276</v>
      </c>
      <c r="C536">
        <v>0</v>
      </c>
      <c r="D536" t="s">
        <v>68</v>
      </c>
      <c r="E536" s="2" t="s">
        <v>49</v>
      </c>
      <c r="F536" t="s">
        <v>49</v>
      </c>
      <c r="G536">
        <v>276</v>
      </c>
      <c r="H536" s="2" t="s">
        <v>49</v>
      </c>
      <c r="I536" s="3" t="s">
        <v>69</v>
      </c>
      <c r="J536" s="4">
        <v>234</v>
      </c>
      <c r="Q536" s="4" t="s">
        <v>51</v>
      </c>
      <c r="W536" s="8">
        <v>5</v>
      </c>
      <c r="X536" s="8">
        <v>10</v>
      </c>
      <c r="Y536" s="4">
        <f t="shared" si="43"/>
        <v>234</v>
      </c>
      <c r="Z536" s="4">
        <v>0</v>
      </c>
      <c r="AM536">
        <v>60</v>
      </c>
      <c r="AN536" t="s">
        <v>52</v>
      </c>
      <c r="AO536" t="s">
        <v>53</v>
      </c>
      <c r="AP536">
        <v>-22009</v>
      </c>
      <c r="AQ536">
        <v>0</v>
      </c>
      <c r="AR536" t="s">
        <v>54</v>
      </c>
      <c r="AS536" t="s">
        <v>55</v>
      </c>
      <c r="AT536" t="s">
        <v>55</v>
      </c>
      <c r="AU536" t="s">
        <v>56</v>
      </c>
      <c r="AV536">
        <v>1904</v>
      </c>
      <c r="AW536" t="s">
        <v>70</v>
      </c>
      <c r="AX536" t="s">
        <v>55</v>
      </c>
      <c r="AY536" t="s">
        <v>58</v>
      </c>
      <c r="AZ536" t="s">
        <v>59</v>
      </c>
      <c r="BA536" t="s">
        <v>55</v>
      </c>
      <c r="BB536" t="s">
        <v>49</v>
      </c>
      <c r="BC536" t="s">
        <v>49</v>
      </c>
      <c r="BD536" t="s">
        <v>49</v>
      </c>
      <c r="BE536" t="s">
        <v>55</v>
      </c>
      <c r="BF536">
        <v>61</v>
      </c>
      <c r="BG536" t="s">
        <v>60</v>
      </c>
      <c r="BH536" t="s">
        <v>61</v>
      </c>
      <c r="BI536" t="s">
        <v>62</v>
      </c>
      <c r="BJ536" t="s">
        <v>63</v>
      </c>
      <c r="BK536">
        <v>2007</v>
      </c>
      <c r="BL536">
        <v>0</v>
      </c>
      <c r="BR536">
        <f>B536-BS536</f>
        <v>115</v>
      </c>
      <c r="BS536">
        <v>161</v>
      </c>
      <c r="BT536">
        <f t="shared" si="42"/>
        <v>1</v>
      </c>
    </row>
    <row r="537" spans="1:72" x14ac:dyDescent="0.2">
      <c r="A537" s="19" t="s">
        <v>633</v>
      </c>
      <c r="B537" s="1">
        <v>1038</v>
      </c>
      <c r="C537">
        <v>1</v>
      </c>
      <c r="D537" t="s">
        <v>48</v>
      </c>
      <c r="E537" s="2" t="s">
        <v>49</v>
      </c>
      <c r="F537">
        <v>1038</v>
      </c>
      <c r="G537">
        <v>1038</v>
      </c>
      <c r="H537" s="2">
        <v>236</v>
      </c>
      <c r="I537" s="3">
        <v>236</v>
      </c>
      <c r="J537" s="4">
        <f>236-26</f>
        <v>210</v>
      </c>
      <c r="K537" s="9">
        <v>56</v>
      </c>
      <c r="L537" s="5">
        <v>65</v>
      </c>
      <c r="M537" s="7">
        <v>89</v>
      </c>
      <c r="N537" s="4">
        <v>549</v>
      </c>
      <c r="Q537" s="4" t="s">
        <v>51</v>
      </c>
      <c r="R537" s="9" t="s">
        <v>80</v>
      </c>
      <c r="S537" s="5" t="s">
        <v>65</v>
      </c>
      <c r="T537" s="7" t="s">
        <v>75</v>
      </c>
      <c r="U537" s="4" t="s">
        <v>51</v>
      </c>
      <c r="W537" s="8">
        <v>6</v>
      </c>
      <c r="X537" s="8">
        <v>12</v>
      </c>
      <c r="Y537" s="4">
        <f>N537+J537</f>
        <v>759</v>
      </c>
      <c r="Z537" s="4">
        <v>1</v>
      </c>
      <c r="AE537" s="5">
        <f>L537</f>
        <v>65</v>
      </c>
      <c r="AF537" s="5">
        <v>1</v>
      </c>
      <c r="AG537" s="9">
        <f>K537</f>
        <v>56</v>
      </c>
      <c r="AH537" s="9">
        <v>1</v>
      </c>
      <c r="AI537" s="7">
        <f>M537</f>
        <v>89</v>
      </c>
      <c r="AJ537" s="7">
        <v>1</v>
      </c>
      <c r="AK537" s="8"/>
      <c r="AL537" s="8"/>
      <c r="AM537">
        <v>55</v>
      </c>
      <c r="AN537" t="s">
        <v>52</v>
      </c>
      <c r="AO537" t="s">
        <v>53</v>
      </c>
      <c r="AP537">
        <v>-20377</v>
      </c>
      <c r="AQ537">
        <v>0</v>
      </c>
      <c r="AR537" t="s">
        <v>54</v>
      </c>
      <c r="AS537" t="s">
        <v>55</v>
      </c>
      <c r="AT537" t="s">
        <v>55</v>
      </c>
      <c r="AU537" t="s">
        <v>56</v>
      </c>
      <c r="AV537">
        <v>1906</v>
      </c>
      <c r="AW537" t="s">
        <v>57</v>
      </c>
      <c r="AX537" t="s">
        <v>55</v>
      </c>
      <c r="AY537" t="s">
        <v>58</v>
      </c>
      <c r="AZ537" t="s">
        <v>59</v>
      </c>
      <c r="BA537" t="s">
        <v>55</v>
      </c>
      <c r="BB537" t="s">
        <v>49</v>
      </c>
      <c r="BC537" t="s">
        <v>49</v>
      </c>
      <c r="BD537" t="s">
        <v>106</v>
      </c>
      <c r="BE537" t="s">
        <v>55</v>
      </c>
      <c r="BF537">
        <v>61</v>
      </c>
      <c r="BG537" t="s">
        <v>60</v>
      </c>
      <c r="BH537" t="s">
        <v>142</v>
      </c>
      <c r="BI537" t="s">
        <v>62</v>
      </c>
      <c r="BJ537" t="s">
        <v>63</v>
      </c>
      <c r="BK537">
        <v>2006</v>
      </c>
      <c r="BL537">
        <v>1</v>
      </c>
      <c r="BM537">
        <v>1</v>
      </c>
      <c r="BN537">
        <v>1</v>
      </c>
      <c r="BO537">
        <v>1</v>
      </c>
      <c r="BP537">
        <v>1</v>
      </c>
      <c r="BR537">
        <f>I537-BS537</f>
        <v>83</v>
      </c>
      <c r="BS537">
        <v>153</v>
      </c>
      <c r="BT537">
        <f t="shared" si="42"/>
        <v>5</v>
      </c>
    </row>
    <row r="538" spans="1:72" x14ac:dyDescent="0.2">
      <c r="A538" s="19" t="s">
        <v>634</v>
      </c>
      <c r="B538" s="1">
        <v>952</v>
      </c>
      <c r="C538">
        <v>0</v>
      </c>
      <c r="D538" t="s">
        <v>68</v>
      </c>
      <c r="E538" s="2" t="s">
        <v>49</v>
      </c>
      <c r="F538" t="s">
        <v>49</v>
      </c>
      <c r="G538">
        <v>952</v>
      </c>
      <c r="H538" s="2">
        <v>743</v>
      </c>
      <c r="I538" s="3">
        <v>743</v>
      </c>
      <c r="J538" s="4">
        <f>743-37</f>
        <v>706</v>
      </c>
      <c r="K538" s="11">
        <v>178</v>
      </c>
      <c r="P538" t="s">
        <v>830</v>
      </c>
      <c r="Q538" s="4" t="s">
        <v>51</v>
      </c>
      <c r="R538" s="11" t="s">
        <v>90</v>
      </c>
      <c r="W538" s="8">
        <v>6</v>
      </c>
      <c r="X538" s="8">
        <v>12</v>
      </c>
      <c r="Y538" s="4">
        <f>J538</f>
        <v>706</v>
      </c>
      <c r="Z538" s="4">
        <v>1</v>
      </c>
      <c r="AA538" s="11">
        <f>K538</f>
        <v>178</v>
      </c>
      <c r="AB538" s="11">
        <v>0</v>
      </c>
      <c r="AM538">
        <v>63</v>
      </c>
      <c r="AN538" t="s">
        <v>52</v>
      </c>
      <c r="AO538" t="s">
        <v>53</v>
      </c>
      <c r="AP538">
        <v>-23204</v>
      </c>
      <c r="AQ538">
        <v>0</v>
      </c>
      <c r="AR538" t="s">
        <v>54</v>
      </c>
      <c r="AS538" t="s">
        <v>55</v>
      </c>
      <c r="AT538" t="s">
        <v>55</v>
      </c>
      <c r="AU538" t="s">
        <v>56</v>
      </c>
      <c r="AV538">
        <v>1907</v>
      </c>
      <c r="AW538" t="s">
        <v>57</v>
      </c>
      <c r="AX538" t="s">
        <v>55</v>
      </c>
      <c r="AY538" t="s">
        <v>92</v>
      </c>
      <c r="AZ538" t="s">
        <v>59</v>
      </c>
      <c r="BA538" t="s">
        <v>55</v>
      </c>
      <c r="BB538" t="s">
        <v>49</v>
      </c>
      <c r="BC538" t="s">
        <v>49</v>
      </c>
      <c r="BD538" t="s">
        <v>49</v>
      </c>
      <c r="BE538" t="s">
        <v>55</v>
      </c>
      <c r="BF538">
        <v>61</v>
      </c>
      <c r="BG538" t="s">
        <v>60</v>
      </c>
      <c r="BH538" t="s">
        <v>142</v>
      </c>
      <c r="BI538" t="s">
        <v>62</v>
      </c>
      <c r="BJ538" t="s">
        <v>63</v>
      </c>
      <c r="BK538">
        <v>2006</v>
      </c>
      <c r="BL538">
        <v>1</v>
      </c>
      <c r="BM538">
        <v>0</v>
      </c>
      <c r="BR538">
        <f>I538-BS538</f>
        <v>580</v>
      </c>
      <c r="BS538">
        <v>163</v>
      </c>
      <c r="BT538">
        <f t="shared" si="42"/>
        <v>2</v>
      </c>
    </row>
    <row r="539" spans="1:72" x14ac:dyDescent="0.2">
      <c r="A539" s="19" t="s">
        <v>706</v>
      </c>
      <c r="B539" s="1">
        <v>1126</v>
      </c>
      <c r="C539">
        <v>0</v>
      </c>
      <c r="D539" s="8" t="s">
        <v>68</v>
      </c>
      <c r="E539" s="12" t="s">
        <v>49</v>
      </c>
      <c r="F539" s="8" t="s">
        <v>49</v>
      </c>
      <c r="G539" s="8">
        <v>1126</v>
      </c>
      <c r="H539" s="12" t="s">
        <v>49</v>
      </c>
      <c r="I539" s="3" t="s">
        <v>69</v>
      </c>
      <c r="J539" s="4">
        <v>1071</v>
      </c>
      <c r="K539" s="8"/>
      <c r="L539" s="8"/>
      <c r="M539" s="8"/>
      <c r="N539" s="8"/>
      <c r="O539" s="8"/>
      <c r="P539" s="8"/>
      <c r="Q539" s="4" t="s">
        <v>51</v>
      </c>
      <c r="R539" s="8"/>
      <c r="S539" s="8"/>
      <c r="T539" s="8"/>
      <c r="U539" s="8"/>
      <c r="V539" s="8"/>
      <c r="W539" s="8">
        <v>6</v>
      </c>
      <c r="X539" s="8">
        <v>12</v>
      </c>
      <c r="Y539" s="4">
        <f>J539</f>
        <v>1071</v>
      </c>
      <c r="Z539" s="4">
        <v>0</v>
      </c>
      <c r="AA539" s="8"/>
      <c r="AB539" s="8"/>
      <c r="AC539" s="8"/>
      <c r="AD539" s="8"/>
      <c r="AE539" s="8"/>
      <c r="AF539" s="8"/>
      <c r="AG539" s="8"/>
      <c r="AH539" s="8"/>
      <c r="AI539" s="8"/>
      <c r="AJ539" s="8"/>
      <c r="AK539" s="8"/>
      <c r="AL539" s="8"/>
      <c r="AM539" s="8">
        <v>56</v>
      </c>
      <c r="AN539" s="8" t="s">
        <v>52</v>
      </c>
      <c r="AO539" s="8" t="s">
        <v>53</v>
      </c>
      <c r="AP539" s="8">
        <v>-20779</v>
      </c>
      <c r="AQ539" s="8">
        <v>0</v>
      </c>
      <c r="AR539" s="8" t="s">
        <v>54</v>
      </c>
      <c r="AS539" s="8" t="s">
        <v>55</v>
      </c>
      <c r="AT539" s="8" t="s">
        <v>55</v>
      </c>
      <c r="AU539" s="8" t="s">
        <v>56</v>
      </c>
      <c r="AV539" s="8">
        <v>1910</v>
      </c>
      <c r="AW539" s="8" t="s">
        <v>70</v>
      </c>
      <c r="AX539" s="8" t="s">
        <v>55</v>
      </c>
      <c r="AY539" s="8" t="s">
        <v>58</v>
      </c>
      <c r="AZ539" s="8" t="s">
        <v>59</v>
      </c>
      <c r="BA539" s="8" t="s">
        <v>55</v>
      </c>
      <c r="BB539" s="8" t="s">
        <v>49</v>
      </c>
      <c r="BC539" s="8" t="s">
        <v>49</v>
      </c>
      <c r="BD539" s="8" t="s">
        <v>49</v>
      </c>
      <c r="BE539" s="8" t="s">
        <v>55</v>
      </c>
      <c r="BF539" s="8">
        <v>61</v>
      </c>
      <c r="BG539" s="8" t="s">
        <v>60</v>
      </c>
      <c r="BH539" s="8" t="s">
        <v>61</v>
      </c>
      <c r="BI539" s="8" t="s">
        <v>521</v>
      </c>
      <c r="BJ539" s="8" t="s">
        <v>63</v>
      </c>
      <c r="BK539" s="8">
        <v>2006</v>
      </c>
      <c r="BL539">
        <v>0</v>
      </c>
      <c r="BR539">
        <f>B539-BS539</f>
        <v>966</v>
      </c>
      <c r="BS539">
        <v>160</v>
      </c>
      <c r="BT539">
        <f t="shared" si="42"/>
        <v>1</v>
      </c>
    </row>
    <row r="540" spans="1:72" x14ac:dyDescent="0.2">
      <c r="A540" s="19" t="s">
        <v>707</v>
      </c>
      <c r="B540" s="1">
        <v>1292</v>
      </c>
      <c r="C540">
        <v>0</v>
      </c>
      <c r="D540" s="8" t="s">
        <v>68</v>
      </c>
      <c r="E540" s="12" t="s">
        <v>49</v>
      </c>
      <c r="F540" s="8" t="s">
        <v>49</v>
      </c>
      <c r="G540" s="8">
        <v>1292</v>
      </c>
      <c r="H540" s="12">
        <v>843</v>
      </c>
      <c r="I540" s="3">
        <v>843</v>
      </c>
      <c r="J540" s="4">
        <f>843-34</f>
        <v>809</v>
      </c>
      <c r="K540" s="21">
        <v>413</v>
      </c>
      <c r="L540" s="21">
        <v>127</v>
      </c>
      <c r="M540" s="8"/>
      <c r="N540" s="8"/>
      <c r="O540" s="8"/>
      <c r="P540" s="8"/>
      <c r="Q540" s="4" t="s">
        <v>51</v>
      </c>
      <c r="R540" s="21" t="s">
        <v>87</v>
      </c>
      <c r="S540" s="21" t="s">
        <v>87</v>
      </c>
      <c r="T540" s="8"/>
      <c r="U540" s="8"/>
      <c r="V540" s="8"/>
      <c r="W540" s="8">
        <v>6</v>
      </c>
      <c r="X540" s="8">
        <v>12</v>
      </c>
      <c r="Y540" s="4">
        <f>J540</f>
        <v>809</v>
      </c>
      <c r="Z540" s="4">
        <v>1</v>
      </c>
      <c r="AA540" s="8"/>
      <c r="AB540" s="8"/>
      <c r="AC540" s="8"/>
      <c r="AD540" s="8"/>
      <c r="AE540" s="8"/>
      <c r="AF540" s="8"/>
      <c r="AG540" s="8"/>
      <c r="AH540" s="8"/>
      <c r="AI540" s="8"/>
      <c r="AJ540" s="8"/>
      <c r="AK540" s="21">
        <f>K540+L540</f>
        <v>540</v>
      </c>
      <c r="AL540" s="21">
        <v>0</v>
      </c>
      <c r="AM540" s="8">
        <v>55</v>
      </c>
      <c r="AN540" s="8" t="s">
        <v>101</v>
      </c>
      <c r="AO540" s="8" t="s">
        <v>53</v>
      </c>
      <c r="AP540" s="8">
        <v>-20144</v>
      </c>
      <c r="AQ540" s="8">
        <v>0</v>
      </c>
      <c r="AR540" s="8" t="s">
        <v>54</v>
      </c>
      <c r="AS540" s="8" t="s">
        <v>55</v>
      </c>
      <c r="AT540" s="8" t="s">
        <v>55</v>
      </c>
      <c r="AU540" s="8" t="s">
        <v>56</v>
      </c>
      <c r="AV540" s="8">
        <v>1911</v>
      </c>
      <c r="AW540" s="8" t="s">
        <v>57</v>
      </c>
      <c r="AX540" s="8" t="s">
        <v>55</v>
      </c>
      <c r="AY540" s="8" t="s">
        <v>58</v>
      </c>
      <c r="AZ540" s="8" t="s">
        <v>59</v>
      </c>
      <c r="BA540" s="8" t="s">
        <v>55</v>
      </c>
      <c r="BB540" s="8" t="s">
        <v>49</v>
      </c>
      <c r="BC540" s="8" t="s">
        <v>49</v>
      </c>
      <c r="BD540" s="8" t="s">
        <v>66</v>
      </c>
      <c r="BE540" s="8" t="s">
        <v>55</v>
      </c>
      <c r="BF540" s="8">
        <v>61</v>
      </c>
      <c r="BG540" s="8" t="s">
        <v>60</v>
      </c>
      <c r="BH540" s="8" t="s">
        <v>49</v>
      </c>
      <c r="BI540" s="8" t="s">
        <v>564</v>
      </c>
      <c r="BJ540" s="8" t="s">
        <v>63</v>
      </c>
      <c r="BK540" s="8">
        <v>2005</v>
      </c>
      <c r="BL540">
        <v>1</v>
      </c>
      <c r="BM540">
        <v>1</v>
      </c>
      <c r="BN540">
        <v>0</v>
      </c>
      <c r="BR540">
        <f>I540-BS540</f>
        <v>700</v>
      </c>
      <c r="BS540">
        <v>143</v>
      </c>
      <c r="BT540">
        <f t="shared" si="42"/>
        <v>3</v>
      </c>
    </row>
    <row r="541" spans="1:72" x14ac:dyDescent="0.2">
      <c r="A541" s="19" t="s">
        <v>635</v>
      </c>
      <c r="B541" s="1">
        <v>1488</v>
      </c>
      <c r="C541">
        <v>0</v>
      </c>
      <c r="D541" t="s">
        <v>68</v>
      </c>
      <c r="E541" s="2" t="s">
        <v>49</v>
      </c>
      <c r="F541" t="s">
        <v>49</v>
      </c>
      <c r="G541">
        <v>1488</v>
      </c>
      <c r="H541" s="2" t="s">
        <v>49</v>
      </c>
      <c r="I541" s="3" t="s">
        <v>69</v>
      </c>
      <c r="J541" s="4">
        <v>1467</v>
      </c>
      <c r="Q541" s="4" t="s">
        <v>51</v>
      </c>
      <c r="W541" s="8">
        <v>6</v>
      </c>
      <c r="X541" s="8">
        <v>12</v>
      </c>
      <c r="Y541" s="4">
        <f>J541</f>
        <v>1467</v>
      </c>
      <c r="Z541" s="4">
        <v>0</v>
      </c>
      <c r="AM541">
        <v>48</v>
      </c>
      <c r="AN541" t="s">
        <v>126</v>
      </c>
      <c r="AO541" t="s">
        <v>53</v>
      </c>
      <c r="AP541">
        <v>-17574</v>
      </c>
      <c r="AQ541">
        <v>0</v>
      </c>
      <c r="AR541" t="s">
        <v>54</v>
      </c>
      <c r="AS541" t="s">
        <v>55</v>
      </c>
      <c r="AT541" t="s">
        <v>55</v>
      </c>
      <c r="AU541" t="s">
        <v>56</v>
      </c>
      <c r="AV541">
        <v>1913</v>
      </c>
      <c r="AW541" t="s">
        <v>70</v>
      </c>
      <c r="AX541" t="s">
        <v>55</v>
      </c>
      <c r="AY541" t="s">
        <v>58</v>
      </c>
      <c r="AZ541" t="s">
        <v>59</v>
      </c>
      <c r="BA541" t="s">
        <v>55</v>
      </c>
      <c r="BB541" t="s">
        <v>49</v>
      </c>
      <c r="BC541" t="s">
        <v>49</v>
      </c>
      <c r="BD541" t="s">
        <v>49</v>
      </c>
      <c r="BE541" t="s">
        <v>55</v>
      </c>
      <c r="BF541">
        <v>61</v>
      </c>
      <c r="BG541" t="s">
        <v>60</v>
      </c>
      <c r="BH541" t="s">
        <v>61</v>
      </c>
      <c r="BI541" t="s">
        <v>72</v>
      </c>
      <c r="BJ541" t="s">
        <v>63</v>
      </c>
      <c r="BK541">
        <v>2005</v>
      </c>
      <c r="BL541">
        <v>0</v>
      </c>
      <c r="BR541">
        <f>B541-BS541</f>
        <v>1361</v>
      </c>
      <c r="BS541">
        <v>127</v>
      </c>
      <c r="BT541">
        <f t="shared" si="42"/>
        <v>1</v>
      </c>
    </row>
    <row r="542" spans="1:72" x14ac:dyDescent="0.2">
      <c r="A542" s="19" t="s">
        <v>636</v>
      </c>
      <c r="B542" s="1">
        <v>1721</v>
      </c>
      <c r="C542">
        <v>0</v>
      </c>
      <c r="D542" t="s">
        <v>68</v>
      </c>
      <c r="E542" s="2" t="s">
        <v>49</v>
      </c>
      <c r="F542" t="s">
        <v>49</v>
      </c>
      <c r="G542">
        <v>1721</v>
      </c>
      <c r="H542" s="2">
        <v>1673</v>
      </c>
      <c r="I542" s="3">
        <v>1673</v>
      </c>
      <c r="J542" s="4">
        <v>1651</v>
      </c>
      <c r="K542" s="4">
        <v>119</v>
      </c>
      <c r="Q542" s="4" t="s">
        <v>51</v>
      </c>
      <c r="R542" s="4" t="s">
        <v>51</v>
      </c>
      <c r="W542" s="8">
        <v>8</v>
      </c>
      <c r="X542" s="8">
        <v>16</v>
      </c>
      <c r="Y542" s="4">
        <f>J542+K542</f>
        <v>1770</v>
      </c>
      <c r="Z542" s="4">
        <v>0</v>
      </c>
      <c r="AM542">
        <v>65</v>
      </c>
      <c r="AN542" t="s">
        <v>52</v>
      </c>
      <c r="AO542" t="s">
        <v>53</v>
      </c>
      <c r="AP542">
        <v>-23850</v>
      </c>
      <c r="AQ542">
        <v>0</v>
      </c>
      <c r="AR542" t="s">
        <v>54</v>
      </c>
      <c r="AS542" t="s">
        <v>53</v>
      </c>
      <c r="AT542" t="s">
        <v>55</v>
      </c>
      <c r="AU542" t="s">
        <v>56</v>
      </c>
      <c r="AV542">
        <v>1914</v>
      </c>
      <c r="AW542" t="s">
        <v>57</v>
      </c>
      <c r="AX542" t="s">
        <v>55</v>
      </c>
      <c r="AY542" t="s">
        <v>58</v>
      </c>
      <c r="AZ542" t="s">
        <v>49</v>
      </c>
      <c r="BA542" t="s">
        <v>55</v>
      </c>
      <c r="BB542" t="s">
        <v>49</v>
      </c>
      <c r="BC542" t="s">
        <v>49</v>
      </c>
      <c r="BD542" t="s">
        <v>106</v>
      </c>
      <c r="BE542" t="s">
        <v>55</v>
      </c>
      <c r="BF542">
        <v>61</v>
      </c>
      <c r="BG542" t="s">
        <v>60</v>
      </c>
      <c r="BH542" t="s">
        <v>82</v>
      </c>
      <c r="BI542" t="s">
        <v>62</v>
      </c>
      <c r="BJ542" t="s">
        <v>63</v>
      </c>
      <c r="BK542">
        <v>2003</v>
      </c>
      <c r="BL542">
        <v>1</v>
      </c>
      <c r="BM542">
        <v>0</v>
      </c>
      <c r="BR542">
        <f>I542-BS542</f>
        <v>1481</v>
      </c>
      <c r="BS542">
        <v>192</v>
      </c>
      <c r="BT542">
        <f t="shared" si="42"/>
        <v>2</v>
      </c>
    </row>
    <row r="543" spans="1:72" x14ac:dyDescent="0.2">
      <c r="A543" s="19" t="s">
        <v>708</v>
      </c>
      <c r="B543" s="1">
        <v>2060</v>
      </c>
      <c r="C543">
        <v>0</v>
      </c>
      <c r="D543" s="8" t="s">
        <v>68</v>
      </c>
      <c r="E543" s="12" t="s">
        <v>49</v>
      </c>
      <c r="F543" s="8" t="s">
        <v>49</v>
      </c>
      <c r="G543" s="8">
        <v>2060</v>
      </c>
      <c r="H543" s="12" t="s">
        <v>49</v>
      </c>
      <c r="I543" s="3" t="s">
        <v>69</v>
      </c>
      <c r="J543" s="4">
        <v>2035</v>
      </c>
      <c r="K543" s="8"/>
      <c r="L543" s="8"/>
      <c r="M543" s="8"/>
      <c r="N543" s="8"/>
      <c r="O543" s="8"/>
      <c r="P543" s="8"/>
      <c r="Q543" s="4" t="s">
        <v>51</v>
      </c>
      <c r="R543" s="8"/>
      <c r="S543" s="8"/>
      <c r="T543" s="8"/>
      <c r="U543" s="8"/>
      <c r="V543" s="8"/>
      <c r="W543" s="8">
        <v>6</v>
      </c>
      <c r="X543" s="8">
        <v>12</v>
      </c>
      <c r="Y543" s="4">
        <f>J543</f>
        <v>2035</v>
      </c>
      <c r="Z543" s="4">
        <v>0</v>
      </c>
      <c r="AA543" s="8"/>
      <c r="AB543" s="8"/>
      <c r="AC543" s="8"/>
      <c r="AD543" s="8"/>
      <c r="AE543" s="8"/>
      <c r="AF543" s="8"/>
      <c r="AG543" s="8"/>
      <c r="AH543" s="8"/>
      <c r="AI543" s="8"/>
      <c r="AJ543" s="8"/>
      <c r="AK543" s="8"/>
      <c r="AL543" s="8"/>
      <c r="AM543" s="8">
        <v>50</v>
      </c>
      <c r="AN543" s="8" t="s">
        <v>52</v>
      </c>
      <c r="AO543" s="8" t="s">
        <v>53</v>
      </c>
      <c r="AP543" s="8">
        <v>-18424</v>
      </c>
      <c r="AQ543" s="8">
        <v>0</v>
      </c>
      <c r="AR543" s="8" t="s">
        <v>54</v>
      </c>
      <c r="AS543" s="8" t="s">
        <v>55</v>
      </c>
      <c r="AT543" s="8" t="s">
        <v>55</v>
      </c>
      <c r="AU543" s="8" t="s">
        <v>56</v>
      </c>
      <c r="AV543" s="8">
        <v>1915</v>
      </c>
      <c r="AW543" s="8" t="s">
        <v>70</v>
      </c>
      <c r="AX543" s="8" t="s">
        <v>55</v>
      </c>
      <c r="AY543" s="8" t="s">
        <v>58</v>
      </c>
      <c r="AZ543" s="8" t="s">
        <v>59</v>
      </c>
      <c r="BA543" s="8" t="s">
        <v>55</v>
      </c>
      <c r="BB543" s="8" t="s">
        <v>49</v>
      </c>
      <c r="BC543" s="8" t="s">
        <v>49</v>
      </c>
      <c r="BD543" s="8" t="s">
        <v>49</v>
      </c>
      <c r="BE543" s="8" t="s">
        <v>55</v>
      </c>
      <c r="BF543" s="8">
        <v>61</v>
      </c>
      <c r="BG543" s="8" t="s">
        <v>60</v>
      </c>
      <c r="BH543" s="8" t="s">
        <v>49</v>
      </c>
      <c r="BI543" s="8" t="s">
        <v>521</v>
      </c>
      <c r="BJ543" s="8" t="s">
        <v>63</v>
      </c>
      <c r="BK543" s="8">
        <v>2003</v>
      </c>
      <c r="BL543">
        <v>0</v>
      </c>
      <c r="BR543">
        <f>B543-BS543</f>
        <v>1917</v>
      </c>
      <c r="BS543">
        <v>143</v>
      </c>
      <c r="BT543">
        <f t="shared" si="42"/>
        <v>1</v>
      </c>
    </row>
    <row r="544" spans="1:72" x14ac:dyDescent="0.2">
      <c r="A544" s="19" t="s">
        <v>709</v>
      </c>
      <c r="B544" s="1">
        <v>475</v>
      </c>
      <c r="C544">
        <v>1</v>
      </c>
      <c r="D544" s="8" t="s">
        <v>48</v>
      </c>
      <c r="E544" s="12" t="s">
        <v>49</v>
      </c>
      <c r="F544" s="8">
        <v>475</v>
      </c>
      <c r="G544" s="8">
        <v>475</v>
      </c>
      <c r="H544" s="12">
        <v>326</v>
      </c>
      <c r="I544" s="3">
        <v>326</v>
      </c>
      <c r="J544" s="4">
        <f>326-37</f>
        <v>289</v>
      </c>
      <c r="K544" s="8"/>
      <c r="L544" s="8"/>
      <c r="M544" s="8"/>
      <c r="N544" s="8"/>
      <c r="O544" s="8"/>
      <c r="P544" s="8"/>
      <c r="Q544" s="4" t="s">
        <v>51</v>
      </c>
      <c r="R544" s="8"/>
      <c r="S544" s="8"/>
      <c r="T544" s="8"/>
      <c r="U544" s="8"/>
      <c r="V544" s="8"/>
      <c r="W544" s="8"/>
      <c r="X544" s="8"/>
      <c r="Y544" s="4">
        <f>J544</f>
        <v>289</v>
      </c>
      <c r="Z544" s="4">
        <v>1</v>
      </c>
      <c r="AA544" s="8"/>
      <c r="AB544" s="8"/>
      <c r="AC544" s="8"/>
      <c r="AD544" s="8"/>
      <c r="AE544" s="8"/>
      <c r="AF544" s="8"/>
      <c r="AG544" s="8"/>
      <c r="AH544" s="8"/>
      <c r="AI544" s="8"/>
      <c r="AJ544" s="8"/>
      <c r="AK544" s="8"/>
      <c r="AL544" s="8"/>
      <c r="AM544" s="8">
        <v>53</v>
      </c>
      <c r="AN544" s="8" t="s">
        <v>52</v>
      </c>
      <c r="AO544" s="8" t="s">
        <v>53</v>
      </c>
      <c r="AP544" s="8">
        <v>-19463</v>
      </c>
      <c r="AQ544" s="8">
        <v>0</v>
      </c>
      <c r="AR544" s="8" t="s">
        <v>54</v>
      </c>
      <c r="AS544" s="8" t="s">
        <v>55</v>
      </c>
      <c r="AT544" s="8" t="s">
        <v>55</v>
      </c>
      <c r="AU544" s="8" t="s">
        <v>85</v>
      </c>
      <c r="AV544" s="8">
        <v>1916</v>
      </c>
      <c r="AW544" s="8" t="s">
        <v>49</v>
      </c>
      <c r="AX544" s="8" t="s">
        <v>55</v>
      </c>
      <c r="AY544" s="8" t="s">
        <v>49</v>
      </c>
      <c r="AZ544" s="8" t="s">
        <v>59</v>
      </c>
      <c r="BA544" s="8" t="s">
        <v>55</v>
      </c>
      <c r="BB544" s="8" t="s">
        <v>49</v>
      </c>
      <c r="BC544" s="8" t="s">
        <v>115</v>
      </c>
      <c r="BD544" s="8" t="s">
        <v>66</v>
      </c>
      <c r="BE544" s="8" t="s">
        <v>55</v>
      </c>
      <c r="BF544" s="8">
        <v>61</v>
      </c>
      <c r="BG544" s="8" t="s">
        <v>511</v>
      </c>
      <c r="BH544" s="8" t="s">
        <v>61</v>
      </c>
      <c r="BI544" s="8" t="s">
        <v>62</v>
      </c>
      <c r="BJ544" s="8" t="s">
        <v>63</v>
      </c>
      <c r="BK544" s="8">
        <v>2002</v>
      </c>
      <c r="BL544">
        <v>1</v>
      </c>
      <c r="BR544">
        <f>I544-BS544</f>
        <v>147</v>
      </c>
      <c r="BS544">
        <v>179</v>
      </c>
      <c r="BT544">
        <f t="shared" si="42"/>
        <v>1</v>
      </c>
    </row>
    <row r="545" spans="1:72" x14ac:dyDescent="0.2">
      <c r="A545" s="19" t="s">
        <v>645</v>
      </c>
      <c r="B545" s="1">
        <v>1321</v>
      </c>
      <c r="C545">
        <v>1</v>
      </c>
      <c r="D545" t="s">
        <v>48</v>
      </c>
      <c r="E545" s="2" t="s">
        <v>49</v>
      </c>
      <c r="F545">
        <v>1321</v>
      </c>
      <c r="G545">
        <v>1321</v>
      </c>
      <c r="H545" s="2" t="s">
        <v>49</v>
      </c>
      <c r="I545" s="3">
        <v>1321</v>
      </c>
      <c r="J545">
        <v>1302</v>
      </c>
      <c r="Q545" t="s">
        <v>78</v>
      </c>
      <c r="AM545">
        <v>60</v>
      </c>
      <c r="AN545" t="s">
        <v>52</v>
      </c>
      <c r="AO545" t="s">
        <v>53</v>
      </c>
      <c r="AP545">
        <v>-21972</v>
      </c>
      <c r="AQ545">
        <v>0</v>
      </c>
      <c r="AR545" t="s">
        <v>54</v>
      </c>
      <c r="AS545" t="s">
        <v>55</v>
      </c>
      <c r="AT545" t="s">
        <v>55</v>
      </c>
      <c r="AU545" t="s">
        <v>56</v>
      </c>
      <c r="AV545">
        <v>1917</v>
      </c>
      <c r="AW545" t="s">
        <v>49</v>
      </c>
      <c r="AX545" t="s">
        <v>55</v>
      </c>
      <c r="AY545" t="s">
        <v>58</v>
      </c>
      <c r="AZ545" t="s">
        <v>59</v>
      </c>
      <c r="BA545" t="s">
        <v>55</v>
      </c>
      <c r="BB545" t="s">
        <v>49</v>
      </c>
      <c r="BC545" t="s">
        <v>49</v>
      </c>
      <c r="BD545" t="s">
        <v>49</v>
      </c>
      <c r="BE545" t="s">
        <v>55</v>
      </c>
      <c r="BF545">
        <v>61</v>
      </c>
      <c r="BG545" t="s">
        <v>60</v>
      </c>
      <c r="BH545" t="s">
        <v>49</v>
      </c>
      <c r="BI545" t="s">
        <v>72</v>
      </c>
      <c r="BJ545" t="s">
        <v>63</v>
      </c>
      <c r="BK545">
        <v>2002</v>
      </c>
      <c r="BL545">
        <v>1</v>
      </c>
      <c r="BR545">
        <f>I545-BS545</f>
        <v>1176</v>
      </c>
      <c r="BS545">
        <v>145</v>
      </c>
      <c r="BT545">
        <f t="shared" si="42"/>
        <v>1</v>
      </c>
    </row>
    <row r="546" spans="1:72" x14ac:dyDescent="0.2">
      <c r="A546" s="19" t="s">
        <v>663</v>
      </c>
      <c r="B546" s="1">
        <v>479</v>
      </c>
      <c r="C546">
        <v>1</v>
      </c>
      <c r="D546" t="s">
        <v>48</v>
      </c>
      <c r="E546" s="2" t="s">
        <v>49</v>
      </c>
      <c r="F546">
        <v>479</v>
      </c>
      <c r="G546">
        <v>479</v>
      </c>
      <c r="H546" s="2">
        <v>413</v>
      </c>
      <c r="I546" s="3">
        <v>413</v>
      </c>
      <c r="J546">
        <v>404</v>
      </c>
      <c r="Q546" t="s">
        <v>78</v>
      </c>
      <c r="W546">
        <v>6</v>
      </c>
      <c r="X546">
        <v>18</v>
      </c>
      <c r="AM546">
        <v>45</v>
      </c>
      <c r="AN546" t="s">
        <v>52</v>
      </c>
      <c r="AO546" t="s">
        <v>53</v>
      </c>
      <c r="AP546">
        <v>-16689</v>
      </c>
      <c r="AQ546">
        <v>0</v>
      </c>
      <c r="AR546" t="s">
        <v>54</v>
      </c>
      <c r="AS546" t="s">
        <v>55</v>
      </c>
      <c r="AT546" t="s">
        <v>55</v>
      </c>
      <c r="AU546" t="s">
        <v>56</v>
      </c>
      <c r="AV546">
        <v>1918</v>
      </c>
      <c r="AW546" t="s">
        <v>57</v>
      </c>
      <c r="AX546" t="s">
        <v>55</v>
      </c>
      <c r="AY546" t="s">
        <v>58</v>
      </c>
      <c r="AZ546" t="s">
        <v>59</v>
      </c>
      <c r="BA546" t="s">
        <v>55</v>
      </c>
      <c r="BB546" t="s">
        <v>49</v>
      </c>
      <c r="BC546" t="s">
        <v>49</v>
      </c>
      <c r="BD546" t="s">
        <v>66</v>
      </c>
      <c r="BE546" t="s">
        <v>55</v>
      </c>
      <c r="BF546">
        <v>61</v>
      </c>
      <c r="BG546" t="s">
        <v>60</v>
      </c>
      <c r="BH546" t="s">
        <v>71</v>
      </c>
      <c r="BI546" t="s">
        <v>83</v>
      </c>
      <c r="BJ546" t="s">
        <v>63</v>
      </c>
      <c r="BK546">
        <v>2002</v>
      </c>
      <c r="BL546">
        <v>1</v>
      </c>
      <c r="BR546">
        <f>I546-BS546</f>
        <v>268</v>
      </c>
      <c r="BS546">
        <v>145</v>
      </c>
      <c r="BT546">
        <f t="shared" si="42"/>
        <v>1</v>
      </c>
    </row>
    <row r="547" spans="1:72" x14ac:dyDescent="0.2">
      <c r="A547" s="19" t="s">
        <v>712</v>
      </c>
      <c r="B547" s="1">
        <v>1161</v>
      </c>
      <c r="C547">
        <v>1</v>
      </c>
      <c r="D547" s="8" t="s">
        <v>48</v>
      </c>
      <c r="E547" s="12" t="s">
        <v>49</v>
      </c>
      <c r="F547" s="8">
        <v>1161</v>
      </c>
      <c r="G547" s="8">
        <v>1161</v>
      </c>
      <c r="H547" s="12">
        <v>439</v>
      </c>
      <c r="I547" s="3">
        <v>439</v>
      </c>
      <c r="J547" s="12"/>
      <c r="K547" s="8"/>
      <c r="L547" s="8"/>
      <c r="M547" s="8"/>
      <c r="N547" s="8"/>
      <c r="O547" s="8"/>
      <c r="P547" s="8"/>
      <c r="Q547" s="8" t="s">
        <v>50</v>
      </c>
      <c r="R547" s="8"/>
      <c r="S547" s="8"/>
      <c r="T547" s="8"/>
      <c r="U547" s="8"/>
      <c r="V547" s="8"/>
      <c r="W547" s="8"/>
      <c r="X547" s="8"/>
      <c r="Y547" s="8"/>
      <c r="Z547" s="8"/>
      <c r="AA547" s="8"/>
      <c r="AB547" s="8"/>
      <c r="AC547" s="8"/>
      <c r="AD547" s="8"/>
      <c r="AE547" s="8"/>
      <c r="AF547" s="8"/>
      <c r="AG547" s="8"/>
      <c r="AH547" s="8"/>
      <c r="AI547" s="8"/>
      <c r="AJ547" s="8"/>
      <c r="AK547" s="8"/>
      <c r="AL547" s="8"/>
      <c r="AM547" s="8">
        <v>58</v>
      </c>
      <c r="AN547" s="8" t="s">
        <v>52</v>
      </c>
      <c r="AO547" s="8" t="s">
        <v>53</v>
      </c>
      <c r="AP547" s="8">
        <v>-21199</v>
      </c>
      <c r="AQ547" s="8">
        <v>0</v>
      </c>
      <c r="AR547" s="8" t="s">
        <v>54</v>
      </c>
      <c r="AS547" s="8" t="s">
        <v>55</v>
      </c>
      <c r="AT547" s="8" t="s">
        <v>55</v>
      </c>
      <c r="AU547" s="8" t="s">
        <v>56</v>
      </c>
      <c r="AV547" s="8">
        <v>1919</v>
      </c>
      <c r="AW547" s="8" t="s">
        <v>49</v>
      </c>
      <c r="AX547" s="8" t="s">
        <v>55</v>
      </c>
      <c r="AY547" s="8" t="s">
        <v>58</v>
      </c>
      <c r="AZ547" s="8" t="s">
        <v>59</v>
      </c>
      <c r="BA547" s="8" t="s">
        <v>55</v>
      </c>
      <c r="BB547" s="8" t="s">
        <v>49</v>
      </c>
      <c r="BC547" s="8" t="s">
        <v>49</v>
      </c>
      <c r="BD547" s="8" t="s">
        <v>66</v>
      </c>
      <c r="BE547" s="8" t="s">
        <v>55</v>
      </c>
      <c r="BF547" s="8">
        <v>61</v>
      </c>
      <c r="BG547" s="8" t="s">
        <v>511</v>
      </c>
      <c r="BH547" s="8" t="s">
        <v>49</v>
      </c>
      <c r="BI547" s="8" t="s">
        <v>62</v>
      </c>
      <c r="BJ547" s="8" t="s">
        <v>63</v>
      </c>
      <c r="BK547" s="8">
        <v>2001</v>
      </c>
      <c r="BT547">
        <f t="shared" si="42"/>
        <v>0</v>
      </c>
    </row>
    <row r="548" spans="1:72" x14ac:dyDescent="0.2">
      <c r="A548" s="19" t="s">
        <v>664</v>
      </c>
      <c r="B548" s="1">
        <v>131</v>
      </c>
      <c r="C548">
        <v>0</v>
      </c>
      <c r="D548" t="s">
        <v>68</v>
      </c>
      <c r="E548" s="2" t="s">
        <v>49</v>
      </c>
      <c r="F548" t="s">
        <v>49</v>
      </c>
      <c r="G548">
        <v>60</v>
      </c>
      <c r="H548" s="2" t="s">
        <v>49</v>
      </c>
      <c r="I548" s="3" t="s">
        <v>69</v>
      </c>
      <c r="J548" s="4">
        <v>65</v>
      </c>
      <c r="Q548" s="4" t="s">
        <v>51</v>
      </c>
      <c r="W548">
        <v>4</v>
      </c>
      <c r="X548">
        <v>8</v>
      </c>
      <c r="Y548" s="4">
        <f>J548</f>
        <v>65</v>
      </c>
      <c r="Z548" s="4">
        <v>0</v>
      </c>
      <c r="AM548">
        <v>43</v>
      </c>
      <c r="AN548" t="s">
        <v>52</v>
      </c>
      <c r="AO548" t="s">
        <v>53</v>
      </c>
      <c r="AP548">
        <v>-16016</v>
      </c>
      <c r="AQ548">
        <v>0</v>
      </c>
      <c r="AR548" t="s">
        <v>54</v>
      </c>
      <c r="AS548" t="s">
        <v>55</v>
      </c>
      <c r="AT548" t="s">
        <v>55</v>
      </c>
      <c r="AU548" t="s">
        <v>56</v>
      </c>
      <c r="AV548">
        <v>1995</v>
      </c>
      <c r="AW548" t="s">
        <v>57</v>
      </c>
      <c r="AX548" t="s">
        <v>55</v>
      </c>
      <c r="AY548" t="s">
        <v>92</v>
      </c>
      <c r="AZ548" t="s">
        <v>59</v>
      </c>
      <c r="BA548" t="s">
        <v>55</v>
      </c>
      <c r="BB548" t="s">
        <v>49</v>
      </c>
      <c r="BC548" t="s">
        <v>49</v>
      </c>
      <c r="BD548" t="s">
        <v>49</v>
      </c>
      <c r="BE548" t="s">
        <v>55</v>
      </c>
      <c r="BF548">
        <v>61</v>
      </c>
      <c r="BG548" t="s">
        <v>60</v>
      </c>
      <c r="BH548" t="s">
        <v>61</v>
      </c>
      <c r="BI548" t="s">
        <v>62</v>
      </c>
      <c r="BJ548" t="s">
        <v>63</v>
      </c>
      <c r="BK548">
        <v>2009</v>
      </c>
      <c r="BL548">
        <v>0</v>
      </c>
      <c r="BR548">
        <f>B548-BS548</f>
        <v>0</v>
      </c>
      <c r="BS548">
        <v>131</v>
      </c>
      <c r="BT548">
        <f t="shared" si="42"/>
        <v>1</v>
      </c>
    </row>
    <row r="549" spans="1:72" x14ac:dyDescent="0.2">
      <c r="A549" s="19" t="s">
        <v>665</v>
      </c>
      <c r="B549" s="1">
        <v>168</v>
      </c>
      <c r="C549">
        <v>0</v>
      </c>
      <c r="D549" t="s">
        <v>68</v>
      </c>
      <c r="E549" s="2" t="s">
        <v>49</v>
      </c>
      <c r="F549" t="s">
        <v>49</v>
      </c>
      <c r="G549">
        <v>168</v>
      </c>
      <c r="H549" s="2" t="s">
        <v>49</v>
      </c>
      <c r="I549" s="3" t="s">
        <v>69</v>
      </c>
      <c r="J549" s="4">
        <v>158</v>
      </c>
      <c r="Q549" s="4" t="s">
        <v>51</v>
      </c>
      <c r="W549">
        <v>8</v>
      </c>
      <c r="X549">
        <v>14</v>
      </c>
      <c r="Y549" s="4">
        <f>J549</f>
        <v>158</v>
      </c>
      <c r="Z549" s="4">
        <v>0</v>
      </c>
      <c r="AM549">
        <v>48</v>
      </c>
      <c r="AN549" t="s">
        <v>52</v>
      </c>
      <c r="AO549" t="s">
        <v>53</v>
      </c>
      <c r="AP549">
        <v>-17855</v>
      </c>
      <c r="AQ549">
        <v>0</v>
      </c>
      <c r="AR549" t="s">
        <v>54</v>
      </c>
      <c r="AS549" t="s">
        <v>55</v>
      </c>
      <c r="AT549" t="s">
        <v>55</v>
      </c>
      <c r="AU549" t="s">
        <v>56</v>
      </c>
      <c r="AV549">
        <v>1998</v>
      </c>
      <c r="AW549" t="s">
        <v>57</v>
      </c>
      <c r="AX549" t="s">
        <v>55</v>
      </c>
      <c r="AY549" t="s">
        <v>49</v>
      </c>
      <c r="AZ549" t="s">
        <v>59</v>
      </c>
      <c r="BA549" t="s">
        <v>55</v>
      </c>
      <c r="BB549" t="s">
        <v>49</v>
      </c>
      <c r="BC549" t="s">
        <v>49</v>
      </c>
      <c r="BD549" t="s">
        <v>49</v>
      </c>
      <c r="BE549" t="s">
        <v>55</v>
      </c>
      <c r="BF549">
        <v>61</v>
      </c>
      <c r="BG549" t="s">
        <v>60</v>
      </c>
      <c r="BH549" t="s">
        <v>61</v>
      </c>
      <c r="BI549" t="s">
        <v>62</v>
      </c>
      <c r="BJ549" t="s">
        <v>63</v>
      </c>
      <c r="BK549">
        <v>2009</v>
      </c>
      <c r="BL549">
        <v>0</v>
      </c>
      <c r="BR549">
        <f>B549-BS549</f>
        <v>-10</v>
      </c>
      <c r="BS549">
        <v>178</v>
      </c>
      <c r="BT549">
        <f t="shared" si="42"/>
        <v>1</v>
      </c>
    </row>
    <row r="550" spans="1:72" x14ac:dyDescent="0.2">
      <c r="A550" s="19" t="s">
        <v>667</v>
      </c>
      <c r="B550" s="1">
        <v>441</v>
      </c>
      <c r="C550">
        <v>0</v>
      </c>
      <c r="D550" t="s">
        <v>68</v>
      </c>
      <c r="E550" s="2" t="s">
        <v>49</v>
      </c>
      <c r="F550" t="s">
        <v>49</v>
      </c>
      <c r="G550">
        <v>441</v>
      </c>
      <c r="H550" s="2">
        <v>339</v>
      </c>
      <c r="I550" s="3">
        <v>339</v>
      </c>
      <c r="J550" s="4">
        <v>311</v>
      </c>
      <c r="K550" s="4">
        <v>105</v>
      </c>
      <c r="L550" s="6">
        <v>63</v>
      </c>
      <c r="Q550" s="4" t="s">
        <v>51</v>
      </c>
      <c r="R550" s="4" t="s">
        <v>51</v>
      </c>
      <c r="S550" s="6" t="s">
        <v>74</v>
      </c>
      <c r="W550">
        <v>9</v>
      </c>
      <c r="X550">
        <v>18</v>
      </c>
      <c r="Y550" s="4">
        <f>J550+K550</f>
        <v>416</v>
      </c>
      <c r="Z550" s="4">
        <v>1</v>
      </c>
      <c r="AC550" s="6">
        <f>L550</f>
        <v>63</v>
      </c>
      <c r="AD550" s="6">
        <v>0</v>
      </c>
      <c r="AM550">
        <v>67</v>
      </c>
      <c r="AN550" t="s">
        <v>52</v>
      </c>
      <c r="AO550" t="s">
        <v>53</v>
      </c>
      <c r="AP550">
        <v>-24723</v>
      </c>
      <c r="AQ550">
        <v>0</v>
      </c>
      <c r="AR550" t="s">
        <v>54</v>
      </c>
      <c r="AS550" t="s">
        <v>55</v>
      </c>
      <c r="AT550" t="s">
        <v>55</v>
      </c>
      <c r="AU550" t="s">
        <v>56</v>
      </c>
      <c r="AV550">
        <v>2000</v>
      </c>
      <c r="AW550" t="s">
        <v>57</v>
      </c>
      <c r="AX550" t="s">
        <v>55</v>
      </c>
      <c r="AY550" t="s">
        <v>92</v>
      </c>
      <c r="AZ550" t="s">
        <v>59</v>
      </c>
      <c r="BA550" t="s">
        <v>55</v>
      </c>
      <c r="BB550" t="s">
        <v>49</v>
      </c>
      <c r="BC550" t="s">
        <v>49</v>
      </c>
      <c r="BD550" t="s">
        <v>106</v>
      </c>
      <c r="BE550" t="s">
        <v>55</v>
      </c>
      <c r="BF550">
        <v>61</v>
      </c>
      <c r="BG550" t="s">
        <v>60</v>
      </c>
      <c r="BH550" t="s">
        <v>71</v>
      </c>
      <c r="BI550" t="s">
        <v>62</v>
      </c>
      <c r="BJ550" t="s">
        <v>63</v>
      </c>
      <c r="BK550">
        <v>2008</v>
      </c>
      <c r="BL550">
        <v>1</v>
      </c>
      <c r="BM550">
        <v>1</v>
      </c>
      <c r="BN550">
        <v>0</v>
      </c>
      <c r="BR550">
        <f>I550-BS550</f>
        <v>108</v>
      </c>
      <c r="BS550">
        <v>231</v>
      </c>
      <c r="BT550">
        <f t="shared" si="42"/>
        <v>3</v>
      </c>
    </row>
    <row r="551" spans="1:72" x14ac:dyDescent="0.2">
      <c r="A551" s="19" t="s">
        <v>673</v>
      </c>
      <c r="B551" s="1">
        <v>547</v>
      </c>
      <c r="C551">
        <v>0</v>
      </c>
      <c r="D551" t="s">
        <v>68</v>
      </c>
      <c r="E551" s="2" t="s">
        <v>49</v>
      </c>
      <c r="F551" t="s">
        <v>49</v>
      </c>
      <c r="G551">
        <v>547</v>
      </c>
      <c r="H551" s="2" t="s">
        <v>49</v>
      </c>
      <c r="I551" s="3">
        <v>133</v>
      </c>
      <c r="J551" s="4">
        <f>133-24</f>
        <v>109</v>
      </c>
      <c r="K551" s="5">
        <v>406</v>
      </c>
      <c r="P551" t="s">
        <v>834</v>
      </c>
      <c r="Q551" s="4" t="s">
        <v>51</v>
      </c>
      <c r="R551" s="5" t="s">
        <v>65</v>
      </c>
      <c r="W551">
        <v>6</v>
      </c>
      <c r="X551">
        <v>12</v>
      </c>
      <c r="Y551" s="4">
        <f>J551</f>
        <v>109</v>
      </c>
      <c r="Z551" s="4">
        <v>1</v>
      </c>
      <c r="AE551" s="5">
        <f>K551</f>
        <v>406</v>
      </c>
      <c r="AF551" s="5">
        <v>0</v>
      </c>
      <c r="AM551">
        <v>46</v>
      </c>
      <c r="AN551" t="s">
        <v>52</v>
      </c>
      <c r="AO551" t="s">
        <v>53</v>
      </c>
      <c r="AP551">
        <v>-17115</v>
      </c>
      <c r="AQ551">
        <v>0</v>
      </c>
      <c r="AR551" t="s">
        <v>54</v>
      </c>
      <c r="AS551" t="s">
        <v>55</v>
      </c>
      <c r="AT551" t="s">
        <v>55</v>
      </c>
      <c r="AU551" t="s">
        <v>56</v>
      </c>
      <c r="AV551">
        <v>2002</v>
      </c>
      <c r="AW551" t="s">
        <v>57</v>
      </c>
      <c r="AX551" t="s">
        <v>55</v>
      </c>
      <c r="AY551" t="s">
        <v>81</v>
      </c>
      <c r="AZ551" t="s">
        <v>59</v>
      </c>
      <c r="BA551" t="s">
        <v>55</v>
      </c>
      <c r="BB551" t="s">
        <v>49</v>
      </c>
      <c r="BC551" t="s">
        <v>49</v>
      </c>
      <c r="BD551" t="s">
        <v>49</v>
      </c>
      <c r="BE551" t="s">
        <v>55</v>
      </c>
      <c r="BF551">
        <v>61</v>
      </c>
      <c r="BG551" t="s">
        <v>60</v>
      </c>
      <c r="BH551" t="s">
        <v>142</v>
      </c>
      <c r="BI551" t="s">
        <v>62</v>
      </c>
      <c r="BJ551" t="s">
        <v>63</v>
      </c>
      <c r="BK551">
        <v>2008</v>
      </c>
      <c r="BL551">
        <v>1</v>
      </c>
      <c r="BM551">
        <v>0</v>
      </c>
      <c r="BR551">
        <f>I551-BS551</f>
        <v>4</v>
      </c>
      <c r="BS551">
        <v>129</v>
      </c>
      <c r="BT551">
        <f t="shared" si="42"/>
        <v>2</v>
      </c>
    </row>
    <row r="552" spans="1:72" x14ac:dyDescent="0.2">
      <c r="A552" s="19" t="s">
        <v>713</v>
      </c>
      <c r="B552" s="1">
        <v>121</v>
      </c>
      <c r="C552">
        <v>0</v>
      </c>
      <c r="D552" s="8" t="s">
        <v>68</v>
      </c>
      <c r="E552" s="12">
        <v>121</v>
      </c>
      <c r="F552" s="8" t="s">
        <v>49</v>
      </c>
      <c r="G552" s="8">
        <v>121</v>
      </c>
      <c r="H552" s="12" t="s">
        <v>49</v>
      </c>
      <c r="I552" s="3">
        <v>121</v>
      </c>
      <c r="J552" s="4">
        <v>69</v>
      </c>
      <c r="K552" s="8"/>
      <c r="L552" s="8"/>
      <c r="M552" s="8"/>
      <c r="N552" s="8"/>
      <c r="O552" s="8"/>
      <c r="P552" s="8"/>
      <c r="Q552" s="4" t="s">
        <v>51</v>
      </c>
      <c r="R552" s="8" t="s">
        <v>87</v>
      </c>
      <c r="S552" s="8"/>
      <c r="T552" s="8"/>
      <c r="U552" s="8"/>
      <c r="V552" s="8"/>
      <c r="W552" s="8">
        <v>6</v>
      </c>
      <c r="X552" s="8">
        <v>12</v>
      </c>
      <c r="Y552" s="4">
        <f>J552</f>
        <v>69</v>
      </c>
      <c r="Z552" s="4">
        <v>1</v>
      </c>
      <c r="AA552" s="8"/>
      <c r="AB552" s="8"/>
      <c r="AC552" s="8"/>
      <c r="AD552" s="8"/>
      <c r="AE552" s="8"/>
      <c r="AF552" s="8"/>
      <c r="AG552" s="8"/>
      <c r="AH552" s="8"/>
      <c r="AI552" s="8"/>
      <c r="AJ552" s="8"/>
      <c r="AK552" s="8"/>
      <c r="AL552" s="8"/>
      <c r="AM552" s="8">
        <v>53</v>
      </c>
      <c r="AN552" s="8" t="s">
        <v>52</v>
      </c>
      <c r="AO552" s="8" t="s">
        <v>53</v>
      </c>
      <c r="AP552" s="8">
        <v>-19605</v>
      </c>
      <c r="AQ552" s="8">
        <v>0</v>
      </c>
      <c r="AR552" s="8" t="s">
        <v>54</v>
      </c>
      <c r="AS552" s="8" t="s">
        <v>55</v>
      </c>
      <c r="AT552" s="8" t="s">
        <v>55</v>
      </c>
      <c r="AU552" s="8" t="s">
        <v>85</v>
      </c>
      <c r="AV552" s="8">
        <v>2003</v>
      </c>
      <c r="AW552" s="8" t="s">
        <v>57</v>
      </c>
      <c r="AX552" s="8" t="s">
        <v>55</v>
      </c>
      <c r="AY552" s="8" t="s">
        <v>81</v>
      </c>
      <c r="AZ552" s="8" t="s">
        <v>59</v>
      </c>
      <c r="BA552" s="8" t="s">
        <v>55</v>
      </c>
      <c r="BB552" s="8" t="s">
        <v>49</v>
      </c>
      <c r="BC552" s="8" t="s">
        <v>49</v>
      </c>
      <c r="BD552" s="8" t="s">
        <v>49</v>
      </c>
      <c r="BE552" s="8" t="s">
        <v>55</v>
      </c>
      <c r="BF552" s="8">
        <v>61</v>
      </c>
      <c r="BG552" s="8" t="s">
        <v>511</v>
      </c>
      <c r="BH552" s="8" t="s">
        <v>61</v>
      </c>
      <c r="BI552" s="8" t="s">
        <v>62</v>
      </c>
      <c r="BJ552" s="8" t="s">
        <v>63</v>
      </c>
      <c r="BK552" s="8">
        <v>2008</v>
      </c>
      <c r="BL552">
        <v>0</v>
      </c>
      <c r="BR552">
        <f>I552-BS552</f>
        <v>1</v>
      </c>
      <c r="BS552">
        <v>120</v>
      </c>
      <c r="BT552">
        <f t="shared" si="42"/>
        <v>1</v>
      </c>
    </row>
    <row r="553" spans="1:72" x14ac:dyDescent="0.2">
      <c r="A553" s="19" t="s">
        <v>714</v>
      </c>
      <c r="B553" s="1">
        <v>931</v>
      </c>
      <c r="C553">
        <v>0</v>
      </c>
      <c r="D553" s="8" t="s">
        <v>68</v>
      </c>
      <c r="E553" s="12" t="s">
        <v>49</v>
      </c>
      <c r="F553" s="8" t="s">
        <v>49</v>
      </c>
      <c r="G553" s="8">
        <v>931</v>
      </c>
      <c r="H553" s="12">
        <v>817</v>
      </c>
      <c r="I553" s="3">
        <v>817</v>
      </c>
      <c r="J553" s="4">
        <f>817-29</f>
        <v>788</v>
      </c>
      <c r="K553" s="4">
        <v>118</v>
      </c>
      <c r="L553" s="8"/>
      <c r="M553" s="8"/>
      <c r="N553" s="8"/>
      <c r="O553" s="8"/>
      <c r="P553" s="8"/>
      <c r="Q553" s="4" t="s">
        <v>51</v>
      </c>
      <c r="R553" s="4" t="s">
        <v>51</v>
      </c>
      <c r="S553" s="8"/>
      <c r="T553" s="8"/>
      <c r="U553" s="8"/>
      <c r="V553" s="8"/>
      <c r="W553" s="8">
        <v>6</v>
      </c>
      <c r="X553" s="8">
        <v>12</v>
      </c>
      <c r="Y553" s="4">
        <f>K553+J553</f>
        <v>906</v>
      </c>
      <c r="Z553" s="4">
        <v>0</v>
      </c>
      <c r="AA553" s="8"/>
      <c r="AB553" s="8"/>
      <c r="AC553" s="8"/>
      <c r="AD553" s="8"/>
      <c r="AE553" s="8"/>
      <c r="AF553" s="8"/>
      <c r="AG553" s="8"/>
      <c r="AH553" s="8"/>
      <c r="AI553" s="8"/>
      <c r="AJ553" s="8"/>
      <c r="AK553" s="8"/>
      <c r="AL553" s="8"/>
      <c r="AM553" s="8">
        <v>40</v>
      </c>
      <c r="AN553" s="8" t="s">
        <v>52</v>
      </c>
      <c r="AO553" s="8" t="s">
        <v>53</v>
      </c>
      <c r="AP553" s="8">
        <v>-14791</v>
      </c>
      <c r="AQ553" s="8">
        <v>0</v>
      </c>
      <c r="AR553" s="8" t="s">
        <v>54</v>
      </c>
      <c r="AS553" s="8" t="s">
        <v>55</v>
      </c>
      <c r="AT553" s="8" t="s">
        <v>55</v>
      </c>
      <c r="AU553" s="8" t="s">
        <v>56</v>
      </c>
      <c r="AV553" s="8">
        <v>2008</v>
      </c>
      <c r="AW553" s="8" t="s">
        <v>57</v>
      </c>
      <c r="AX553" s="8" t="s">
        <v>55</v>
      </c>
      <c r="AY553" s="8" t="s">
        <v>58</v>
      </c>
      <c r="AZ553" s="8" t="s">
        <v>180</v>
      </c>
      <c r="BA553" s="8" t="s">
        <v>55</v>
      </c>
      <c r="BB553" s="8" t="s">
        <v>49</v>
      </c>
      <c r="BC553" s="8" t="s">
        <v>49</v>
      </c>
      <c r="BD553" s="8" t="s">
        <v>106</v>
      </c>
      <c r="BE553" s="8" t="s">
        <v>55</v>
      </c>
      <c r="BF553" s="8">
        <v>61</v>
      </c>
      <c r="BG553" s="8" t="s">
        <v>511</v>
      </c>
      <c r="BH553" s="8" t="s">
        <v>71</v>
      </c>
      <c r="BI553" s="8" t="s">
        <v>521</v>
      </c>
      <c r="BJ553" s="8" t="s">
        <v>63</v>
      </c>
      <c r="BK553" s="8">
        <v>2007</v>
      </c>
      <c r="BL553">
        <v>1</v>
      </c>
      <c r="BM553">
        <v>0</v>
      </c>
      <c r="BR553">
        <f>I553-BS553</f>
        <v>669</v>
      </c>
      <c r="BS553">
        <v>148</v>
      </c>
      <c r="BT553">
        <f t="shared" si="42"/>
        <v>2</v>
      </c>
    </row>
    <row r="554" spans="1:72" x14ac:dyDescent="0.2">
      <c r="A554" s="19" t="s">
        <v>676</v>
      </c>
      <c r="B554" s="1">
        <v>1212</v>
      </c>
      <c r="C554">
        <v>0</v>
      </c>
      <c r="D554" t="s">
        <v>68</v>
      </c>
      <c r="E554" s="2" t="s">
        <v>49</v>
      </c>
      <c r="F554" t="s">
        <v>49</v>
      </c>
      <c r="G554">
        <v>1212</v>
      </c>
      <c r="H554" s="2">
        <v>101</v>
      </c>
      <c r="I554" s="3">
        <v>839</v>
      </c>
      <c r="J554" s="4">
        <f>839-41</f>
        <v>798</v>
      </c>
      <c r="K554" s="4">
        <f>1100-839</f>
        <v>261</v>
      </c>
      <c r="L554" s="5">
        <v>112</v>
      </c>
      <c r="M554" s="8"/>
      <c r="P554" t="s">
        <v>833</v>
      </c>
      <c r="Q554" s="4" t="s">
        <v>51</v>
      </c>
      <c r="R554" s="4" t="s">
        <v>51</v>
      </c>
      <c r="S554" s="5" t="s">
        <v>65</v>
      </c>
      <c r="T554" s="8"/>
      <c r="W554" s="8">
        <v>13</v>
      </c>
      <c r="X554" s="8">
        <v>26</v>
      </c>
      <c r="Y554" s="4">
        <f>J554+K554</f>
        <v>1059</v>
      </c>
      <c r="Z554" s="4">
        <v>1</v>
      </c>
      <c r="AE554" s="5">
        <f>L554</f>
        <v>112</v>
      </c>
      <c r="AF554" s="5">
        <v>0</v>
      </c>
      <c r="AM554">
        <v>65</v>
      </c>
      <c r="AN554" t="s">
        <v>52</v>
      </c>
      <c r="AO554" t="s">
        <v>53</v>
      </c>
      <c r="AP554">
        <v>-23772</v>
      </c>
      <c r="AQ554">
        <v>0</v>
      </c>
      <c r="AR554" t="s">
        <v>54</v>
      </c>
      <c r="AS554" t="s">
        <v>55</v>
      </c>
      <c r="AT554" t="s">
        <v>55</v>
      </c>
      <c r="AU554" t="s">
        <v>56</v>
      </c>
      <c r="AV554">
        <v>2009</v>
      </c>
      <c r="AW554" t="s">
        <v>57</v>
      </c>
      <c r="AX554" t="s">
        <v>55</v>
      </c>
      <c r="AY554" t="s">
        <v>58</v>
      </c>
      <c r="AZ554" t="s">
        <v>59</v>
      </c>
      <c r="BA554" t="s">
        <v>55</v>
      </c>
      <c r="BB554" t="s">
        <v>49</v>
      </c>
      <c r="BC554" t="s">
        <v>49</v>
      </c>
      <c r="BD554" t="s">
        <v>106</v>
      </c>
      <c r="BE554" t="s">
        <v>55</v>
      </c>
      <c r="BF554">
        <v>61</v>
      </c>
      <c r="BG554" t="s">
        <v>60</v>
      </c>
      <c r="BH554" t="s">
        <v>142</v>
      </c>
      <c r="BI554" t="s">
        <v>62</v>
      </c>
      <c r="BJ554" t="s">
        <v>63</v>
      </c>
      <c r="BK554">
        <v>2006</v>
      </c>
      <c r="BL554">
        <v>1</v>
      </c>
      <c r="BM554">
        <v>1</v>
      </c>
      <c r="BN554">
        <v>0</v>
      </c>
      <c r="BR554">
        <f>I554-BS554</f>
        <v>756</v>
      </c>
      <c r="BS554">
        <v>83</v>
      </c>
      <c r="BT554">
        <f t="shared" si="42"/>
        <v>3</v>
      </c>
    </row>
    <row r="555" spans="1:72" x14ac:dyDescent="0.2">
      <c r="A555" s="19" t="s">
        <v>715</v>
      </c>
      <c r="B555" s="1">
        <v>932</v>
      </c>
      <c r="C555">
        <v>0</v>
      </c>
      <c r="D555" s="8" t="s">
        <v>68</v>
      </c>
      <c r="E555" s="12" t="s">
        <v>49</v>
      </c>
      <c r="F555" s="8" t="s">
        <v>49</v>
      </c>
      <c r="G555" s="8">
        <v>932</v>
      </c>
      <c r="H555" s="12" t="s">
        <v>49</v>
      </c>
      <c r="I555" s="3" t="s">
        <v>69</v>
      </c>
      <c r="J555" s="4">
        <v>903</v>
      </c>
      <c r="K555" s="8"/>
      <c r="L555" s="8"/>
      <c r="M555" s="8"/>
      <c r="N555" s="8"/>
      <c r="O555" s="8"/>
      <c r="P555" s="8"/>
      <c r="Q555" s="4" t="s">
        <v>51</v>
      </c>
      <c r="R555" s="8"/>
      <c r="S555" s="8"/>
      <c r="T555" s="8"/>
      <c r="U555" s="8"/>
      <c r="V555" s="8"/>
      <c r="W555" s="8"/>
      <c r="X555" s="8"/>
      <c r="Y555" s="4">
        <f>J555</f>
        <v>903</v>
      </c>
      <c r="Z555" s="4">
        <v>0</v>
      </c>
      <c r="AA555" s="8"/>
      <c r="AB555" s="8"/>
      <c r="AC555" s="8"/>
      <c r="AD555" s="8"/>
      <c r="AE555" s="8"/>
      <c r="AF555" s="8"/>
      <c r="AG555" s="8"/>
      <c r="AH555" s="8"/>
      <c r="AI555" s="8"/>
      <c r="AJ555" s="8"/>
      <c r="AK555" s="8"/>
      <c r="AL555" s="8"/>
      <c r="AM555" s="8">
        <v>81</v>
      </c>
      <c r="AN555" s="8" t="s">
        <v>101</v>
      </c>
      <c r="AO555" s="8" t="s">
        <v>53</v>
      </c>
      <c r="AP555" s="8">
        <v>-29830</v>
      </c>
      <c r="AQ555" s="8">
        <v>0</v>
      </c>
      <c r="AR555" s="8" t="s">
        <v>54</v>
      </c>
      <c r="AS555" s="8" t="s">
        <v>55</v>
      </c>
      <c r="AT555" s="8" t="s">
        <v>55</v>
      </c>
      <c r="AU555" s="8" t="s">
        <v>56</v>
      </c>
      <c r="AV555" s="8">
        <v>2012</v>
      </c>
      <c r="AW555" s="8" t="s">
        <v>49</v>
      </c>
      <c r="AX555" s="8" t="s">
        <v>55</v>
      </c>
      <c r="AY555" s="8" t="s">
        <v>49</v>
      </c>
      <c r="AZ555" s="8" t="s">
        <v>59</v>
      </c>
      <c r="BA555" s="8" t="s">
        <v>53</v>
      </c>
      <c r="BB555" s="8" t="s">
        <v>49</v>
      </c>
      <c r="BC555" s="8" t="s">
        <v>49</v>
      </c>
      <c r="BD555" s="8" t="s">
        <v>66</v>
      </c>
      <c r="BE555" s="8" t="s">
        <v>55</v>
      </c>
      <c r="BF555" s="8">
        <v>61</v>
      </c>
      <c r="BG555" s="8" t="s">
        <v>511</v>
      </c>
      <c r="BH555" s="8" t="s">
        <v>49</v>
      </c>
      <c r="BI555" s="8" t="s">
        <v>521</v>
      </c>
      <c r="BJ555" s="8" t="s">
        <v>63</v>
      </c>
      <c r="BK555" s="8">
        <v>2006</v>
      </c>
      <c r="BL555">
        <v>0</v>
      </c>
      <c r="BR555">
        <f>B555-BS555</f>
        <v>775</v>
      </c>
      <c r="BS555">
        <v>157</v>
      </c>
      <c r="BT555">
        <f t="shared" si="42"/>
        <v>1</v>
      </c>
    </row>
    <row r="556" spans="1:72" x14ac:dyDescent="0.2">
      <c r="A556" s="19" t="s">
        <v>677</v>
      </c>
      <c r="B556" s="1">
        <v>36</v>
      </c>
      <c r="C556">
        <v>1</v>
      </c>
      <c r="D556" t="s">
        <v>48</v>
      </c>
      <c r="E556" s="2" t="s">
        <v>49</v>
      </c>
      <c r="F556">
        <v>36</v>
      </c>
      <c r="G556">
        <v>36</v>
      </c>
      <c r="H556" s="2" t="s">
        <v>49</v>
      </c>
      <c r="I556" s="3">
        <v>36</v>
      </c>
      <c r="J556" t="s">
        <v>50</v>
      </c>
      <c r="Q556" t="s">
        <v>50</v>
      </c>
      <c r="AM556">
        <v>51</v>
      </c>
      <c r="AN556" t="s">
        <v>52</v>
      </c>
      <c r="AO556" t="s">
        <v>53</v>
      </c>
      <c r="AP556">
        <v>-18788</v>
      </c>
      <c r="AQ556">
        <v>0</v>
      </c>
      <c r="AR556" t="s">
        <v>54</v>
      </c>
      <c r="AS556" t="s">
        <v>55</v>
      </c>
      <c r="AT556" t="s">
        <v>55</v>
      </c>
      <c r="AU556" t="s">
        <v>56</v>
      </c>
      <c r="AV556">
        <v>2016</v>
      </c>
      <c r="AW556" t="s">
        <v>57</v>
      </c>
      <c r="AX556" t="s">
        <v>55</v>
      </c>
      <c r="AY556" t="s">
        <v>81</v>
      </c>
      <c r="AZ556" t="s">
        <v>59</v>
      </c>
      <c r="BA556" t="s">
        <v>55</v>
      </c>
      <c r="BB556" t="s">
        <v>49</v>
      </c>
      <c r="BC556" t="s">
        <v>49</v>
      </c>
      <c r="BD556" t="s">
        <v>49</v>
      </c>
      <c r="BE556" t="s">
        <v>55</v>
      </c>
      <c r="BF556">
        <v>61</v>
      </c>
      <c r="BG556" t="s">
        <v>60</v>
      </c>
      <c r="BH556" t="s">
        <v>71</v>
      </c>
      <c r="BI556" t="s">
        <v>62</v>
      </c>
      <c r="BJ556" t="s">
        <v>63</v>
      </c>
      <c r="BK556">
        <v>2006</v>
      </c>
      <c r="BT556">
        <f t="shared" si="42"/>
        <v>0</v>
      </c>
    </row>
    <row r="557" spans="1:72" x14ac:dyDescent="0.2">
      <c r="A557" s="19" t="s">
        <v>717</v>
      </c>
      <c r="B557" s="1">
        <v>1398</v>
      </c>
      <c r="C557">
        <v>0</v>
      </c>
      <c r="D557" s="8" t="s">
        <v>68</v>
      </c>
      <c r="E557" s="12" t="s">
        <v>49</v>
      </c>
      <c r="F557" s="8" t="s">
        <v>49</v>
      </c>
      <c r="G557" s="8">
        <v>1398</v>
      </c>
      <c r="H557" s="12">
        <v>1006</v>
      </c>
      <c r="I557" s="3">
        <v>1006</v>
      </c>
      <c r="J557" s="4">
        <f>1006-34</f>
        <v>972</v>
      </c>
      <c r="K557" s="4">
        <v>345</v>
      </c>
      <c r="L557" s="8"/>
      <c r="M557" s="8"/>
      <c r="N557" s="8"/>
      <c r="O557" s="8"/>
      <c r="P557" s="8"/>
      <c r="Q557" s="4" t="s">
        <v>51</v>
      </c>
      <c r="R557" s="4" t="s">
        <v>51</v>
      </c>
      <c r="S557" s="8"/>
      <c r="T557" s="8"/>
      <c r="U557" s="8"/>
      <c r="V557" s="8"/>
      <c r="W557" s="8">
        <v>6</v>
      </c>
      <c r="X557" s="8">
        <v>12</v>
      </c>
      <c r="Y557" s="4">
        <f>J557+K557</f>
        <v>1317</v>
      </c>
      <c r="Z557" s="4">
        <v>0</v>
      </c>
      <c r="AA557" s="8"/>
      <c r="AB557" s="8"/>
      <c r="AC557" s="8"/>
      <c r="AD557" s="8"/>
      <c r="AE557" s="8"/>
      <c r="AF557" s="8"/>
      <c r="AG557" s="8"/>
      <c r="AH557" s="8"/>
      <c r="AI557" s="8"/>
      <c r="AJ557" s="8"/>
      <c r="AK557" s="8"/>
      <c r="AL557" s="8"/>
      <c r="AM557" s="8">
        <v>64</v>
      </c>
      <c r="AN557" s="8" t="s">
        <v>52</v>
      </c>
      <c r="AO557" s="8" t="s">
        <v>53</v>
      </c>
      <c r="AP557" s="8">
        <v>-23508</v>
      </c>
      <c r="AQ557" s="8">
        <v>0</v>
      </c>
      <c r="AR557" s="8" t="s">
        <v>54</v>
      </c>
      <c r="AS557" s="8" t="s">
        <v>55</v>
      </c>
      <c r="AT557" s="8" t="s">
        <v>55</v>
      </c>
      <c r="AU557" s="8" t="s">
        <v>56</v>
      </c>
      <c r="AV557" s="8">
        <v>2017</v>
      </c>
      <c r="AW557" s="8" t="s">
        <v>57</v>
      </c>
      <c r="AX557" s="8" t="s">
        <v>55</v>
      </c>
      <c r="AY557" s="8" t="s">
        <v>58</v>
      </c>
      <c r="AZ557" s="8" t="s">
        <v>59</v>
      </c>
      <c r="BA557" s="8" t="s">
        <v>55</v>
      </c>
      <c r="BB557" s="8" t="s">
        <v>49</v>
      </c>
      <c r="BC557" s="8" t="s">
        <v>49</v>
      </c>
      <c r="BD557" s="8" t="s">
        <v>106</v>
      </c>
      <c r="BE557" s="8" t="s">
        <v>55</v>
      </c>
      <c r="BF557" s="8">
        <v>61</v>
      </c>
      <c r="BG557" s="8" t="s">
        <v>551</v>
      </c>
      <c r="BH557" s="8" t="s">
        <v>61</v>
      </c>
      <c r="BI557" s="8" t="s">
        <v>62</v>
      </c>
      <c r="BJ557" s="8" t="s">
        <v>63</v>
      </c>
      <c r="BK557" s="8">
        <v>2005</v>
      </c>
      <c r="BL557">
        <v>1</v>
      </c>
      <c r="BM557">
        <v>0</v>
      </c>
      <c r="BR557">
        <f>I557-BS557</f>
        <v>846</v>
      </c>
      <c r="BS557">
        <v>160</v>
      </c>
      <c r="BT557">
        <f t="shared" si="42"/>
        <v>2</v>
      </c>
    </row>
    <row r="558" spans="1:72" x14ac:dyDescent="0.2">
      <c r="A558" s="19" t="s">
        <v>718</v>
      </c>
      <c r="B558" s="1">
        <v>1381</v>
      </c>
      <c r="C558">
        <v>0</v>
      </c>
      <c r="D558" s="8" t="s">
        <v>68</v>
      </c>
      <c r="E558" s="12" t="s">
        <v>49</v>
      </c>
      <c r="F558" s="8" t="s">
        <v>49</v>
      </c>
      <c r="G558" s="8">
        <v>1381</v>
      </c>
      <c r="H558" s="12" t="s">
        <v>49</v>
      </c>
      <c r="I558" s="3" t="s">
        <v>69</v>
      </c>
      <c r="J558" s="4">
        <f>G558-18</f>
        <v>1363</v>
      </c>
      <c r="K558" s="8"/>
      <c r="L558" s="8"/>
      <c r="M558" s="8"/>
      <c r="N558" s="8"/>
      <c r="O558" s="8"/>
      <c r="P558" s="8"/>
      <c r="Q558" s="4" t="s">
        <v>51</v>
      </c>
      <c r="R558" s="8"/>
      <c r="S558" s="8"/>
      <c r="T558" s="8"/>
      <c r="U558" s="8"/>
      <c r="V558" s="8"/>
      <c r="W558" s="8">
        <v>7</v>
      </c>
      <c r="X558" s="8">
        <v>14</v>
      </c>
      <c r="Y558" s="4">
        <f t="shared" ref="Y558:Y563" si="44">J558</f>
        <v>1363</v>
      </c>
      <c r="Z558" s="4">
        <v>0</v>
      </c>
      <c r="AA558" s="8"/>
      <c r="AB558" s="8"/>
      <c r="AC558" s="8"/>
      <c r="AD558" s="8"/>
      <c r="AE558" s="8"/>
      <c r="AF558" s="8"/>
      <c r="AG558" s="8"/>
      <c r="AH558" s="8"/>
      <c r="AI558" s="8"/>
      <c r="AJ558" s="8"/>
      <c r="AK558" s="8"/>
      <c r="AL558" s="8"/>
      <c r="AM558" s="8">
        <v>62</v>
      </c>
      <c r="AN558" s="8" t="s">
        <v>52</v>
      </c>
      <c r="AO558" s="8" t="s">
        <v>53</v>
      </c>
      <c r="AP558" s="8">
        <v>-22929</v>
      </c>
      <c r="AQ558" s="8">
        <v>0</v>
      </c>
      <c r="AR558" s="8" t="s">
        <v>54</v>
      </c>
      <c r="AS558" s="8" t="s">
        <v>55</v>
      </c>
      <c r="AT558" s="8" t="s">
        <v>55</v>
      </c>
      <c r="AU558" s="8" t="s">
        <v>56</v>
      </c>
      <c r="AV558" s="8">
        <v>2018</v>
      </c>
      <c r="AW558" s="8" t="s">
        <v>70</v>
      </c>
      <c r="AX558" s="8" t="s">
        <v>55</v>
      </c>
      <c r="AY558" s="8" t="s">
        <v>58</v>
      </c>
      <c r="AZ558" s="8" t="s">
        <v>59</v>
      </c>
      <c r="BA558" s="8" t="s">
        <v>55</v>
      </c>
      <c r="BB558" s="8" t="s">
        <v>49</v>
      </c>
      <c r="BC558" s="8" t="s">
        <v>49</v>
      </c>
      <c r="BD558" s="8" t="s">
        <v>49</v>
      </c>
      <c r="BE558" s="8" t="s">
        <v>55</v>
      </c>
      <c r="BF558" s="8">
        <v>61</v>
      </c>
      <c r="BG558" s="8" t="s">
        <v>60</v>
      </c>
      <c r="BH558" s="8" t="s">
        <v>71</v>
      </c>
      <c r="BI558" s="8" t="s">
        <v>556</v>
      </c>
      <c r="BJ558" s="8" t="s">
        <v>63</v>
      </c>
      <c r="BK558" s="8">
        <v>2005</v>
      </c>
      <c r="BL558">
        <v>0</v>
      </c>
      <c r="BR558">
        <f>B558-BS558</f>
        <v>1243</v>
      </c>
      <c r="BS558">
        <v>138</v>
      </c>
      <c r="BT558">
        <f t="shared" si="42"/>
        <v>1</v>
      </c>
    </row>
    <row r="559" spans="1:72" x14ac:dyDescent="0.2">
      <c r="A559" s="19" t="s">
        <v>719</v>
      </c>
      <c r="B559" s="1">
        <v>146</v>
      </c>
      <c r="C559">
        <v>0</v>
      </c>
      <c r="D559" s="8" t="s">
        <v>68</v>
      </c>
      <c r="E559" s="12" t="s">
        <v>49</v>
      </c>
      <c r="F559" s="8" t="s">
        <v>49</v>
      </c>
      <c r="G559" s="8">
        <v>146</v>
      </c>
      <c r="H559" s="12" t="s">
        <v>49</v>
      </c>
      <c r="I559" s="3" t="s">
        <v>69</v>
      </c>
      <c r="J559" s="4">
        <v>145</v>
      </c>
      <c r="K559" s="8"/>
      <c r="L559" s="8"/>
      <c r="M559" s="8"/>
      <c r="N559" s="8"/>
      <c r="O559" s="8"/>
      <c r="P559" s="8"/>
      <c r="Q559" s="4" t="s">
        <v>51</v>
      </c>
      <c r="R559" s="8"/>
      <c r="S559" s="8"/>
      <c r="T559" s="8"/>
      <c r="U559" s="8"/>
      <c r="V559" s="8"/>
      <c r="W559" s="8"/>
      <c r="X559" s="8"/>
      <c r="Y559" s="4">
        <f t="shared" si="44"/>
        <v>145</v>
      </c>
      <c r="Z559" s="4">
        <v>0</v>
      </c>
      <c r="AA559" s="8"/>
      <c r="AB559" s="8"/>
      <c r="AC559" s="8"/>
      <c r="AD559" s="8"/>
      <c r="AE559" s="8"/>
      <c r="AF559" s="8"/>
      <c r="AG559" s="8"/>
      <c r="AH559" s="8"/>
      <c r="AI559" s="8"/>
      <c r="AJ559" s="8"/>
      <c r="AK559" s="8"/>
      <c r="AL559" s="8"/>
      <c r="AM559" s="8">
        <v>49</v>
      </c>
      <c r="AN559" s="8" t="s">
        <v>101</v>
      </c>
      <c r="AO559" s="8" t="s">
        <v>53</v>
      </c>
      <c r="AP559" s="8">
        <v>-18182</v>
      </c>
      <c r="AQ559" s="8">
        <v>0</v>
      </c>
      <c r="AR559" s="8" t="s">
        <v>54</v>
      </c>
      <c r="AS559" s="8" t="s">
        <v>55</v>
      </c>
      <c r="AT559" s="8" t="s">
        <v>55</v>
      </c>
      <c r="AU559" s="8" t="s">
        <v>56</v>
      </c>
      <c r="AV559" s="8">
        <v>2087</v>
      </c>
      <c r="AW559" s="8" t="s">
        <v>70</v>
      </c>
      <c r="AX559" s="8" t="s">
        <v>55</v>
      </c>
      <c r="AY559" s="8" t="s">
        <v>58</v>
      </c>
      <c r="AZ559" s="8" t="s">
        <v>59</v>
      </c>
      <c r="BA559" s="8" t="s">
        <v>55</v>
      </c>
      <c r="BB559" s="8" t="s">
        <v>49</v>
      </c>
      <c r="BC559" s="8" t="s">
        <v>49</v>
      </c>
      <c r="BD559" s="8" t="s">
        <v>49</v>
      </c>
      <c r="BE559" s="8" t="s">
        <v>55</v>
      </c>
      <c r="BF559" s="8">
        <v>61</v>
      </c>
      <c r="BG559" s="8" t="s">
        <v>60</v>
      </c>
      <c r="BH559" s="8" t="s">
        <v>71</v>
      </c>
      <c r="BI559" s="8" t="s">
        <v>556</v>
      </c>
      <c r="BJ559" s="8" t="s">
        <v>63</v>
      </c>
      <c r="BK559" s="8">
        <v>2009</v>
      </c>
      <c r="BL559">
        <v>0</v>
      </c>
      <c r="BR559">
        <f>B559-BS559</f>
        <v>0</v>
      </c>
      <c r="BS559">
        <v>146</v>
      </c>
      <c r="BT559">
        <f t="shared" si="42"/>
        <v>1</v>
      </c>
    </row>
    <row r="560" spans="1:72" x14ac:dyDescent="0.2">
      <c r="A560" s="19" t="s">
        <v>680</v>
      </c>
      <c r="B560" s="1">
        <v>145</v>
      </c>
      <c r="C560">
        <v>0</v>
      </c>
      <c r="D560" t="s">
        <v>68</v>
      </c>
      <c r="E560" s="2" t="s">
        <v>49</v>
      </c>
      <c r="F560" t="s">
        <v>49</v>
      </c>
      <c r="G560">
        <v>145</v>
      </c>
      <c r="H560" s="2" t="s">
        <v>49</v>
      </c>
      <c r="I560" s="3" t="s">
        <v>69</v>
      </c>
      <c r="J560" s="4">
        <v>111</v>
      </c>
      <c r="Q560" s="4" t="s">
        <v>51</v>
      </c>
      <c r="W560">
        <v>6</v>
      </c>
      <c r="X560">
        <v>12</v>
      </c>
      <c r="Y560" s="4">
        <f t="shared" si="44"/>
        <v>111</v>
      </c>
      <c r="Z560" s="4">
        <v>0</v>
      </c>
      <c r="AM560">
        <v>51</v>
      </c>
      <c r="AN560" t="s">
        <v>52</v>
      </c>
      <c r="AO560" t="s">
        <v>53</v>
      </c>
      <c r="AP560">
        <v>-18769</v>
      </c>
      <c r="AQ560">
        <v>0</v>
      </c>
      <c r="AR560" t="s">
        <v>54</v>
      </c>
      <c r="AS560" t="s">
        <v>55</v>
      </c>
      <c r="AT560" t="s">
        <v>55</v>
      </c>
      <c r="AU560" t="s">
        <v>56</v>
      </c>
      <c r="AV560">
        <v>2088</v>
      </c>
      <c r="AW560" t="s">
        <v>70</v>
      </c>
      <c r="AX560" t="s">
        <v>55</v>
      </c>
      <c r="AY560" t="s">
        <v>49</v>
      </c>
      <c r="AZ560" t="s">
        <v>59</v>
      </c>
      <c r="BA560" t="s">
        <v>55</v>
      </c>
      <c r="BB560" t="s">
        <v>49</v>
      </c>
      <c r="BC560" t="s">
        <v>49</v>
      </c>
      <c r="BD560" t="s">
        <v>49</v>
      </c>
      <c r="BE560" t="s">
        <v>55</v>
      </c>
      <c r="BF560">
        <v>61</v>
      </c>
      <c r="BG560" t="s">
        <v>60</v>
      </c>
      <c r="BH560" t="s">
        <v>71</v>
      </c>
      <c r="BI560" t="s">
        <v>62</v>
      </c>
      <c r="BJ560" t="s">
        <v>63</v>
      </c>
      <c r="BK560">
        <v>2009</v>
      </c>
      <c r="BL560">
        <v>0</v>
      </c>
      <c r="BR560">
        <f>B560-BS560</f>
        <v>0</v>
      </c>
      <c r="BS560">
        <v>145</v>
      </c>
      <c r="BT560">
        <f t="shared" si="42"/>
        <v>1</v>
      </c>
    </row>
    <row r="561" spans="1:72" x14ac:dyDescent="0.2">
      <c r="A561" s="19" t="s">
        <v>683</v>
      </c>
      <c r="B561" s="1">
        <v>1573</v>
      </c>
      <c r="C561">
        <v>0</v>
      </c>
      <c r="D561" t="s">
        <v>68</v>
      </c>
      <c r="E561" s="2" t="s">
        <v>49</v>
      </c>
      <c r="F561" t="s">
        <v>49</v>
      </c>
      <c r="G561">
        <v>1573</v>
      </c>
      <c r="H561" s="2" t="s">
        <v>49</v>
      </c>
      <c r="I561" s="3" t="s">
        <v>69</v>
      </c>
      <c r="J561" s="4">
        <v>1532</v>
      </c>
      <c r="Q561" s="4" t="s">
        <v>51</v>
      </c>
      <c r="W561">
        <v>6</v>
      </c>
      <c r="X561">
        <v>12</v>
      </c>
      <c r="Y561" s="4">
        <f t="shared" si="44"/>
        <v>1532</v>
      </c>
      <c r="Z561" s="4">
        <v>0</v>
      </c>
      <c r="AM561">
        <v>57</v>
      </c>
      <c r="AN561" t="s">
        <v>52</v>
      </c>
      <c r="AO561" t="s">
        <v>53</v>
      </c>
      <c r="AP561">
        <v>-21071</v>
      </c>
      <c r="AQ561">
        <v>0</v>
      </c>
      <c r="AR561" t="s">
        <v>54</v>
      </c>
      <c r="AS561" t="s">
        <v>55</v>
      </c>
      <c r="AT561" t="s">
        <v>55</v>
      </c>
      <c r="AU561" t="s">
        <v>56</v>
      </c>
      <c r="AV561">
        <v>2092</v>
      </c>
      <c r="AW561" t="s">
        <v>70</v>
      </c>
      <c r="AX561" t="s">
        <v>55</v>
      </c>
      <c r="AY561" t="s">
        <v>58</v>
      </c>
      <c r="AZ561" t="s">
        <v>59</v>
      </c>
      <c r="BA561" t="s">
        <v>55</v>
      </c>
      <c r="BB561" t="s">
        <v>49</v>
      </c>
      <c r="BC561" t="s">
        <v>49</v>
      </c>
      <c r="BD561" t="s">
        <v>49</v>
      </c>
      <c r="BE561" t="s">
        <v>55</v>
      </c>
      <c r="BF561">
        <v>61</v>
      </c>
      <c r="BG561" t="s">
        <v>60</v>
      </c>
      <c r="BH561" t="s">
        <v>71</v>
      </c>
      <c r="BI561" t="s">
        <v>62</v>
      </c>
      <c r="BJ561" t="s">
        <v>63</v>
      </c>
      <c r="BK561">
        <v>2004</v>
      </c>
      <c r="BL561">
        <v>0</v>
      </c>
      <c r="BR561">
        <f>B561-BS561</f>
        <v>1413</v>
      </c>
      <c r="BS561">
        <v>160</v>
      </c>
      <c r="BT561">
        <f t="shared" si="42"/>
        <v>1</v>
      </c>
    </row>
    <row r="562" spans="1:72" x14ac:dyDescent="0.2">
      <c r="A562" s="19" t="s">
        <v>691</v>
      </c>
      <c r="B562" s="1">
        <v>2182</v>
      </c>
      <c r="C562">
        <v>0</v>
      </c>
      <c r="D562" t="s">
        <v>68</v>
      </c>
      <c r="E562" s="2" t="s">
        <v>49</v>
      </c>
      <c r="F562" t="s">
        <v>49</v>
      </c>
      <c r="G562">
        <v>2182</v>
      </c>
      <c r="H562" s="2" t="s">
        <v>49</v>
      </c>
      <c r="I562" s="3" t="s">
        <v>69</v>
      </c>
      <c r="J562" s="4">
        <v>2158</v>
      </c>
      <c r="Q562" s="4" t="s">
        <v>51</v>
      </c>
      <c r="W562">
        <v>6</v>
      </c>
      <c r="X562">
        <v>12</v>
      </c>
      <c r="Y562" s="4">
        <f t="shared" si="44"/>
        <v>2158</v>
      </c>
      <c r="Z562" s="4">
        <v>0</v>
      </c>
      <c r="AM562">
        <v>63</v>
      </c>
      <c r="AN562" t="s">
        <v>52</v>
      </c>
      <c r="AO562" t="s">
        <v>53</v>
      </c>
      <c r="AP562">
        <v>-23272</v>
      </c>
      <c r="AQ562">
        <v>0</v>
      </c>
      <c r="AR562" t="s">
        <v>54</v>
      </c>
      <c r="AS562" t="s">
        <v>55</v>
      </c>
      <c r="AT562" t="s">
        <v>55</v>
      </c>
      <c r="AU562" t="s">
        <v>56</v>
      </c>
      <c r="AV562">
        <v>2094</v>
      </c>
      <c r="AW562" t="s">
        <v>70</v>
      </c>
      <c r="AX562" t="s">
        <v>55</v>
      </c>
      <c r="AY562" t="s">
        <v>58</v>
      </c>
      <c r="AZ562" t="s">
        <v>59</v>
      </c>
      <c r="BA562" t="s">
        <v>55</v>
      </c>
      <c r="BB562" t="s">
        <v>49</v>
      </c>
      <c r="BC562" t="s">
        <v>49</v>
      </c>
      <c r="BD562" t="s">
        <v>49</v>
      </c>
      <c r="BE562" t="s">
        <v>55</v>
      </c>
      <c r="BF562">
        <v>61</v>
      </c>
      <c r="BG562" t="s">
        <v>60</v>
      </c>
      <c r="BH562" t="s">
        <v>49</v>
      </c>
      <c r="BI562" t="s">
        <v>62</v>
      </c>
      <c r="BJ562" t="s">
        <v>63</v>
      </c>
      <c r="BK562">
        <v>2003</v>
      </c>
      <c r="BL562">
        <v>0</v>
      </c>
      <c r="BR562">
        <f>B562-BS562</f>
        <v>2016</v>
      </c>
      <c r="BS562">
        <v>166</v>
      </c>
      <c r="BT562">
        <f t="shared" si="42"/>
        <v>1</v>
      </c>
    </row>
    <row r="563" spans="1:72" x14ac:dyDescent="0.2">
      <c r="A563" s="19" t="s">
        <v>720</v>
      </c>
      <c r="B563" s="1">
        <v>1875</v>
      </c>
      <c r="C563">
        <v>1</v>
      </c>
      <c r="D563" s="8" t="s">
        <v>48</v>
      </c>
      <c r="E563" s="12" t="s">
        <v>49</v>
      </c>
      <c r="F563" s="8">
        <v>1875</v>
      </c>
      <c r="G563" s="8">
        <v>1875</v>
      </c>
      <c r="H563" s="12">
        <v>445</v>
      </c>
      <c r="I563" s="3">
        <v>445</v>
      </c>
      <c r="J563" s="4">
        <f>I563-61</f>
        <v>384</v>
      </c>
      <c r="K563" s="5">
        <v>410</v>
      </c>
      <c r="L563" s="23">
        <v>167</v>
      </c>
      <c r="M563" s="11">
        <v>114</v>
      </c>
      <c r="N563" s="7">
        <v>401</v>
      </c>
      <c r="O563" s="8"/>
      <c r="P563" s="8"/>
      <c r="Q563" s="4" t="s">
        <v>51</v>
      </c>
      <c r="R563" s="5" t="s">
        <v>65</v>
      </c>
      <c r="S563" s="23" t="s">
        <v>80</v>
      </c>
      <c r="T563" s="11" t="s">
        <v>90</v>
      </c>
      <c r="U563" s="7" t="s">
        <v>75</v>
      </c>
      <c r="V563" s="8"/>
      <c r="W563" s="8">
        <v>6</v>
      </c>
      <c r="X563" s="8">
        <v>12</v>
      </c>
      <c r="Y563" s="4">
        <f t="shared" si="44"/>
        <v>384</v>
      </c>
      <c r="Z563" s="4">
        <v>1</v>
      </c>
      <c r="AA563" s="11">
        <f>M563</f>
        <v>114</v>
      </c>
      <c r="AB563" s="11">
        <v>1</v>
      </c>
      <c r="AC563" s="8"/>
      <c r="AD563" s="8"/>
      <c r="AE563" s="5">
        <f>K563</f>
        <v>410</v>
      </c>
      <c r="AF563" s="5">
        <v>1</v>
      </c>
      <c r="AG563" s="23">
        <f>L563</f>
        <v>167</v>
      </c>
      <c r="AH563" s="23">
        <v>1</v>
      </c>
      <c r="AI563" s="7">
        <f>N563</f>
        <v>401</v>
      </c>
      <c r="AJ563" s="7">
        <v>1</v>
      </c>
      <c r="AK563" s="8"/>
      <c r="AL563" s="8"/>
      <c r="AM563" s="8">
        <v>54</v>
      </c>
      <c r="AN563" s="8" t="s">
        <v>52</v>
      </c>
      <c r="AO563" s="8" t="s">
        <v>53</v>
      </c>
      <c r="AP563" s="8">
        <v>-19797</v>
      </c>
      <c r="AQ563" s="8">
        <v>0</v>
      </c>
      <c r="AR563" s="8" t="s">
        <v>54</v>
      </c>
      <c r="AS563" s="8" t="s">
        <v>55</v>
      </c>
      <c r="AT563" s="8" t="s">
        <v>53</v>
      </c>
      <c r="AU563" s="8" t="s">
        <v>56</v>
      </c>
      <c r="AV563" s="8">
        <v>2095</v>
      </c>
      <c r="AW563" s="8" t="s">
        <v>57</v>
      </c>
      <c r="AX563" s="8" t="s">
        <v>55</v>
      </c>
      <c r="AY563" s="8" t="s">
        <v>58</v>
      </c>
      <c r="AZ563" s="8" t="s">
        <v>59</v>
      </c>
      <c r="BA563" s="8" t="s">
        <v>55</v>
      </c>
      <c r="BB563" s="8" t="s">
        <v>49</v>
      </c>
      <c r="BC563" s="8" t="s">
        <v>49</v>
      </c>
      <c r="BD563" s="8" t="s">
        <v>66</v>
      </c>
      <c r="BE563" s="8" t="s">
        <v>55</v>
      </c>
      <c r="BF563" s="8">
        <v>61</v>
      </c>
      <c r="BG563" s="8" t="s">
        <v>511</v>
      </c>
      <c r="BH563" s="8" t="s">
        <v>71</v>
      </c>
      <c r="BI563" s="8" t="s">
        <v>62</v>
      </c>
      <c r="BJ563" s="8" t="s">
        <v>63</v>
      </c>
      <c r="BK563" s="8">
        <v>2003</v>
      </c>
      <c r="BL563">
        <v>1</v>
      </c>
      <c r="BM563">
        <v>1</v>
      </c>
      <c r="BN563">
        <v>1</v>
      </c>
      <c r="BO563">
        <v>1</v>
      </c>
      <c r="BP563">
        <v>1</v>
      </c>
      <c r="BR563">
        <f>I563-BS563</f>
        <v>258</v>
      </c>
      <c r="BS563">
        <v>187</v>
      </c>
      <c r="BT563">
        <f t="shared" si="42"/>
        <v>5</v>
      </c>
    </row>
    <row r="564" spans="1:72" x14ac:dyDescent="0.2">
      <c r="A564" s="19" t="s">
        <v>721</v>
      </c>
      <c r="B564" s="1">
        <v>2010</v>
      </c>
      <c r="C564">
        <v>0</v>
      </c>
      <c r="D564" s="8" t="s">
        <v>68</v>
      </c>
      <c r="E564" s="12" t="s">
        <v>49</v>
      </c>
      <c r="F564" s="8" t="s">
        <v>49</v>
      </c>
      <c r="G564" s="8">
        <v>1776</v>
      </c>
      <c r="H564" s="12">
        <v>421</v>
      </c>
      <c r="I564" s="3">
        <v>421</v>
      </c>
      <c r="J564" s="4">
        <f>421-29</f>
        <v>392</v>
      </c>
      <c r="K564" s="4">
        <v>442</v>
      </c>
      <c r="L564" s="11">
        <v>150</v>
      </c>
      <c r="M564" s="6">
        <v>125</v>
      </c>
      <c r="N564" s="21">
        <v>532</v>
      </c>
      <c r="O564" s="23">
        <v>287</v>
      </c>
      <c r="P564" s="8"/>
      <c r="Q564" s="4" t="s">
        <v>51</v>
      </c>
      <c r="R564" s="4" t="s">
        <v>51</v>
      </c>
      <c r="S564" s="11" t="s">
        <v>90</v>
      </c>
      <c r="T564" s="6" t="s">
        <v>74</v>
      </c>
      <c r="U564" s="21" t="s">
        <v>87</v>
      </c>
      <c r="V564" s="23" t="s">
        <v>80</v>
      </c>
      <c r="W564" s="8">
        <v>3</v>
      </c>
      <c r="X564" s="8">
        <v>6</v>
      </c>
      <c r="Y564" s="4">
        <f>J564+K564</f>
        <v>834</v>
      </c>
      <c r="Z564" s="4">
        <v>1</v>
      </c>
      <c r="AA564" s="11">
        <f>L564</f>
        <v>150</v>
      </c>
      <c r="AB564" s="11">
        <v>1</v>
      </c>
      <c r="AC564" s="6">
        <f>M564</f>
        <v>125</v>
      </c>
      <c r="AD564" s="6">
        <v>1</v>
      </c>
      <c r="AE564" s="8"/>
      <c r="AF564" s="8"/>
      <c r="AG564" s="23">
        <f>O564</f>
        <v>287</v>
      </c>
      <c r="AH564" s="23">
        <v>0</v>
      </c>
      <c r="AI564" s="8"/>
      <c r="AJ564" s="8"/>
      <c r="AK564" s="21">
        <f>N564</f>
        <v>532</v>
      </c>
      <c r="AL564" s="21">
        <v>1</v>
      </c>
      <c r="AM564" s="8">
        <v>56</v>
      </c>
      <c r="AN564" s="8" t="s">
        <v>126</v>
      </c>
      <c r="AO564" s="8" t="s">
        <v>53</v>
      </c>
      <c r="AP564" s="8">
        <v>-20662</v>
      </c>
      <c r="AQ564" s="8">
        <v>0</v>
      </c>
      <c r="AR564" s="8" t="s">
        <v>54</v>
      </c>
      <c r="AS564" s="8" t="s">
        <v>55</v>
      </c>
      <c r="AT564" s="8" t="s">
        <v>55</v>
      </c>
      <c r="AU564" s="8" t="s">
        <v>56</v>
      </c>
      <c r="AV564" s="8">
        <v>2096</v>
      </c>
      <c r="AW564" s="8" t="s">
        <v>70</v>
      </c>
      <c r="AX564" s="8" t="s">
        <v>55</v>
      </c>
      <c r="AY564" s="8" t="s">
        <v>81</v>
      </c>
      <c r="AZ564" s="8" t="s">
        <v>59</v>
      </c>
      <c r="BA564" s="8" t="s">
        <v>55</v>
      </c>
      <c r="BB564" s="8" t="s">
        <v>49</v>
      </c>
      <c r="BC564" s="8" t="s">
        <v>49</v>
      </c>
      <c r="BD564" s="8" t="s">
        <v>66</v>
      </c>
      <c r="BE564" s="8" t="s">
        <v>55</v>
      </c>
      <c r="BF564" s="8">
        <v>61</v>
      </c>
      <c r="BG564" s="8" t="s">
        <v>511</v>
      </c>
      <c r="BH564" s="8" t="s">
        <v>71</v>
      </c>
      <c r="BI564" s="8" t="s">
        <v>556</v>
      </c>
      <c r="BJ564" s="8" t="s">
        <v>63</v>
      </c>
      <c r="BK564" s="8">
        <v>2003</v>
      </c>
      <c r="BL564">
        <v>1</v>
      </c>
      <c r="BM564">
        <v>1</v>
      </c>
      <c r="BN564">
        <v>1</v>
      </c>
      <c r="BO564">
        <v>1</v>
      </c>
      <c r="BP564">
        <v>1</v>
      </c>
      <c r="BQ564">
        <v>0</v>
      </c>
      <c r="BR564">
        <f>I564-BS564</f>
        <v>342</v>
      </c>
      <c r="BS564">
        <v>79</v>
      </c>
      <c r="BT564">
        <f t="shared" si="42"/>
        <v>6</v>
      </c>
    </row>
    <row r="565" spans="1:72" x14ac:dyDescent="0.2">
      <c r="A565" s="19" t="s">
        <v>722</v>
      </c>
      <c r="B565" s="1">
        <v>1844</v>
      </c>
      <c r="C565">
        <v>0</v>
      </c>
      <c r="D565" s="8" t="s">
        <v>68</v>
      </c>
      <c r="E565" s="12" t="s">
        <v>49</v>
      </c>
      <c r="F565" s="8" t="s">
        <v>49</v>
      </c>
      <c r="G565" s="8">
        <v>1844</v>
      </c>
      <c r="H565" s="12" t="s">
        <v>49</v>
      </c>
      <c r="I565" s="3" t="s">
        <v>69</v>
      </c>
      <c r="J565" s="4">
        <f>1844-48</f>
        <v>1796</v>
      </c>
      <c r="K565" s="8"/>
      <c r="L565" s="8"/>
      <c r="M565" s="8"/>
      <c r="N565" s="8"/>
      <c r="O565" s="8"/>
      <c r="P565" s="8"/>
      <c r="Q565" s="4" t="s">
        <v>51</v>
      </c>
      <c r="R565" s="8"/>
      <c r="S565" s="8"/>
      <c r="T565" s="8"/>
      <c r="U565" s="8"/>
      <c r="V565" s="8"/>
      <c r="W565" s="8">
        <v>6</v>
      </c>
      <c r="X565" s="8">
        <v>12</v>
      </c>
      <c r="Y565" s="4">
        <f>J565</f>
        <v>1796</v>
      </c>
      <c r="Z565" s="4">
        <v>0</v>
      </c>
      <c r="AA565" s="8"/>
      <c r="AB565" s="8"/>
      <c r="AC565" s="8"/>
      <c r="AD565" s="8"/>
      <c r="AE565" s="8"/>
      <c r="AF565" s="8"/>
      <c r="AG565" s="8"/>
      <c r="AH565" s="8"/>
      <c r="AI565" s="8"/>
      <c r="AJ565" s="8"/>
      <c r="AK565" s="8"/>
      <c r="AL565" s="8"/>
      <c r="AM565" s="8">
        <v>71</v>
      </c>
      <c r="AN565" s="8" t="s">
        <v>52</v>
      </c>
      <c r="AO565" s="8" t="s">
        <v>53</v>
      </c>
      <c r="AP565" s="8">
        <v>-25961</v>
      </c>
      <c r="AQ565" s="8">
        <v>0</v>
      </c>
      <c r="AR565" s="8" t="s">
        <v>54</v>
      </c>
      <c r="AS565" s="8" t="s">
        <v>55</v>
      </c>
      <c r="AT565" s="8" t="s">
        <v>53</v>
      </c>
      <c r="AU565" s="8" t="s">
        <v>56</v>
      </c>
      <c r="AV565" s="8">
        <v>2097</v>
      </c>
      <c r="AW565" s="8" t="s">
        <v>70</v>
      </c>
      <c r="AX565" s="8" t="s">
        <v>55</v>
      </c>
      <c r="AY565" s="8" t="s">
        <v>58</v>
      </c>
      <c r="AZ565" s="8" t="s">
        <v>59</v>
      </c>
      <c r="BA565" s="8" t="s">
        <v>55</v>
      </c>
      <c r="BB565" s="8" t="s">
        <v>49</v>
      </c>
      <c r="BC565" s="8" t="s">
        <v>49</v>
      </c>
      <c r="BD565" s="8" t="s">
        <v>49</v>
      </c>
      <c r="BE565" s="8" t="s">
        <v>55</v>
      </c>
      <c r="BF565" s="8">
        <v>61</v>
      </c>
      <c r="BG565" s="8" t="s">
        <v>511</v>
      </c>
      <c r="BH565" s="8" t="s">
        <v>61</v>
      </c>
      <c r="BI565" s="8" t="s">
        <v>521</v>
      </c>
      <c r="BJ565" s="8" t="s">
        <v>63</v>
      </c>
      <c r="BK565" s="8">
        <v>2003</v>
      </c>
      <c r="BL565">
        <v>0</v>
      </c>
      <c r="BR565">
        <f>B565-BS565</f>
        <v>1678</v>
      </c>
      <c r="BS565">
        <v>166</v>
      </c>
      <c r="BT565">
        <f t="shared" si="42"/>
        <v>1</v>
      </c>
    </row>
    <row r="566" spans="1:72" x14ac:dyDescent="0.2">
      <c r="A566" s="19" t="s">
        <v>723</v>
      </c>
      <c r="B566" s="1">
        <v>1992</v>
      </c>
      <c r="C566">
        <v>0</v>
      </c>
      <c r="D566" s="8" t="s">
        <v>68</v>
      </c>
      <c r="E566" s="12" t="s">
        <v>49</v>
      </c>
      <c r="F566" s="8" t="s">
        <v>49</v>
      </c>
      <c r="G566" s="8">
        <v>1992</v>
      </c>
      <c r="H566" s="12" t="s">
        <v>49</v>
      </c>
      <c r="I566" s="3" t="s">
        <v>69</v>
      </c>
      <c r="J566" s="4">
        <f>1992-14</f>
        <v>1978</v>
      </c>
      <c r="K566" s="8"/>
      <c r="L566" s="8"/>
      <c r="M566" s="8"/>
      <c r="N566" s="8"/>
      <c r="O566" s="8"/>
      <c r="P566" s="8"/>
      <c r="Q566" s="4" t="s">
        <v>51</v>
      </c>
      <c r="R566" s="8"/>
      <c r="S566" s="8"/>
      <c r="T566" s="8"/>
      <c r="U566" s="8"/>
      <c r="V566" s="8"/>
      <c r="W566" s="8">
        <v>6</v>
      </c>
      <c r="X566" s="8">
        <v>11</v>
      </c>
      <c r="Y566" s="4">
        <f>J566</f>
        <v>1978</v>
      </c>
      <c r="Z566" s="4">
        <v>0</v>
      </c>
      <c r="AA566" s="8"/>
      <c r="AB566" s="8"/>
      <c r="AC566" s="8"/>
      <c r="AD566" s="8"/>
      <c r="AE566" s="8"/>
      <c r="AF566" s="8"/>
      <c r="AG566" s="8"/>
      <c r="AH566" s="8"/>
      <c r="AI566" s="8"/>
      <c r="AJ566" s="8"/>
      <c r="AK566" s="8"/>
      <c r="AL566" s="8"/>
      <c r="AM566" s="8">
        <v>62</v>
      </c>
      <c r="AN566" s="8" t="s">
        <v>52</v>
      </c>
      <c r="AO566" s="8" t="s">
        <v>53</v>
      </c>
      <c r="AP566" s="8">
        <v>-22876</v>
      </c>
      <c r="AQ566" s="8">
        <v>0</v>
      </c>
      <c r="AR566" s="8" t="s">
        <v>54</v>
      </c>
      <c r="AS566" s="8" t="s">
        <v>55</v>
      </c>
      <c r="AT566" s="8" t="s">
        <v>55</v>
      </c>
      <c r="AU566" s="8" t="s">
        <v>56</v>
      </c>
      <c r="AV566" s="8">
        <v>2098</v>
      </c>
      <c r="AW566" s="8" t="s">
        <v>70</v>
      </c>
      <c r="AX566" s="8" t="s">
        <v>55</v>
      </c>
      <c r="AY566" s="8" t="s">
        <v>58</v>
      </c>
      <c r="AZ566" s="8" t="s">
        <v>59</v>
      </c>
      <c r="BA566" s="8" t="s">
        <v>55</v>
      </c>
      <c r="BB566" s="8" t="s">
        <v>49</v>
      </c>
      <c r="BC566" s="8" t="s">
        <v>49</v>
      </c>
      <c r="BD566" s="8" t="s">
        <v>49</v>
      </c>
      <c r="BE566" s="8" t="s">
        <v>55</v>
      </c>
      <c r="BF566" s="8">
        <v>61</v>
      </c>
      <c r="BG566" s="8" t="s">
        <v>511</v>
      </c>
      <c r="BH566" s="8" t="s">
        <v>142</v>
      </c>
      <c r="BI566" s="8" t="s">
        <v>62</v>
      </c>
      <c r="BJ566" s="8" t="s">
        <v>63</v>
      </c>
      <c r="BK566" s="8">
        <v>2003</v>
      </c>
      <c r="BL566">
        <v>0</v>
      </c>
      <c r="BR566">
        <f>B566-BS566</f>
        <v>1847</v>
      </c>
      <c r="BS566">
        <v>145</v>
      </c>
      <c r="BT566">
        <f t="shared" si="42"/>
        <v>1</v>
      </c>
    </row>
    <row r="567" spans="1:72" x14ac:dyDescent="0.2">
      <c r="A567" s="19" t="s">
        <v>724</v>
      </c>
      <c r="B567" s="1">
        <v>1688</v>
      </c>
      <c r="C567">
        <v>1</v>
      </c>
      <c r="D567" s="8" t="s">
        <v>48</v>
      </c>
      <c r="E567" s="12" t="s">
        <v>49</v>
      </c>
      <c r="F567" s="8">
        <v>1688</v>
      </c>
      <c r="G567" s="8">
        <v>1688</v>
      </c>
      <c r="H567" s="12" t="s">
        <v>49</v>
      </c>
      <c r="I567" s="3">
        <v>731</v>
      </c>
      <c r="J567" s="4">
        <f>731-2</f>
        <v>729</v>
      </c>
      <c r="K567" s="8">
        <v>370</v>
      </c>
      <c r="L567" s="5">
        <v>54</v>
      </c>
      <c r="M567" s="8">
        <v>31</v>
      </c>
      <c r="N567" s="7">
        <v>30</v>
      </c>
      <c r="O567" s="5">
        <v>31</v>
      </c>
      <c r="P567" s="8" t="s">
        <v>798</v>
      </c>
      <c r="Q567" s="4" t="s">
        <v>51</v>
      </c>
      <c r="R567" s="8" t="s">
        <v>725</v>
      </c>
      <c r="S567" s="5" t="s">
        <v>65</v>
      </c>
      <c r="T567" s="8" t="s">
        <v>97</v>
      </c>
      <c r="U567" s="7" t="s">
        <v>75</v>
      </c>
      <c r="V567" s="5" t="s">
        <v>65</v>
      </c>
      <c r="W567" s="8">
        <v>10</v>
      </c>
      <c r="X567" s="8">
        <v>20</v>
      </c>
      <c r="Y567" s="4">
        <f>J567</f>
        <v>729</v>
      </c>
      <c r="Z567" s="4">
        <v>1</v>
      </c>
      <c r="AA567" s="8"/>
      <c r="AB567" s="8"/>
      <c r="AC567" s="8"/>
      <c r="AD567" s="8"/>
      <c r="AE567" s="5">
        <f>L567+O567</f>
        <v>85</v>
      </c>
      <c r="AF567" s="5">
        <v>1</v>
      </c>
      <c r="AG567" s="8"/>
      <c r="AH567" s="8"/>
      <c r="AI567" s="7">
        <f>N567</f>
        <v>30</v>
      </c>
      <c r="AJ567" s="7">
        <v>1</v>
      </c>
      <c r="AK567" s="8"/>
      <c r="AL567" s="8"/>
      <c r="AM567" s="8">
        <v>55</v>
      </c>
      <c r="AN567" s="8" t="s">
        <v>52</v>
      </c>
      <c r="AO567" s="8" t="s">
        <v>53</v>
      </c>
      <c r="AP567" s="8">
        <v>-20287</v>
      </c>
      <c r="AQ567" s="8">
        <v>0</v>
      </c>
      <c r="AR567" s="8" t="s">
        <v>54</v>
      </c>
      <c r="AS567" s="8" t="s">
        <v>55</v>
      </c>
      <c r="AT567" s="8" t="s">
        <v>55</v>
      </c>
      <c r="AU567" s="8" t="s">
        <v>56</v>
      </c>
      <c r="AV567" s="8">
        <v>2101</v>
      </c>
      <c r="AW567" s="8" t="s">
        <v>57</v>
      </c>
      <c r="AX567" s="8" t="s">
        <v>55</v>
      </c>
      <c r="AY567" s="8" t="s">
        <v>114</v>
      </c>
      <c r="AZ567" s="8" t="s">
        <v>59</v>
      </c>
      <c r="BA567" s="8" t="s">
        <v>55</v>
      </c>
      <c r="BB567" s="8" t="s">
        <v>49</v>
      </c>
      <c r="BC567" s="8" t="s">
        <v>49</v>
      </c>
      <c r="BD567" s="8" t="s">
        <v>49</v>
      </c>
      <c r="BE567" s="8" t="s">
        <v>55</v>
      </c>
      <c r="BF567" s="8">
        <v>61</v>
      </c>
      <c r="BG567" s="8" t="s">
        <v>511</v>
      </c>
      <c r="BH567" s="8" t="s">
        <v>142</v>
      </c>
      <c r="BI567" s="8" t="s">
        <v>62</v>
      </c>
      <c r="BJ567" s="8" t="s">
        <v>63</v>
      </c>
      <c r="BK567" s="8">
        <v>1999</v>
      </c>
      <c r="BL567">
        <v>1</v>
      </c>
      <c r="BM567">
        <v>1</v>
      </c>
      <c r="BN567">
        <v>1</v>
      </c>
      <c r="BO567">
        <v>1</v>
      </c>
      <c r="BP567">
        <v>1</v>
      </c>
      <c r="BQ567">
        <v>1</v>
      </c>
      <c r="BR567">
        <f t="shared" ref="BR567:BR577" si="45">I567-BS567</f>
        <v>510</v>
      </c>
      <c r="BS567">
        <v>221</v>
      </c>
      <c r="BT567">
        <f t="shared" si="42"/>
        <v>6</v>
      </c>
    </row>
    <row r="568" spans="1:72" x14ac:dyDescent="0.2">
      <c r="A568" s="19" t="s">
        <v>693</v>
      </c>
      <c r="B568" s="1">
        <v>197</v>
      </c>
      <c r="C568">
        <v>1</v>
      </c>
      <c r="D568" t="s">
        <v>48</v>
      </c>
      <c r="E568" s="2" t="s">
        <v>49</v>
      </c>
      <c r="F568">
        <v>197</v>
      </c>
      <c r="G568">
        <v>197</v>
      </c>
      <c r="H568" s="2" t="s">
        <v>49</v>
      </c>
      <c r="I568" s="3">
        <v>197</v>
      </c>
      <c r="J568" s="4">
        <f>197-14</f>
        <v>183</v>
      </c>
      <c r="Q568" s="4" t="s">
        <v>51</v>
      </c>
      <c r="Y568" s="4">
        <f>J568</f>
        <v>183</v>
      </c>
      <c r="Z568" s="4">
        <v>1</v>
      </c>
      <c r="AM568">
        <v>74</v>
      </c>
      <c r="AN568" t="s">
        <v>126</v>
      </c>
      <c r="AO568" t="s">
        <v>53</v>
      </c>
      <c r="AP568">
        <v>-27255</v>
      </c>
      <c r="AQ568">
        <v>0</v>
      </c>
      <c r="AR568" t="s">
        <v>54</v>
      </c>
      <c r="AS568" t="s">
        <v>55</v>
      </c>
      <c r="AT568" t="s">
        <v>55</v>
      </c>
      <c r="AU568" t="s">
        <v>56</v>
      </c>
      <c r="AV568">
        <v>2102</v>
      </c>
      <c r="AW568" t="s">
        <v>57</v>
      </c>
      <c r="AX568" t="s">
        <v>55</v>
      </c>
      <c r="AY568" t="s">
        <v>49</v>
      </c>
      <c r="AZ568" t="s">
        <v>59</v>
      </c>
      <c r="BA568" t="s">
        <v>55</v>
      </c>
      <c r="BB568" t="s">
        <v>49</v>
      </c>
      <c r="BC568" t="s">
        <v>49</v>
      </c>
      <c r="BD568" t="s">
        <v>49</v>
      </c>
      <c r="BE568" t="s">
        <v>55</v>
      </c>
      <c r="BF568">
        <v>61</v>
      </c>
      <c r="BG568" t="s">
        <v>60</v>
      </c>
      <c r="BH568" t="s">
        <v>49</v>
      </c>
      <c r="BI568" t="s">
        <v>62</v>
      </c>
      <c r="BJ568" t="s">
        <v>63</v>
      </c>
      <c r="BK568">
        <v>1999</v>
      </c>
      <c r="BL568">
        <v>1</v>
      </c>
      <c r="BR568">
        <f t="shared" si="45"/>
        <v>57</v>
      </c>
      <c r="BS568">
        <v>140</v>
      </c>
      <c r="BT568">
        <f t="shared" si="42"/>
        <v>1</v>
      </c>
    </row>
    <row r="569" spans="1:72" x14ac:dyDescent="0.2">
      <c r="A569" s="19" t="s">
        <v>726</v>
      </c>
      <c r="B569" s="1">
        <v>2337</v>
      </c>
      <c r="C569">
        <v>0</v>
      </c>
      <c r="D569" s="8" t="s">
        <v>68</v>
      </c>
      <c r="E569" s="12" t="s">
        <v>49</v>
      </c>
      <c r="F569" s="8" t="s">
        <v>49</v>
      </c>
      <c r="G569" s="8">
        <v>2337</v>
      </c>
      <c r="H569" s="12">
        <v>1680</v>
      </c>
      <c r="I569" s="3">
        <v>1196</v>
      </c>
      <c r="J569" s="4">
        <v>1191</v>
      </c>
      <c r="K569" s="4">
        <v>484</v>
      </c>
      <c r="L569" s="11">
        <v>146</v>
      </c>
      <c r="M569" s="6">
        <v>511</v>
      </c>
      <c r="N569" s="8"/>
      <c r="O569" s="8"/>
      <c r="P569" s="8" t="s">
        <v>832</v>
      </c>
      <c r="Q569" s="4" t="s">
        <v>51</v>
      </c>
      <c r="R569" s="4" t="s">
        <v>51</v>
      </c>
      <c r="S569" s="11" t="s">
        <v>90</v>
      </c>
      <c r="T569" s="6" t="s">
        <v>74</v>
      </c>
      <c r="U569" s="8"/>
      <c r="V569" s="8"/>
      <c r="W569" s="8">
        <v>6</v>
      </c>
      <c r="X569" s="8">
        <v>12</v>
      </c>
      <c r="Y569" s="4">
        <f>K569+J569</f>
        <v>1675</v>
      </c>
      <c r="Z569" s="4">
        <v>1</v>
      </c>
      <c r="AA569" s="11">
        <f>L569</f>
        <v>146</v>
      </c>
      <c r="AB569" s="11">
        <v>1</v>
      </c>
      <c r="AC569" s="6">
        <f>M569</f>
        <v>511</v>
      </c>
      <c r="AD569" s="6">
        <v>0</v>
      </c>
      <c r="AE569" s="8"/>
      <c r="AF569" s="8"/>
      <c r="AG569" s="8"/>
      <c r="AH569" s="8"/>
      <c r="AI569" s="8"/>
      <c r="AJ569" s="8"/>
      <c r="AK569" s="8"/>
      <c r="AL569" s="8"/>
      <c r="AM569" s="8">
        <v>53</v>
      </c>
      <c r="AN569" s="8" t="s">
        <v>52</v>
      </c>
      <c r="AO569" s="8" t="s">
        <v>53</v>
      </c>
      <c r="AP569" s="8">
        <v>-19432</v>
      </c>
      <c r="AQ569" s="8">
        <v>0</v>
      </c>
      <c r="AR569" s="8" t="s">
        <v>54</v>
      </c>
      <c r="AS569" s="8" t="s">
        <v>55</v>
      </c>
      <c r="AT569" s="8" t="s">
        <v>55</v>
      </c>
      <c r="AU569" s="8" t="s">
        <v>56</v>
      </c>
      <c r="AV569" s="8">
        <v>2104</v>
      </c>
      <c r="AW569" s="8" t="s">
        <v>49</v>
      </c>
      <c r="AX569" s="8" t="s">
        <v>55</v>
      </c>
      <c r="AY569" s="8" t="s">
        <v>58</v>
      </c>
      <c r="AZ569" s="8" t="s">
        <v>59</v>
      </c>
      <c r="BA569" s="8" t="s">
        <v>55</v>
      </c>
      <c r="BB569" s="8" t="s">
        <v>49</v>
      </c>
      <c r="BC569" s="8" t="s">
        <v>49</v>
      </c>
      <c r="BD569" s="8" t="s">
        <v>66</v>
      </c>
      <c r="BE569" s="8" t="s">
        <v>55</v>
      </c>
      <c r="BF569" s="8">
        <v>61</v>
      </c>
      <c r="BG569" s="8" t="s">
        <v>511</v>
      </c>
      <c r="BH569" s="8" t="s">
        <v>71</v>
      </c>
      <c r="BI569" s="8" t="s">
        <v>521</v>
      </c>
      <c r="BJ569" s="8" t="s">
        <v>63</v>
      </c>
      <c r="BK569" s="8">
        <v>2003</v>
      </c>
      <c r="BL569">
        <v>1</v>
      </c>
      <c r="BM569">
        <v>1</v>
      </c>
      <c r="BN569">
        <v>1</v>
      </c>
      <c r="BO569">
        <v>0</v>
      </c>
      <c r="BR569">
        <f t="shared" si="45"/>
        <v>1065</v>
      </c>
      <c r="BS569">
        <v>131</v>
      </c>
      <c r="BT569">
        <f t="shared" si="42"/>
        <v>4</v>
      </c>
    </row>
    <row r="570" spans="1:72" x14ac:dyDescent="0.2">
      <c r="A570" s="19" t="s">
        <v>694</v>
      </c>
      <c r="B570" s="1">
        <v>629</v>
      </c>
      <c r="C570">
        <v>1</v>
      </c>
      <c r="D570" t="s">
        <v>48</v>
      </c>
      <c r="E570" s="2" t="s">
        <v>49</v>
      </c>
      <c r="F570">
        <v>629</v>
      </c>
      <c r="G570">
        <v>629</v>
      </c>
      <c r="H570" s="2">
        <v>465</v>
      </c>
      <c r="I570" s="3">
        <v>465</v>
      </c>
      <c r="J570" s="4">
        <f>465-14</f>
        <v>451</v>
      </c>
      <c r="K570" s="10">
        <v>143</v>
      </c>
      <c r="Q570" s="4" t="s">
        <v>51</v>
      </c>
      <c r="R570" s="10" t="s">
        <v>87</v>
      </c>
      <c r="W570" s="8">
        <v>10</v>
      </c>
      <c r="X570" s="8">
        <v>20</v>
      </c>
      <c r="Y570" s="4">
        <f>J570</f>
        <v>451</v>
      </c>
      <c r="Z570" s="4">
        <v>1</v>
      </c>
      <c r="AI570" s="8"/>
      <c r="AK570" s="10">
        <f>K570</f>
        <v>143</v>
      </c>
      <c r="AL570" s="10">
        <v>1</v>
      </c>
      <c r="AM570">
        <v>40</v>
      </c>
      <c r="AN570" t="s">
        <v>52</v>
      </c>
      <c r="AO570" t="s">
        <v>53</v>
      </c>
      <c r="AP570">
        <v>-14899</v>
      </c>
      <c r="AQ570">
        <v>0</v>
      </c>
      <c r="AR570" t="s">
        <v>54</v>
      </c>
      <c r="AS570" t="s">
        <v>55</v>
      </c>
      <c r="AT570" t="s">
        <v>55</v>
      </c>
      <c r="AU570" t="s">
        <v>85</v>
      </c>
      <c r="AV570">
        <v>2109</v>
      </c>
      <c r="AW570" t="s">
        <v>57</v>
      </c>
      <c r="AX570" t="s">
        <v>55</v>
      </c>
      <c r="AY570" t="s">
        <v>49</v>
      </c>
      <c r="AZ570" t="s">
        <v>59</v>
      </c>
      <c r="BA570" t="s">
        <v>55</v>
      </c>
      <c r="BB570" t="s">
        <v>49</v>
      </c>
      <c r="BC570" t="s">
        <v>49</v>
      </c>
      <c r="BD570" t="s">
        <v>66</v>
      </c>
      <c r="BE570" t="s">
        <v>55</v>
      </c>
      <c r="BF570">
        <v>61</v>
      </c>
      <c r="BG570" t="s">
        <v>60</v>
      </c>
      <c r="BH570" t="s">
        <v>82</v>
      </c>
      <c r="BI570" t="s">
        <v>62</v>
      </c>
      <c r="BJ570" t="s">
        <v>63</v>
      </c>
      <c r="BK570">
        <v>1999</v>
      </c>
      <c r="BL570">
        <v>1</v>
      </c>
      <c r="BM570">
        <v>1</v>
      </c>
      <c r="BR570">
        <f t="shared" si="45"/>
        <v>212</v>
      </c>
      <c r="BS570">
        <v>253</v>
      </c>
      <c r="BT570">
        <f t="shared" si="42"/>
        <v>2</v>
      </c>
    </row>
    <row r="571" spans="1:72" x14ac:dyDescent="0.2">
      <c r="A571" s="19" t="s">
        <v>727</v>
      </c>
      <c r="B571" s="1">
        <v>1354</v>
      </c>
      <c r="C571">
        <v>1</v>
      </c>
      <c r="D571" s="8" t="s">
        <v>48</v>
      </c>
      <c r="E571" s="12" t="s">
        <v>49</v>
      </c>
      <c r="F571" s="8">
        <v>1354</v>
      </c>
      <c r="G571" s="8">
        <v>1354</v>
      </c>
      <c r="H571" s="12">
        <v>213</v>
      </c>
      <c r="I571" s="3">
        <v>213</v>
      </c>
      <c r="J571" s="4">
        <f>213-20</f>
        <v>193</v>
      </c>
      <c r="K571" s="8">
        <v>215</v>
      </c>
      <c r="L571" s="23">
        <v>202</v>
      </c>
      <c r="M571" s="11">
        <v>113</v>
      </c>
      <c r="N571" s="5">
        <v>205</v>
      </c>
      <c r="O571" s="7">
        <v>110</v>
      </c>
      <c r="P571" s="8"/>
      <c r="Q571" s="4" t="s">
        <v>51</v>
      </c>
      <c r="R571" s="8" t="s">
        <v>728</v>
      </c>
      <c r="S571" s="23" t="s">
        <v>80</v>
      </c>
      <c r="T571" s="11" t="s">
        <v>90</v>
      </c>
      <c r="U571" s="5" t="s">
        <v>65</v>
      </c>
      <c r="V571" s="7" t="s">
        <v>75</v>
      </c>
      <c r="W571" s="8">
        <v>6</v>
      </c>
      <c r="X571" s="8">
        <v>12</v>
      </c>
      <c r="Y571" s="4">
        <f>J571</f>
        <v>193</v>
      </c>
      <c r="Z571" s="4">
        <v>1</v>
      </c>
      <c r="AA571" s="11">
        <f>M571</f>
        <v>113</v>
      </c>
      <c r="AB571" s="11">
        <v>1</v>
      </c>
      <c r="AC571" s="8"/>
      <c r="AD571" s="8"/>
      <c r="AE571" s="5">
        <f>N571</f>
        <v>205</v>
      </c>
      <c r="AF571" s="5">
        <v>1</v>
      </c>
      <c r="AG571" s="23">
        <f>L571</f>
        <v>202</v>
      </c>
      <c r="AH571" s="23">
        <v>1</v>
      </c>
      <c r="AI571" s="7">
        <f>O571</f>
        <v>110</v>
      </c>
      <c r="AJ571" s="7">
        <v>1</v>
      </c>
      <c r="AK571" s="8"/>
      <c r="AL571" s="8"/>
      <c r="AM571" s="8">
        <v>56</v>
      </c>
      <c r="AN571" s="8" t="s">
        <v>52</v>
      </c>
      <c r="AO571" s="8" t="s">
        <v>53</v>
      </c>
      <c r="AP571" s="8">
        <v>-20718</v>
      </c>
      <c r="AQ571" s="8">
        <v>0</v>
      </c>
      <c r="AR571" s="8" t="s">
        <v>54</v>
      </c>
      <c r="AS571" s="8" t="s">
        <v>55</v>
      </c>
      <c r="AT571" s="8" t="s">
        <v>55</v>
      </c>
      <c r="AU571" s="8" t="s">
        <v>56</v>
      </c>
      <c r="AV571" s="8">
        <v>2110</v>
      </c>
      <c r="AW571" s="8" t="s">
        <v>57</v>
      </c>
      <c r="AX571" s="8" t="s">
        <v>55</v>
      </c>
      <c r="AY571" s="8" t="s">
        <v>81</v>
      </c>
      <c r="AZ571" s="8" t="s">
        <v>59</v>
      </c>
      <c r="BA571" s="8" t="s">
        <v>55</v>
      </c>
      <c r="BB571" s="8" t="s">
        <v>49</v>
      </c>
      <c r="BC571" s="8" t="s">
        <v>49</v>
      </c>
      <c r="BD571" s="8" t="s">
        <v>66</v>
      </c>
      <c r="BE571" s="8" t="s">
        <v>55</v>
      </c>
      <c r="BF571" s="8">
        <v>61</v>
      </c>
      <c r="BG571" s="8" t="s">
        <v>49</v>
      </c>
      <c r="BH571" s="8" t="s">
        <v>71</v>
      </c>
      <c r="BI571" s="8" t="s">
        <v>62</v>
      </c>
      <c r="BJ571" s="8" t="s">
        <v>63</v>
      </c>
      <c r="BK571" s="8">
        <v>1998</v>
      </c>
      <c r="BL571">
        <v>1</v>
      </c>
      <c r="BM571">
        <v>1</v>
      </c>
      <c r="BN571">
        <v>1</v>
      </c>
      <c r="BO571">
        <v>1</v>
      </c>
      <c r="BP571">
        <v>1</v>
      </c>
      <c r="BQ571">
        <v>1</v>
      </c>
      <c r="BR571">
        <f t="shared" si="45"/>
        <v>52</v>
      </c>
      <c r="BS571">
        <v>161</v>
      </c>
      <c r="BT571">
        <f t="shared" si="42"/>
        <v>6</v>
      </c>
    </row>
    <row r="572" spans="1:72" x14ac:dyDescent="0.2">
      <c r="A572" s="19" t="s">
        <v>695</v>
      </c>
      <c r="B572" s="1">
        <v>3824</v>
      </c>
      <c r="C572">
        <v>0</v>
      </c>
      <c r="D572" t="s">
        <v>68</v>
      </c>
      <c r="E572" s="2" t="s">
        <v>49</v>
      </c>
      <c r="F572" t="s">
        <v>49</v>
      </c>
      <c r="G572">
        <v>3824</v>
      </c>
      <c r="H572" s="2">
        <v>2205</v>
      </c>
      <c r="I572" s="3">
        <v>2205</v>
      </c>
      <c r="J572" s="4">
        <f>I572-29</f>
        <v>2176</v>
      </c>
      <c r="K572" s="4">
        <v>810</v>
      </c>
      <c r="L572">
        <v>729</v>
      </c>
      <c r="M572">
        <v>17</v>
      </c>
      <c r="Q572" s="4" t="s">
        <v>51</v>
      </c>
      <c r="R572" s="4" t="s">
        <v>51</v>
      </c>
      <c r="S572" t="s">
        <v>399</v>
      </c>
      <c r="T572" t="s">
        <v>264</v>
      </c>
      <c r="W572" s="8">
        <v>5</v>
      </c>
      <c r="X572" s="8">
        <v>10</v>
      </c>
      <c r="Y572" s="4">
        <f>J572+K572</f>
        <v>2986</v>
      </c>
      <c r="Z572" s="4">
        <v>1</v>
      </c>
      <c r="AB572" s="8"/>
      <c r="AM572">
        <v>61</v>
      </c>
      <c r="AN572" t="s">
        <v>101</v>
      </c>
      <c r="AO572" t="s">
        <v>53</v>
      </c>
      <c r="AP572">
        <v>-22517</v>
      </c>
      <c r="AQ572">
        <v>0</v>
      </c>
      <c r="AR572" t="s">
        <v>54</v>
      </c>
      <c r="AS572" t="s">
        <v>53</v>
      </c>
      <c r="AT572" t="s">
        <v>55</v>
      </c>
      <c r="AU572" t="s">
        <v>56</v>
      </c>
      <c r="AV572">
        <v>2111</v>
      </c>
      <c r="AW572" t="s">
        <v>57</v>
      </c>
      <c r="AX572" t="s">
        <v>55</v>
      </c>
      <c r="AY572" t="s">
        <v>58</v>
      </c>
      <c r="AZ572" t="s">
        <v>59</v>
      </c>
      <c r="BA572" t="s">
        <v>55</v>
      </c>
      <c r="BB572" t="s">
        <v>49</v>
      </c>
      <c r="BC572" t="s">
        <v>49</v>
      </c>
      <c r="BD572" t="s">
        <v>66</v>
      </c>
      <c r="BE572" t="s">
        <v>55</v>
      </c>
      <c r="BF572">
        <v>61</v>
      </c>
      <c r="BG572" t="s">
        <v>60</v>
      </c>
      <c r="BH572" t="s">
        <v>49</v>
      </c>
      <c r="BI572" t="s">
        <v>83</v>
      </c>
      <c r="BJ572" t="s">
        <v>63</v>
      </c>
      <c r="BK572">
        <v>1998</v>
      </c>
      <c r="BL572">
        <v>1</v>
      </c>
      <c r="BM572">
        <v>1</v>
      </c>
      <c r="BN572">
        <v>1</v>
      </c>
      <c r="BO572">
        <v>0</v>
      </c>
      <c r="BR572">
        <f t="shared" si="45"/>
        <v>2072</v>
      </c>
      <c r="BS572">
        <v>133</v>
      </c>
      <c r="BT572">
        <f t="shared" si="42"/>
        <v>4</v>
      </c>
    </row>
    <row r="573" spans="1:72" x14ac:dyDescent="0.2">
      <c r="A573" s="19" t="s">
        <v>729</v>
      </c>
      <c r="B573" s="1">
        <v>676</v>
      </c>
      <c r="C573">
        <v>1</v>
      </c>
      <c r="D573" s="8" t="s">
        <v>48</v>
      </c>
      <c r="E573" s="12" t="s">
        <v>49</v>
      </c>
      <c r="F573" s="8">
        <v>676</v>
      </c>
      <c r="G573" s="8">
        <v>676</v>
      </c>
      <c r="H573" s="12">
        <v>291</v>
      </c>
      <c r="I573" s="3">
        <v>291</v>
      </c>
      <c r="J573" s="4">
        <f>I573-49</f>
        <v>242</v>
      </c>
      <c r="K573" s="5">
        <v>340</v>
      </c>
      <c r="L573" s="8"/>
      <c r="M573" s="8"/>
      <c r="N573" s="8"/>
      <c r="O573" s="8"/>
      <c r="P573" s="8"/>
      <c r="Q573" s="4" t="s">
        <v>51</v>
      </c>
      <c r="R573" s="5" t="s">
        <v>65</v>
      </c>
      <c r="S573" s="8"/>
      <c r="T573" s="8"/>
      <c r="U573" s="8"/>
      <c r="V573" s="8"/>
      <c r="W573" s="8">
        <v>6</v>
      </c>
      <c r="X573" s="8">
        <v>12</v>
      </c>
      <c r="Y573" s="4">
        <f>J573</f>
        <v>242</v>
      </c>
      <c r="Z573" s="4">
        <v>1</v>
      </c>
      <c r="AA573" s="8"/>
      <c r="AB573" s="8"/>
      <c r="AC573" s="8"/>
      <c r="AD573" s="8"/>
      <c r="AE573" s="5">
        <f>K573</f>
        <v>340</v>
      </c>
      <c r="AF573" s="5">
        <v>1</v>
      </c>
      <c r="AG573" s="8"/>
      <c r="AH573" s="8"/>
      <c r="AI573" s="8"/>
      <c r="AJ573" s="8"/>
      <c r="AK573" s="8"/>
      <c r="AL573" s="8"/>
      <c r="AM573" s="8">
        <v>54</v>
      </c>
      <c r="AN573" s="8" t="s">
        <v>126</v>
      </c>
      <c r="AO573" s="8" t="s">
        <v>53</v>
      </c>
      <c r="AP573" s="8">
        <v>-19722</v>
      </c>
      <c r="AQ573" s="8">
        <v>0</v>
      </c>
      <c r="AR573" s="8" t="s">
        <v>54</v>
      </c>
      <c r="AS573" s="8" t="s">
        <v>55</v>
      </c>
      <c r="AT573" s="8" t="s">
        <v>55</v>
      </c>
      <c r="AU573" s="8" t="s">
        <v>56</v>
      </c>
      <c r="AV573" s="8">
        <v>2113</v>
      </c>
      <c r="AW573" s="8" t="s">
        <v>49</v>
      </c>
      <c r="AX573" s="8" t="s">
        <v>55</v>
      </c>
      <c r="AY573" s="8" t="s">
        <v>49</v>
      </c>
      <c r="AZ573" s="8" t="s">
        <v>59</v>
      </c>
      <c r="BA573" s="8" t="s">
        <v>55</v>
      </c>
      <c r="BB573" s="8" t="s">
        <v>49</v>
      </c>
      <c r="BC573" s="8" t="s">
        <v>49</v>
      </c>
      <c r="BD573" s="8" t="s">
        <v>49</v>
      </c>
      <c r="BE573" s="8" t="s">
        <v>55</v>
      </c>
      <c r="BF573" s="8">
        <v>61</v>
      </c>
      <c r="BG573" s="8" t="s">
        <v>60</v>
      </c>
      <c r="BH573" s="8" t="s">
        <v>49</v>
      </c>
      <c r="BI573" s="8" t="s">
        <v>521</v>
      </c>
      <c r="BJ573" s="8" t="s">
        <v>63</v>
      </c>
      <c r="BK573" s="8">
        <v>1999</v>
      </c>
      <c r="BL573">
        <v>1</v>
      </c>
      <c r="BM573">
        <v>1</v>
      </c>
      <c r="BR573">
        <f t="shared" si="45"/>
        <v>148</v>
      </c>
      <c r="BS573">
        <v>143</v>
      </c>
      <c r="BT573">
        <f t="shared" si="42"/>
        <v>2</v>
      </c>
    </row>
    <row r="574" spans="1:72" x14ac:dyDescent="0.2">
      <c r="A574" s="19" t="s">
        <v>703</v>
      </c>
      <c r="B574" s="1">
        <v>1579</v>
      </c>
      <c r="C574">
        <v>1</v>
      </c>
      <c r="D574" t="s">
        <v>48</v>
      </c>
      <c r="E574" s="2" t="s">
        <v>49</v>
      </c>
      <c r="F574">
        <v>1579</v>
      </c>
      <c r="G574">
        <v>1579</v>
      </c>
      <c r="H574" s="2">
        <v>439</v>
      </c>
      <c r="I574" s="3">
        <v>439</v>
      </c>
      <c r="J574" s="4">
        <v>410</v>
      </c>
      <c r="K574" s="9">
        <v>151</v>
      </c>
      <c r="L574" s="5">
        <v>989</v>
      </c>
      <c r="Q574" s="4" t="s">
        <v>51</v>
      </c>
      <c r="R574" s="9" t="s">
        <v>80</v>
      </c>
      <c r="S574" s="5" t="s">
        <v>65</v>
      </c>
      <c r="W574" s="8">
        <v>12</v>
      </c>
      <c r="X574" s="8">
        <v>24</v>
      </c>
      <c r="Y574" s="4">
        <f>J574</f>
        <v>410</v>
      </c>
      <c r="Z574" s="4">
        <v>1</v>
      </c>
      <c r="AB574" s="8"/>
      <c r="AE574" s="5">
        <f>L574</f>
        <v>989</v>
      </c>
      <c r="AF574" s="5">
        <v>1</v>
      </c>
      <c r="AG574" s="9">
        <f>K574</f>
        <v>151</v>
      </c>
      <c r="AH574" s="9">
        <v>1</v>
      </c>
      <c r="AM574">
        <v>61</v>
      </c>
      <c r="AN574" t="s">
        <v>101</v>
      </c>
      <c r="AO574" t="s">
        <v>53</v>
      </c>
      <c r="AP574">
        <v>-22481</v>
      </c>
      <c r="AQ574">
        <v>0</v>
      </c>
      <c r="AR574" t="s">
        <v>54</v>
      </c>
      <c r="AS574" t="s">
        <v>55</v>
      </c>
      <c r="AT574" t="s">
        <v>55</v>
      </c>
      <c r="AU574" t="s">
        <v>56</v>
      </c>
      <c r="AV574">
        <v>2610</v>
      </c>
      <c r="AW574" t="s">
        <v>57</v>
      </c>
      <c r="AX574" t="s">
        <v>55</v>
      </c>
      <c r="AY574" t="s">
        <v>92</v>
      </c>
      <c r="AZ574" t="s">
        <v>59</v>
      </c>
      <c r="BA574" t="s">
        <v>55</v>
      </c>
      <c r="BB574" t="s">
        <v>49</v>
      </c>
      <c r="BC574" t="s">
        <v>115</v>
      </c>
      <c r="BD574" t="s">
        <v>106</v>
      </c>
      <c r="BE574" t="s">
        <v>55</v>
      </c>
      <c r="BF574">
        <v>61</v>
      </c>
      <c r="BG574" t="s">
        <v>60</v>
      </c>
      <c r="BH574" t="s">
        <v>142</v>
      </c>
      <c r="BI574" t="s">
        <v>62</v>
      </c>
      <c r="BJ574" t="s">
        <v>63</v>
      </c>
      <c r="BK574">
        <v>1998</v>
      </c>
      <c r="BL574">
        <v>1</v>
      </c>
      <c r="BM574">
        <v>1</v>
      </c>
      <c r="BN574">
        <v>1</v>
      </c>
      <c r="BR574">
        <f t="shared" si="45"/>
        <v>83</v>
      </c>
      <c r="BS574">
        <v>356</v>
      </c>
      <c r="BT574">
        <f t="shared" si="42"/>
        <v>3</v>
      </c>
    </row>
    <row r="575" spans="1:72" x14ac:dyDescent="0.2">
      <c r="A575" s="19" t="s">
        <v>710</v>
      </c>
      <c r="B575" s="1">
        <v>483</v>
      </c>
      <c r="C575">
        <v>1</v>
      </c>
      <c r="D575" t="s">
        <v>48</v>
      </c>
      <c r="E575" s="2" t="s">
        <v>49</v>
      </c>
      <c r="F575">
        <v>483</v>
      </c>
      <c r="G575">
        <v>483</v>
      </c>
      <c r="H575" s="2">
        <v>383</v>
      </c>
      <c r="I575" s="3">
        <v>383</v>
      </c>
      <c r="J575" s="4">
        <f>383-66</f>
        <v>317</v>
      </c>
      <c r="K575" s="5">
        <v>81</v>
      </c>
      <c r="Q575" s="4" t="s">
        <v>51</v>
      </c>
      <c r="R575" s="5" t="s">
        <v>65</v>
      </c>
      <c r="W575" s="8">
        <v>6</v>
      </c>
      <c r="X575" s="8">
        <v>12</v>
      </c>
      <c r="Y575" s="4">
        <f>J575</f>
        <v>317</v>
      </c>
      <c r="Z575" s="4">
        <v>1</v>
      </c>
      <c r="AB575" s="8"/>
      <c r="AE575" s="5">
        <f>K575</f>
        <v>81</v>
      </c>
      <c r="AF575" s="5">
        <v>1</v>
      </c>
      <c r="AM575">
        <v>40</v>
      </c>
      <c r="AN575" t="s">
        <v>52</v>
      </c>
      <c r="AO575" t="s">
        <v>53</v>
      </c>
      <c r="AP575">
        <v>-14781</v>
      </c>
      <c r="AQ575">
        <v>0</v>
      </c>
      <c r="AR575" t="s">
        <v>54</v>
      </c>
      <c r="AS575" t="s">
        <v>55</v>
      </c>
      <c r="AT575" t="s">
        <v>55</v>
      </c>
      <c r="AU575" t="s">
        <v>85</v>
      </c>
      <c r="AV575">
        <v>2611</v>
      </c>
      <c r="AW575" t="s">
        <v>57</v>
      </c>
      <c r="AX575" t="s">
        <v>55</v>
      </c>
      <c r="AY575" t="s">
        <v>58</v>
      </c>
      <c r="AZ575" t="s">
        <v>59</v>
      </c>
      <c r="BA575" t="s">
        <v>55</v>
      </c>
      <c r="BB575" t="s">
        <v>49</v>
      </c>
      <c r="BC575" t="s">
        <v>115</v>
      </c>
      <c r="BD575" t="s">
        <v>106</v>
      </c>
      <c r="BE575" t="s">
        <v>55</v>
      </c>
      <c r="BF575">
        <v>61</v>
      </c>
      <c r="BG575" t="s">
        <v>60</v>
      </c>
      <c r="BH575" t="s">
        <v>61</v>
      </c>
      <c r="BI575" t="s">
        <v>62</v>
      </c>
      <c r="BJ575" t="s">
        <v>63</v>
      </c>
      <c r="BK575">
        <v>2008</v>
      </c>
      <c r="BL575">
        <v>1</v>
      </c>
      <c r="BM575">
        <v>1</v>
      </c>
      <c r="BR575">
        <f t="shared" si="45"/>
        <v>79</v>
      </c>
      <c r="BS575">
        <v>304</v>
      </c>
      <c r="BT575">
        <f t="shared" si="42"/>
        <v>2</v>
      </c>
    </row>
    <row r="576" spans="1:72" x14ac:dyDescent="0.2">
      <c r="A576" s="19" t="s">
        <v>711</v>
      </c>
      <c r="B576" s="1">
        <v>193</v>
      </c>
      <c r="C576">
        <v>1</v>
      </c>
      <c r="D576" t="s">
        <v>48</v>
      </c>
      <c r="E576" s="2" t="s">
        <v>49</v>
      </c>
      <c r="F576">
        <v>193</v>
      </c>
      <c r="G576">
        <v>193</v>
      </c>
      <c r="H576" s="2">
        <v>179</v>
      </c>
      <c r="I576" s="3">
        <v>179</v>
      </c>
      <c r="J576" s="4">
        <v>159</v>
      </c>
      <c r="Q576" s="4" t="s">
        <v>51</v>
      </c>
      <c r="W576" s="8">
        <v>6</v>
      </c>
      <c r="X576" s="8">
        <v>12</v>
      </c>
      <c r="Y576" s="4">
        <f>J576</f>
        <v>159</v>
      </c>
      <c r="Z576" s="4">
        <v>1</v>
      </c>
      <c r="AB576" s="24"/>
      <c r="AM576">
        <v>63</v>
      </c>
      <c r="AN576" t="s">
        <v>52</v>
      </c>
      <c r="AO576" t="s">
        <v>53</v>
      </c>
      <c r="AP576">
        <v>-23074</v>
      </c>
      <c r="AQ576">
        <v>0</v>
      </c>
      <c r="AR576" t="s">
        <v>54</v>
      </c>
      <c r="AS576" t="s">
        <v>55</v>
      </c>
      <c r="AT576" t="s">
        <v>55</v>
      </c>
      <c r="AU576" t="s">
        <v>56</v>
      </c>
      <c r="AV576">
        <v>2612</v>
      </c>
      <c r="AW576" t="s">
        <v>57</v>
      </c>
      <c r="AX576" t="s">
        <v>55</v>
      </c>
      <c r="AY576" t="s">
        <v>92</v>
      </c>
      <c r="AZ576" t="s">
        <v>59</v>
      </c>
      <c r="BA576" t="s">
        <v>55</v>
      </c>
      <c r="BB576" t="s">
        <v>49</v>
      </c>
      <c r="BC576" t="s">
        <v>115</v>
      </c>
      <c r="BD576" t="s">
        <v>106</v>
      </c>
      <c r="BE576" t="s">
        <v>55</v>
      </c>
      <c r="BF576">
        <v>61</v>
      </c>
      <c r="BG576" t="s">
        <v>60</v>
      </c>
      <c r="BH576" t="s">
        <v>61</v>
      </c>
      <c r="BI576" t="s">
        <v>62</v>
      </c>
      <c r="BJ576" t="s">
        <v>63</v>
      </c>
      <c r="BK576">
        <v>2002</v>
      </c>
      <c r="BL576">
        <v>1</v>
      </c>
      <c r="BR576">
        <f t="shared" si="45"/>
        <v>28</v>
      </c>
      <c r="BS576">
        <v>151</v>
      </c>
      <c r="BT576">
        <f t="shared" si="42"/>
        <v>1</v>
      </c>
    </row>
    <row r="577" spans="1:72" x14ac:dyDescent="0.2">
      <c r="A577" s="19" t="s">
        <v>716</v>
      </c>
      <c r="B577" s="1">
        <v>945</v>
      </c>
      <c r="C577">
        <v>1</v>
      </c>
      <c r="D577" t="s">
        <v>48</v>
      </c>
      <c r="E577" s="2" t="s">
        <v>49</v>
      </c>
      <c r="F577">
        <v>945</v>
      </c>
      <c r="G577">
        <v>945</v>
      </c>
      <c r="H577" s="2">
        <v>358</v>
      </c>
      <c r="I577" s="3">
        <v>358</v>
      </c>
      <c r="J577" s="11">
        <f>I577-86</f>
        <v>272</v>
      </c>
      <c r="K577" s="4">
        <v>561</v>
      </c>
      <c r="Q577" s="11" t="s">
        <v>90</v>
      </c>
      <c r="R577" s="4" t="s">
        <v>51</v>
      </c>
      <c r="W577" s="8">
        <v>6</v>
      </c>
      <c r="X577" s="8">
        <v>6</v>
      </c>
      <c r="Y577" s="4">
        <f>K577</f>
        <v>561</v>
      </c>
      <c r="Z577" s="4">
        <v>1</v>
      </c>
      <c r="AA577" s="11">
        <f>J577</f>
        <v>272</v>
      </c>
      <c r="AB577" s="11">
        <v>1</v>
      </c>
      <c r="AM577">
        <v>73</v>
      </c>
      <c r="AN577" t="s">
        <v>52</v>
      </c>
      <c r="AO577" t="s">
        <v>53</v>
      </c>
      <c r="AP577">
        <v>-26779</v>
      </c>
      <c r="AQ577">
        <v>0</v>
      </c>
      <c r="AR577" t="s">
        <v>54</v>
      </c>
      <c r="AS577" t="s">
        <v>55</v>
      </c>
      <c r="AT577" t="s">
        <v>55</v>
      </c>
      <c r="AU577" t="s">
        <v>56</v>
      </c>
      <c r="AV577">
        <v>2613</v>
      </c>
      <c r="AW577" t="s">
        <v>57</v>
      </c>
      <c r="AX577" t="s">
        <v>55</v>
      </c>
      <c r="AY577" t="s">
        <v>92</v>
      </c>
      <c r="AZ577" t="s">
        <v>59</v>
      </c>
      <c r="BA577" t="s">
        <v>55</v>
      </c>
      <c r="BB577" t="s">
        <v>49</v>
      </c>
      <c r="BC577" t="s">
        <v>115</v>
      </c>
      <c r="BD577" t="s">
        <v>106</v>
      </c>
      <c r="BE577" t="s">
        <v>55</v>
      </c>
      <c r="BF577">
        <v>61</v>
      </c>
      <c r="BG577" t="s">
        <v>60</v>
      </c>
      <c r="BH577" t="s">
        <v>142</v>
      </c>
      <c r="BI577" t="s">
        <v>62</v>
      </c>
      <c r="BJ577" t="s">
        <v>63</v>
      </c>
      <c r="BK577">
        <v>1998</v>
      </c>
      <c r="BL577">
        <v>1</v>
      </c>
      <c r="BM577">
        <v>1</v>
      </c>
      <c r="BR577">
        <f t="shared" si="45"/>
        <v>146</v>
      </c>
      <c r="BS577">
        <f>86+126</f>
        <v>212</v>
      </c>
      <c r="BT577">
        <f t="shared" si="42"/>
        <v>2</v>
      </c>
    </row>
    <row r="578" spans="1:72" x14ac:dyDescent="0.2">
      <c r="A578" s="19" t="s">
        <v>730</v>
      </c>
      <c r="B578" s="1">
        <v>261</v>
      </c>
      <c r="C578">
        <v>1</v>
      </c>
      <c r="D578" t="s">
        <v>48</v>
      </c>
      <c r="E578" s="2" t="s">
        <v>49</v>
      </c>
      <c r="F578">
        <v>261</v>
      </c>
      <c r="G578">
        <v>261</v>
      </c>
      <c r="H578" s="2">
        <v>38</v>
      </c>
      <c r="I578" s="3">
        <v>38</v>
      </c>
      <c r="J578" t="s">
        <v>50</v>
      </c>
      <c r="Q578" t="s">
        <v>50</v>
      </c>
      <c r="AM578">
        <v>71</v>
      </c>
      <c r="AN578" t="s">
        <v>52</v>
      </c>
      <c r="AO578" t="s">
        <v>55</v>
      </c>
      <c r="AP578">
        <v>-26142</v>
      </c>
      <c r="AQ578">
        <v>0</v>
      </c>
      <c r="AR578" t="s">
        <v>54</v>
      </c>
      <c r="AS578" t="s">
        <v>55</v>
      </c>
      <c r="AT578" t="s">
        <v>55</v>
      </c>
      <c r="AU578" t="s">
        <v>56</v>
      </c>
      <c r="AV578">
        <v>2614</v>
      </c>
      <c r="AW578" t="s">
        <v>57</v>
      </c>
      <c r="AX578" t="s">
        <v>55</v>
      </c>
      <c r="AY578" t="s">
        <v>92</v>
      </c>
      <c r="AZ578" t="s">
        <v>59</v>
      </c>
      <c r="BA578" t="s">
        <v>55</v>
      </c>
      <c r="BB578" t="s">
        <v>49</v>
      </c>
      <c r="BC578" t="s">
        <v>115</v>
      </c>
      <c r="BD578" t="s">
        <v>106</v>
      </c>
      <c r="BE578" t="s">
        <v>55</v>
      </c>
      <c r="BF578">
        <v>61</v>
      </c>
      <c r="BG578" t="s">
        <v>60</v>
      </c>
      <c r="BH578" t="s">
        <v>61</v>
      </c>
      <c r="BI578" t="s">
        <v>62</v>
      </c>
      <c r="BJ578" t="s">
        <v>63</v>
      </c>
      <c r="BK578">
        <v>2007</v>
      </c>
    </row>
    <row r="579" spans="1:72" x14ac:dyDescent="0.2">
      <c r="A579" s="19" t="s">
        <v>731</v>
      </c>
      <c r="B579" s="1" t="s">
        <v>49</v>
      </c>
      <c r="C579">
        <v>0</v>
      </c>
      <c r="D579" s="8" t="s">
        <v>49</v>
      </c>
      <c r="E579" s="12" t="s">
        <v>49</v>
      </c>
      <c r="F579" s="8" t="s">
        <v>49</v>
      </c>
      <c r="G579" s="8" t="s">
        <v>49</v>
      </c>
      <c r="H579" s="12" t="s">
        <v>49</v>
      </c>
      <c r="I579" s="3" t="s">
        <v>50</v>
      </c>
      <c r="J579" s="8" t="s">
        <v>50</v>
      </c>
      <c r="K579" s="8"/>
      <c r="L579" s="8"/>
      <c r="M579" s="8"/>
      <c r="N579" s="8"/>
      <c r="O579" s="8"/>
      <c r="P579" s="8"/>
      <c r="Q579" s="8" t="s">
        <v>50</v>
      </c>
      <c r="R579" s="8"/>
      <c r="S579" s="8"/>
      <c r="T579" s="8"/>
      <c r="U579" s="8"/>
      <c r="V579" s="8"/>
      <c r="W579" s="8"/>
      <c r="X579" s="8"/>
      <c r="Y579" s="8"/>
      <c r="Z579" s="8"/>
      <c r="AA579" s="8"/>
      <c r="AB579" s="8"/>
      <c r="AC579" s="8"/>
      <c r="AD579" s="8"/>
      <c r="AE579" s="8"/>
      <c r="AF579" s="8"/>
      <c r="AG579" s="8"/>
      <c r="AH579" s="8"/>
      <c r="AI579" s="8"/>
      <c r="AJ579" s="8"/>
      <c r="AK579" s="8"/>
      <c r="AL579" s="8"/>
      <c r="AM579" s="8" t="s">
        <v>49</v>
      </c>
      <c r="AN579" s="8" t="s">
        <v>49</v>
      </c>
      <c r="AO579" s="8" t="s">
        <v>49</v>
      </c>
      <c r="AP579" s="8" t="s">
        <v>49</v>
      </c>
      <c r="AQ579" s="8" t="s">
        <v>49</v>
      </c>
      <c r="AR579" s="8" t="s">
        <v>49</v>
      </c>
      <c r="AS579" s="8" t="s">
        <v>49</v>
      </c>
      <c r="AT579" s="8" t="s">
        <v>49</v>
      </c>
      <c r="AU579" s="8" t="s">
        <v>49</v>
      </c>
      <c r="AV579" s="8" t="s">
        <v>49</v>
      </c>
      <c r="AW579" s="8" t="s">
        <v>49</v>
      </c>
      <c r="AX579" s="8" t="s">
        <v>49</v>
      </c>
      <c r="AY579" s="8" t="s">
        <v>49</v>
      </c>
      <c r="AZ579" s="8" t="s">
        <v>49</v>
      </c>
      <c r="BA579" s="8" t="s">
        <v>49</v>
      </c>
      <c r="BB579" s="8" t="s">
        <v>49</v>
      </c>
      <c r="BC579" s="8" t="s">
        <v>49</v>
      </c>
      <c r="BD579" s="8" t="s">
        <v>49</v>
      </c>
      <c r="BE579" s="8" t="s">
        <v>49</v>
      </c>
      <c r="BF579" s="8" t="s">
        <v>49</v>
      </c>
      <c r="BG579" s="8" t="s">
        <v>49</v>
      </c>
      <c r="BH579" s="8" t="s">
        <v>49</v>
      </c>
      <c r="BI579" s="8" t="s">
        <v>49</v>
      </c>
      <c r="BJ579" s="8" t="s">
        <v>49</v>
      </c>
      <c r="BK579" s="8" t="s">
        <v>49</v>
      </c>
    </row>
    <row r="580" spans="1:72" x14ac:dyDescent="0.2">
      <c r="A580" s="19" t="s">
        <v>732</v>
      </c>
      <c r="B580" s="1" t="s">
        <v>49</v>
      </c>
      <c r="C580">
        <v>0</v>
      </c>
      <c r="D580" s="8" t="s">
        <v>49</v>
      </c>
      <c r="E580" s="12" t="s">
        <v>49</v>
      </c>
      <c r="F580" s="8" t="s">
        <v>49</v>
      </c>
      <c r="G580" s="8" t="s">
        <v>49</v>
      </c>
      <c r="H580" s="12" t="s">
        <v>49</v>
      </c>
      <c r="I580" s="3" t="s">
        <v>50</v>
      </c>
      <c r="J580" s="8" t="s">
        <v>50</v>
      </c>
      <c r="K580" s="8"/>
      <c r="L580" s="8"/>
      <c r="M580" s="8"/>
      <c r="N580" s="8"/>
      <c r="O580" s="8"/>
      <c r="P580" s="8"/>
      <c r="Q580" s="8" t="s">
        <v>50</v>
      </c>
      <c r="R580" s="8"/>
      <c r="S580" s="8"/>
      <c r="T580" s="8"/>
      <c r="U580" s="8"/>
      <c r="V580" s="8"/>
      <c r="W580" s="8"/>
      <c r="X580" s="8"/>
      <c r="Y580" s="8"/>
      <c r="Z580" s="8"/>
      <c r="AA580" s="8"/>
      <c r="AB580" s="8"/>
      <c r="AC580" s="8"/>
      <c r="AD580" s="8"/>
      <c r="AE580" s="8"/>
      <c r="AF580" s="8"/>
      <c r="AG580" s="8"/>
      <c r="AH580" s="8"/>
      <c r="AI580" s="8"/>
      <c r="AJ580" s="8"/>
      <c r="AK580" s="8"/>
      <c r="AL580" s="8"/>
      <c r="AM580" s="8" t="s">
        <v>49</v>
      </c>
      <c r="AN580" s="8" t="s">
        <v>49</v>
      </c>
      <c r="AO580" s="8" t="s">
        <v>49</v>
      </c>
      <c r="AP580" s="8" t="s">
        <v>49</v>
      </c>
      <c r="AQ580" s="8" t="s">
        <v>49</v>
      </c>
      <c r="AR580" s="8" t="s">
        <v>49</v>
      </c>
      <c r="AS580" s="8" t="s">
        <v>49</v>
      </c>
      <c r="AT580" s="8" t="s">
        <v>49</v>
      </c>
      <c r="AU580" s="8" t="s">
        <v>49</v>
      </c>
      <c r="AV580" s="8" t="s">
        <v>49</v>
      </c>
      <c r="AW580" s="8" t="s">
        <v>49</v>
      </c>
      <c r="AX580" s="8" t="s">
        <v>49</v>
      </c>
      <c r="AY580" s="8" t="s">
        <v>49</v>
      </c>
      <c r="AZ580" s="8" t="s">
        <v>49</v>
      </c>
      <c r="BA580" s="8" t="s">
        <v>49</v>
      </c>
      <c r="BB580" s="8" t="s">
        <v>49</v>
      </c>
      <c r="BC580" s="8" t="s">
        <v>49</v>
      </c>
      <c r="BD580" s="8" t="s">
        <v>49</v>
      </c>
      <c r="BE580" s="8" t="s">
        <v>49</v>
      </c>
      <c r="BF580" s="8" t="s">
        <v>49</v>
      </c>
      <c r="BG580" s="8" t="s">
        <v>49</v>
      </c>
      <c r="BH580" s="8" t="s">
        <v>49</v>
      </c>
      <c r="BI580" s="8" t="s">
        <v>49</v>
      </c>
      <c r="BJ580" s="8" t="s">
        <v>49</v>
      </c>
      <c r="BK580" s="8" t="s">
        <v>49</v>
      </c>
    </row>
    <row r="581" spans="1:72" x14ac:dyDescent="0.2">
      <c r="A581" s="19" t="s">
        <v>733</v>
      </c>
      <c r="B581" s="1" t="s">
        <v>49</v>
      </c>
      <c r="C581">
        <v>0</v>
      </c>
      <c r="D581" s="8" t="s">
        <v>49</v>
      </c>
      <c r="E581" s="12" t="s">
        <v>49</v>
      </c>
      <c r="F581" s="8" t="s">
        <v>49</v>
      </c>
      <c r="G581" s="8" t="s">
        <v>49</v>
      </c>
      <c r="H581" s="12" t="s">
        <v>49</v>
      </c>
      <c r="I581" s="3" t="s">
        <v>50</v>
      </c>
      <c r="J581" s="8" t="s">
        <v>50</v>
      </c>
      <c r="K581" s="8"/>
      <c r="L581" s="8"/>
      <c r="M581" s="8"/>
      <c r="N581" s="8"/>
      <c r="O581" s="8"/>
      <c r="P581" s="8"/>
      <c r="Q581" s="8" t="s">
        <v>50</v>
      </c>
      <c r="R581" s="8"/>
      <c r="S581" s="8"/>
      <c r="T581" s="8"/>
      <c r="U581" s="8"/>
      <c r="V581" s="8"/>
      <c r="W581" s="8"/>
      <c r="X581" s="8"/>
      <c r="Y581" s="8"/>
      <c r="Z581" s="8"/>
      <c r="AA581" s="8"/>
      <c r="AB581" s="8"/>
      <c r="AC581" s="8"/>
      <c r="AD581" s="8"/>
      <c r="AE581" s="8"/>
      <c r="AF581" s="8"/>
      <c r="AG581" s="8"/>
      <c r="AH581" s="8"/>
      <c r="AI581" s="8"/>
      <c r="AJ581" s="8"/>
      <c r="AK581" s="8"/>
      <c r="AL581" s="8"/>
      <c r="AM581" s="8" t="s">
        <v>49</v>
      </c>
      <c r="AN581" s="8" t="s">
        <v>49</v>
      </c>
      <c r="AO581" s="8" t="s">
        <v>49</v>
      </c>
      <c r="AP581" s="8" t="s">
        <v>49</v>
      </c>
      <c r="AQ581" s="8" t="s">
        <v>49</v>
      </c>
      <c r="AR581" s="8" t="s">
        <v>49</v>
      </c>
      <c r="AS581" s="8" t="s">
        <v>49</v>
      </c>
      <c r="AT581" s="8" t="s">
        <v>49</v>
      </c>
      <c r="AU581" s="8" t="s">
        <v>49</v>
      </c>
      <c r="AV581" s="8" t="s">
        <v>49</v>
      </c>
      <c r="AW581" s="8" t="s">
        <v>49</v>
      </c>
      <c r="AX581" s="8" t="s">
        <v>49</v>
      </c>
      <c r="AY581" s="8" t="s">
        <v>49</v>
      </c>
      <c r="AZ581" s="8" t="s">
        <v>49</v>
      </c>
      <c r="BA581" s="8" t="s">
        <v>49</v>
      </c>
      <c r="BB581" s="8" t="s">
        <v>49</v>
      </c>
      <c r="BC581" s="8" t="s">
        <v>49</v>
      </c>
      <c r="BD581" s="8" t="s">
        <v>49</v>
      </c>
      <c r="BE581" s="8" t="s">
        <v>49</v>
      </c>
      <c r="BF581" s="8" t="s">
        <v>49</v>
      </c>
      <c r="BG581" s="8" t="s">
        <v>49</v>
      </c>
      <c r="BH581" s="8" t="s">
        <v>49</v>
      </c>
      <c r="BI581" s="8" t="s">
        <v>49</v>
      </c>
      <c r="BJ581" s="8" t="s">
        <v>49</v>
      </c>
      <c r="BK581" s="8" t="s">
        <v>49</v>
      </c>
    </row>
    <row r="582" spans="1:72" x14ac:dyDescent="0.2">
      <c r="A582" s="19" t="s">
        <v>734</v>
      </c>
      <c r="B582" s="1" t="s">
        <v>49</v>
      </c>
      <c r="C582">
        <v>0</v>
      </c>
      <c r="D582" s="8" t="s">
        <v>49</v>
      </c>
      <c r="E582" s="12" t="s">
        <v>49</v>
      </c>
      <c r="F582" s="8" t="s">
        <v>49</v>
      </c>
      <c r="G582" s="8" t="s">
        <v>49</v>
      </c>
      <c r="H582" s="12" t="s">
        <v>49</v>
      </c>
      <c r="I582" s="3" t="s">
        <v>50</v>
      </c>
      <c r="J582" s="8" t="s">
        <v>50</v>
      </c>
      <c r="K582" s="8"/>
      <c r="L582" s="8"/>
      <c r="M582" s="8"/>
      <c r="N582" s="8"/>
      <c r="O582" s="8"/>
      <c r="P582" s="8"/>
      <c r="Q582" s="8" t="s">
        <v>50</v>
      </c>
      <c r="R582" s="8"/>
      <c r="S582" s="8"/>
      <c r="T582" s="8"/>
      <c r="U582" s="8"/>
      <c r="V582" s="8"/>
      <c r="W582" s="8"/>
      <c r="X582" s="8"/>
      <c r="Y582" s="8"/>
      <c r="Z582" s="8"/>
      <c r="AA582" s="8"/>
      <c r="AB582" s="8"/>
      <c r="AC582" s="8"/>
      <c r="AD582" s="8"/>
      <c r="AE582" s="8"/>
      <c r="AF582" s="8"/>
      <c r="AG582" s="8"/>
      <c r="AH582" s="8"/>
      <c r="AI582" s="8"/>
      <c r="AJ582" s="8"/>
      <c r="AK582" s="8"/>
      <c r="AL582" s="8"/>
      <c r="AM582" s="8" t="s">
        <v>49</v>
      </c>
      <c r="AN582" s="8" t="s">
        <v>49</v>
      </c>
      <c r="AO582" s="8" t="s">
        <v>49</v>
      </c>
      <c r="AP582" s="8" t="s">
        <v>49</v>
      </c>
      <c r="AQ582" s="8" t="s">
        <v>49</v>
      </c>
      <c r="AR582" s="8" t="s">
        <v>49</v>
      </c>
      <c r="AS582" s="8" t="s">
        <v>49</v>
      </c>
      <c r="AT582" s="8" t="s">
        <v>49</v>
      </c>
      <c r="AU582" s="8" t="s">
        <v>49</v>
      </c>
      <c r="AV582" s="8" t="s">
        <v>49</v>
      </c>
      <c r="AW582" s="8" t="s">
        <v>49</v>
      </c>
      <c r="AX582" s="8" t="s">
        <v>49</v>
      </c>
      <c r="AY582" s="8" t="s">
        <v>49</v>
      </c>
      <c r="AZ582" s="8" t="s">
        <v>49</v>
      </c>
      <c r="BA582" s="8" t="s">
        <v>49</v>
      </c>
      <c r="BB582" s="8" t="s">
        <v>49</v>
      </c>
      <c r="BC582" s="8" t="s">
        <v>49</v>
      </c>
      <c r="BD582" s="8" t="s">
        <v>49</v>
      </c>
      <c r="BE582" s="8" t="s">
        <v>49</v>
      </c>
      <c r="BF582" s="8" t="s">
        <v>49</v>
      </c>
      <c r="BG582" s="8" t="s">
        <v>49</v>
      </c>
      <c r="BH582" s="8" t="s">
        <v>49</v>
      </c>
      <c r="BI582" s="8" t="s">
        <v>49</v>
      </c>
      <c r="BJ582" s="8" t="s">
        <v>49</v>
      </c>
      <c r="BK582" s="8" t="s">
        <v>49</v>
      </c>
    </row>
    <row r="583" spans="1:72" x14ac:dyDescent="0.2">
      <c r="A583" s="19" t="s">
        <v>735</v>
      </c>
      <c r="B583" s="1" t="s">
        <v>49</v>
      </c>
      <c r="C583">
        <v>0</v>
      </c>
      <c r="D583" s="8" t="s">
        <v>49</v>
      </c>
      <c r="E583" s="12" t="s">
        <v>49</v>
      </c>
      <c r="F583" s="8" t="s">
        <v>49</v>
      </c>
      <c r="G583" s="8" t="s">
        <v>49</v>
      </c>
      <c r="H583" s="12" t="s">
        <v>49</v>
      </c>
      <c r="I583" s="3" t="s">
        <v>50</v>
      </c>
      <c r="J583" s="8" t="s">
        <v>50</v>
      </c>
      <c r="K583" s="8"/>
      <c r="L583" s="8"/>
      <c r="M583" s="8"/>
      <c r="N583" s="8"/>
      <c r="O583" s="8"/>
      <c r="P583" s="8"/>
      <c r="Q583" s="8" t="s">
        <v>50</v>
      </c>
      <c r="R583" s="8"/>
      <c r="S583" s="8"/>
      <c r="T583" s="8"/>
      <c r="U583" s="8"/>
      <c r="V583" s="8"/>
      <c r="W583" s="8"/>
      <c r="X583" s="8"/>
      <c r="Y583" s="8"/>
      <c r="Z583" s="8"/>
      <c r="AA583" s="8"/>
      <c r="AB583" s="8"/>
      <c r="AC583" s="8"/>
      <c r="AD583" s="8"/>
      <c r="AE583" s="8"/>
      <c r="AF583" s="8"/>
      <c r="AG583" s="8"/>
      <c r="AH583" s="8"/>
      <c r="AI583" s="8"/>
      <c r="AJ583" s="8"/>
      <c r="AK583" s="8"/>
      <c r="AL583" s="8"/>
      <c r="AM583" s="8" t="s">
        <v>49</v>
      </c>
      <c r="AN583" s="8" t="s">
        <v>49</v>
      </c>
      <c r="AO583" s="8" t="s">
        <v>49</v>
      </c>
      <c r="AP583" s="8" t="s">
        <v>49</v>
      </c>
      <c r="AQ583" s="8" t="s">
        <v>49</v>
      </c>
      <c r="AR583" s="8" t="s">
        <v>49</v>
      </c>
      <c r="AS583" s="8" t="s">
        <v>49</v>
      </c>
      <c r="AT583" s="8" t="s">
        <v>49</v>
      </c>
      <c r="AU583" s="8" t="s">
        <v>49</v>
      </c>
      <c r="AV583" s="8" t="s">
        <v>49</v>
      </c>
      <c r="AW583" s="8" t="s">
        <v>49</v>
      </c>
      <c r="AX583" s="8" t="s">
        <v>49</v>
      </c>
      <c r="AY583" s="8" t="s">
        <v>49</v>
      </c>
      <c r="AZ583" s="8" t="s">
        <v>49</v>
      </c>
      <c r="BA583" s="8" t="s">
        <v>49</v>
      </c>
      <c r="BB583" s="8" t="s">
        <v>49</v>
      </c>
      <c r="BC583" s="8" t="s">
        <v>49</v>
      </c>
      <c r="BD583" s="8" t="s">
        <v>49</v>
      </c>
      <c r="BE583" s="8" t="s">
        <v>49</v>
      </c>
      <c r="BF583" s="8" t="s">
        <v>49</v>
      </c>
      <c r="BG583" s="8" t="s">
        <v>49</v>
      </c>
      <c r="BH583" s="8" t="s">
        <v>49</v>
      </c>
      <c r="BI583" s="8" t="s">
        <v>49</v>
      </c>
      <c r="BJ583" s="8" t="s">
        <v>49</v>
      </c>
      <c r="BK583" s="8" t="s">
        <v>49</v>
      </c>
    </row>
    <row r="584" spans="1:72" x14ac:dyDescent="0.2">
      <c r="A584" s="19" t="s">
        <v>736</v>
      </c>
      <c r="B584" s="1" t="s">
        <v>49</v>
      </c>
      <c r="C584">
        <v>0</v>
      </c>
      <c r="D584" s="8" t="s">
        <v>49</v>
      </c>
      <c r="E584" s="12" t="s">
        <v>49</v>
      </c>
      <c r="F584" s="8" t="s">
        <v>49</v>
      </c>
      <c r="G584" s="8" t="s">
        <v>49</v>
      </c>
      <c r="H584" s="12" t="s">
        <v>49</v>
      </c>
      <c r="I584" s="3" t="s">
        <v>50</v>
      </c>
      <c r="J584" s="8" t="s">
        <v>50</v>
      </c>
      <c r="K584" s="8"/>
      <c r="L584" s="8"/>
      <c r="M584" s="8"/>
      <c r="N584" s="8"/>
      <c r="O584" s="8"/>
      <c r="P584" s="8"/>
      <c r="Q584" s="8" t="s">
        <v>50</v>
      </c>
      <c r="R584" s="8"/>
      <c r="S584" s="8"/>
      <c r="T584" s="8"/>
      <c r="U584" s="8"/>
      <c r="V584" s="8"/>
      <c r="W584" s="8"/>
      <c r="X584" s="8"/>
      <c r="Y584" s="8"/>
      <c r="Z584" s="8"/>
      <c r="AA584" s="8"/>
      <c r="AB584" s="8"/>
      <c r="AC584" s="8"/>
      <c r="AD584" s="8"/>
      <c r="AE584" s="8"/>
      <c r="AF584" s="8"/>
      <c r="AG584" s="8"/>
      <c r="AH584" s="8"/>
      <c r="AI584" s="8"/>
      <c r="AJ584" s="8"/>
      <c r="AK584" s="8"/>
      <c r="AL584" s="8"/>
      <c r="AM584" s="8" t="s">
        <v>49</v>
      </c>
      <c r="AN584" s="8" t="s">
        <v>49</v>
      </c>
      <c r="AO584" s="8" t="s">
        <v>49</v>
      </c>
      <c r="AP584" s="8" t="s">
        <v>49</v>
      </c>
      <c r="AQ584" s="8" t="s">
        <v>49</v>
      </c>
      <c r="AR584" s="8" t="s">
        <v>49</v>
      </c>
      <c r="AS584" s="8" t="s">
        <v>49</v>
      </c>
      <c r="AT584" s="8" t="s">
        <v>49</v>
      </c>
      <c r="AU584" s="8" t="s">
        <v>49</v>
      </c>
      <c r="AV584" s="8" t="s">
        <v>49</v>
      </c>
      <c r="AW584" s="8" t="s">
        <v>49</v>
      </c>
      <c r="AX584" s="8" t="s">
        <v>49</v>
      </c>
      <c r="AY584" s="8" t="s">
        <v>49</v>
      </c>
      <c r="AZ584" s="8" t="s">
        <v>49</v>
      </c>
      <c r="BA584" s="8" t="s">
        <v>49</v>
      </c>
      <c r="BB584" s="8" t="s">
        <v>49</v>
      </c>
      <c r="BC584" s="8" t="s">
        <v>49</v>
      </c>
      <c r="BD584" s="8" t="s">
        <v>49</v>
      </c>
      <c r="BE584" s="8" t="s">
        <v>49</v>
      </c>
      <c r="BF584" s="8" t="s">
        <v>49</v>
      </c>
      <c r="BG584" s="8" t="s">
        <v>49</v>
      </c>
      <c r="BH584" s="8" t="s">
        <v>49</v>
      </c>
      <c r="BI584" s="8" t="s">
        <v>49</v>
      </c>
      <c r="BJ584" s="8" t="s">
        <v>49</v>
      </c>
      <c r="BK584" s="8" t="s">
        <v>49</v>
      </c>
    </row>
    <row r="585" spans="1:72" x14ac:dyDescent="0.2">
      <c r="A585" s="19" t="s">
        <v>737</v>
      </c>
      <c r="B585" s="1" t="s">
        <v>49</v>
      </c>
      <c r="C585">
        <v>0</v>
      </c>
      <c r="D585" s="8" t="s">
        <v>49</v>
      </c>
      <c r="E585" s="12" t="s">
        <v>49</v>
      </c>
      <c r="F585" s="8" t="s">
        <v>49</v>
      </c>
      <c r="G585" s="8" t="s">
        <v>49</v>
      </c>
      <c r="H585" s="12" t="s">
        <v>49</v>
      </c>
      <c r="I585" s="3" t="s">
        <v>50</v>
      </c>
      <c r="J585" s="8" t="s">
        <v>50</v>
      </c>
      <c r="K585" s="8"/>
      <c r="L585" s="8"/>
      <c r="M585" s="8"/>
      <c r="N585" s="8"/>
      <c r="O585" s="8"/>
      <c r="P585" s="8"/>
      <c r="Q585" s="8" t="s">
        <v>50</v>
      </c>
      <c r="R585" s="8"/>
      <c r="S585" s="8"/>
      <c r="T585" s="8"/>
      <c r="U585" s="8"/>
      <c r="V585" s="8"/>
      <c r="W585" s="8"/>
      <c r="X585" s="8"/>
      <c r="Y585" s="8"/>
      <c r="Z585" s="8"/>
      <c r="AA585" s="8"/>
      <c r="AB585" s="8"/>
      <c r="AC585" s="8"/>
      <c r="AD585" s="8"/>
      <c r="AE585" s="8"/>
      <c r="AF585" s="8"/>
      <c r="AG585" s="8"/>
      <c r="AH585" s="8"/>
      <c r="AI585" s="8"/>
      <c r="AJ585" s="8"/>
      <c r="AK585" s="8"/>
      <c r="AL585" s="8"/>
      <c r="AM585" s="8" t="s">
        <v>49</v>
      </c>
      <c r="AN585" s="8" t="s">
        <v>49</v>
      </c>
      <c r="AO585" s="8" t="s">
        <v>49</v>
      </c>
      <c r="AP585" s="8" t="s">
        <v>49</v>
      </c>
      <c r="AQ585" s="8" t="s">
        <v>49</v>
      </c>
      <c r="AR585" s="8" t="s">
        <v>49</v>
      </c>
      <c r="AS585" s="8" t="s">
        <v>49</v>
      </c>
      <c r="AT585" s="8" t="s">
        <v>49</v>
      </c>
      <c r="AU585" s="8" t="s">
        <v>49</v>
      </c>
      <c r="AV585" s="8" t="s">
        <v>49</v>
      </c>
      <c r="AW585" s="8" t="s">
        <v>49</v>
      </c>
      <c r="AX585" s="8" t="s">
        <v>49</v>
      </c>
      <c r="AY585" s="8" t="s">
        <v>49</v>
      </c>
      <c r="AZ585" s="8" t="s">
        <v>49</v>
      </c>
      <c r="BA585" s="8" t="s">
        <v>49</v>
      </c>
      <c r="BB585" s="8" t="s">
        <v>49</v>
      </c>
      <c r="BC585" s="8" t="s">
        <v>49</v>
      </c>
      <c r="BD585" s="8" t="s">
        <v>49</v>
      </c>
      <c r="BE585" s="8" t="s">
        <v>49</v>
      </c>
      <c r="BF585" s="8" t="s">
        <v>49</v>
      </c>
      <c r="BG585" s="8" t="s">
        <v>49</v>
      </c>
      <c r="BH585" s="8" t="s">
        <v>49</v>
      </c>
      <c r="BI585" s="8" t="s">
        <v>49</v>
      </c>
      <c r="BJ585" s="8" t="s">
        <v>49</v>
      </c>
      <c r="BK585" s="8" t="s">
        <v>49</v>
      </c>
    </row>
    <row r="586" spans="1:72" x14ac:dyDescent="0.2">
      <c r="A586" s="19" t="s">
        <v>738</v>
      </c>
      <c r="B586" s="1" t="s">
        <v>49</v>
      </c>
      <c r="C586">
        <v>0</v>
      </c>
      <c r="D586" s="8" t="s">
        <v>49</v>
      </c>
      <c r="E586" s="12" t="s">
        <v>49</v>
      </c>
      <c r="F586" s="8" t="s">
        <v>49</v>
      </c>
      <c r="G586" s="8" t="s">
        <v>49</v>
      </c>
      <c r="H586" s="12" t="s">
        <v>49</v>
      </c>
      <c r="I586" s="3" t="s">
        <v>50</v>
      </c>
      <c r="J586" s="8" t="s">
        <v>50</v>
      </c>
      <c r="K586" s="8"/>
      <c r="L586" s="8"/>
      <c r="M586" s="8"/>
      <c r="N586" s="8"/>
      <c r="O586" s="8"/>
      <c r="P586" s="8"/>
      <c r="Q586" s="8" t="s">
        <v>50</v>
      </c>
      <c r="R586" s="8"/>
      <c r="S586" s="8"/>
      <c r="T586" s="8"/>
      <c r="U586" s="8"/>
      <c r="V586" s="8"/>
      <c r="W586" s="8"/>
      <c r="X586" s="8"/>
      <c r="Y586" s="8"/>
      <c r="Z586" s="8"/>
      <c r="AA586" s="8"/>
      <c r="AB586" s="8"/>
      <c r="AC586" s="8"/>
      <c r="AD586" s="8"/>
      <c r="AE586" s="8"/>
      <c r="AF586" s="8"/>
      <c r="AG586" s="8"/>
      <c r="AH586" s="8"/>
      <c r="AI586" s="8"/>
      <c r="AJ586" s="8"/>
      <c r="AK586" s="8"/>
      <c r="AL586" s="8"/>
      <c r="AM586" s="8" t="s">
        <v>49</v>
      </c>
      <c r="AN586" s="8" t="s">
        <v>49</v>
      </c>
      <c r="AO586" s="8" t="s">
        <v>49</v>
      </c>
      <c r="AP586" s="8" t="s">
        <v>49</v>
      </c>
      <c r="AQ586" s="8" t="s">
        <v>49</v>
      </c>
      <c r="AR586" s="8" t="s">
        <v>49</v>
      </c>
      <c r="AS586" s="8" t="s">
        <v>49</v>
      </c>
      <c r="AT586" s="8" t="s">
        <v>49</v>
      </c>
      <c r="AU586" s="8" t="s">
        <v>49</v>
      </c>
      <c r="AV586" s="8" t="s">
        <v>49</v>
      </c>
      <c r="AW586" s="8" t="s">
        <v>49</v>
      </c>
      <c r="AX586" s="8" t="s">
        <v>49</v>
      </c>
      <c r="AY586" s="8" t="s">
        <v>49</v>
      </c>
      <c r="AZ586" s="8" t="s">
        <v>49</v>
      </c>
      <c r="BA586" s="8" t="s">
        <v>49</v>
      </c>
      <c r="BB586" s="8" t="s">
        <v>49</v>
      </c>
      <c r="BC586" s="8" t="s">
        <v>49</v>
      </c>
      <c r="BD586" s="8" t="s">
        <v>49</v>
      </c>
      <c r="BE586" s="8" t="s">
        <v>49</v>
      </c>
      <c r="BF586" s="8" t="s">
        <v>49</v>
      </c>
      <c r="BG586" s="8" t="s">
        <v>49</v>
      </c>
      <c r="BH586" s="8" t="s">
        <v>49</v>
      </c>
      <c r="BI586" s="8" t="s">
        <v>49</v>
      </c>
      <c r="BJ586" s="8" t="s">
        <v>49</v>
      </c>
      <c r="BK586" s="8" t="s">
        <v>49</v>
      </c>
    </row>
    <row r="587" spans="1:72" x14ac:dyDescent="0.2">
      <c r="A587" s="19" t="s">
        <v>739</v>
      </c>
      <c r="B587" s="1" t="s">
        <v>49</v>
      </c>
      <c r="C587">
        <v>0</v>
      </c>
      <c r="D587" s="8" t="s">
        <v>49</v>
      </c>
      <c r="E587" s="12" t="s">
        <v>49</v>
      </c>
      <c r="F587" s="8" t="s">
        <v>49</v>
      </c>
      <c r="G587" s="8" t="s">
        <v>49</v>
      </c>
      <c r="H587" s="12" t="s">
        <v>49</v>
      </c>
      <c r="I587" s="3" t="s">
        <v>50</v>
      </c>
      <c r="J587" s="8" t="s">
        <v>50</v>
      </c>
      <c r="K587" s="8"/>
      <c r="L587" s="8"/>
      <c r="M587" s="8"/>
      <c r="N587" s="8"/>
      <c r="O587" s="8"/>
      <c r="P587" s="8"/>
      <c r="Q587" s="8" t="s">
        <v>50</v>
      </c>
      <c r="R587" s="8"/>
      <c r="S587" s="8"/>
      <c r="T587" s="8"/>
      <c r="U587" s="8"/>
      <c r="V587" s="8"/>
      <c r="W587" s="8"/>
      <c r="X587" s="8"/>
      <c r="Y587" s="8"/>
      <c r="Z587" s="8"/>
      <c r="AA587" s="8"/>
      <c r="AB587" s="8"/>
      <c r="AC587" s="8"/>
      <c r="AD587" s="8"/>
      <c r="AE587" s="8"/>
      <c r="AF587" s="8"/>
      <c r="AG587" s="8"/>
      <c r="AH587" s="8"/>
      <c r="AI587" s="8"/>
      <c r="AJ587" s="8"/>
      <c r="AK587" s="8"/>
      <c r="AL587" s="8"/>
      <c r="AM587" s="8" t="s">
        <v>49</v>
      </c>
      <c r="AN587" s="8" t="s">
        <v>49</v>
      </c>
      <c r="AO587" s="8" t="s">
        <v>49</v>
      </c>
      <c r="AP587" s="8" t="s">
        <v>49</v>
      </c>
      <c r="AQ587" s="8" t="s">
        <v>49</v>
      </c>
      <c r="AR587" s="8" t="s">
        <v>49</v>
      </c>
      <c r="AS587" s="8" t="s">
        <v>49</v>
      </c>
      <c r="AT587" s="8" t="s">
        <v>49</v>
      </c>
      <c r="AU587" s="8" t="s">
        <v>49</v>
      </c>
      <c r="AV587" s="8" t="s">
        <v>49</v>
      </c>
      <c r="AW587" s="8" t="s">
        <v>49</v>
      </c>
      <c r="AX587" s="8" t="s">
        <v>49</v>
      </c>
      <c r="AY587" s="8" t="s">
        <v>49</v>
      </c>
      <c r="AZ587" s="8" t="s">
        <v>49</v>
      </c>
      <c r="BA587" s="8" t="s">
        <v>49</v>
      </c>
      <c r="BB587" s="8" t="s">
        <v>49</v>
      </c>
      <c r="BC587" s="8" t="s">
        <v>49</v>
      </c>
      <c r="BD587" s="8" t="s">
        <v>49</v>
      </c>
      <c r="BE587" s="8" t="s">
        <v>49</v>
      </c>
      <c r="BF587" s="8" t="s">
        <v>49</v>
      </c>
      <c r="BG587" s="8" t="s">
        <v>49</v>
      </c>
      <c r="BH587" s="8" t="s">
        <v>49</v>
      </c>
      <c r="BI587" s="8" t="s">
        <v>49</v>
      </c>
      <c r="BJ587" s="8" t="s">
        <v>49</v>
      </c>
      <c r="BK587" s="8" t="s">
        <v>49</v>
      </c>
    </row>
    <row r="588" spans="1:72" x14ac:dyDescent="0.2">
      <c r="A588" s="19" t="s">
        <v>740</v>
      </c>
      <c r="B588" s="1" t="s">
        <v>49</v>
      </c>
      <c r="C588">
        <v>0</v>
      </c>
      <c r="D588" s="8" t="s">
        <v>49</v>
      </c>
      <c r="E588" s="12" t="s">
        <v>49</v>
      </c>
      <c r="F588" s="8" t="s">
        <v>49</v>
      </c>
      <c r="G588" s="8" t="s">
        <v>49</v>
      </c>
      <c r="H588" s="12" t="s">
        <v>49</v>
      </c>
      <c r="I588" s="3" t="s">
        <v>50</v>
      </c>
      <c r="J588" s="8" t="s">
        <v>50</v>
      </c>
      <c r="K588" s="8"/>
      <c r="L588" s="8"/>
      <c r="M588" s="8"/>
      <c r="N588" s="8"/>
      <c r="O588" s="8"/>
      <c r="P588" s="8"/>
      <c r="Q588" s="8" t="s">
        <v>50</v>
      </c>
      <c r="R588" s="8"/>
      <c r="S588" s="8"/>
      <c r="T588" s="8"/>
      <c r="U588" s="8"/>
      <c r="V588" s="8"/>
      <c r="W588" s="8"/>
      <c r="X588" s="8"/>
      <c r="Y588" s="8"/>
      <c r="Z588" s="8"/>
      <c r="AA588" s="8"/>
      <c r="AB588" s="8"/>
      <c r="AC588" s="8"/>
      <c r="AD588" s="8"/>
      <c r="AE588" s="8"/>
      <c r="AF588" s="8"/>
      <c r="AG588" s="8"/>
      <c r="AH588" s="8"/>
      <c r="AI588" s="8"/>
      <c r="AJ588" s="8"/>
      <c r="AK588" s="8"/>
      <c r="AL588" s="8"/>
      <c r="AM588" s="8" t="s">
        <v>49</v>
      </c>
      <c r="AN588" s="8" t="s">
        <v>49</v>
      </c>
      <c r="AO588" s="8" t="s">
        <v>49</v>
      </c>
      <c r="AP588" s="8" t="s">
        <v>49</v>
      </c>
      <c r="AQ588" s="8" t="s">
        <v>49</v>
      </c>
      <c r="AR588" s="8" t="s">
        <v>49</v>
      </c>
      <c r="AS588" s="8" t="s">
        <v>49</v>
      </c>
      <c r="AT588" s="8" t="s">
        <v>49</v>
      </c>
      <c r="AU588" s="8" t="s">
        <v>49</v>
      </c>
      <c r="AV588" s="8" t="s">
        <v>49</v>
      </c>
      <c r="AW588" s="8" t="s">
        <v>49</v>
      </c>
      <c r="AX588" s="8" t="s">
        <v>49</v>
      </c>
      <c r="AY588" s="8" t="s">
        <v>49</v>
      </c>
      <c r="AZ588" s="8" t="s">
        <v>49</v>
      </c>
      <c r="BA588" s="8" t="s">
        <v>49</v>
      </c>
      <c r="BB588" s="8" t="s">
        <v>49</v>
      </c>
      <c r="BC588" s="8" t="s">
        <v>49</v>
      </c>
      <c r="BD588" s="8" t="s">
        <v>49</v>
      </c>
      <c r="BE588" s="8" t="s">
        <v>49</v>
      </c>
      <c r="BF588" s="8" t="s">
        <v>49</v>
      </c>
      <c r="BG588" s="8" t="s">
        <v>49</v>
      </c>
      <c r="BH588" s="8" t="s">
        <v>49</v>
      </c>
      <c r="BI588" s="8" t="s">
        <v>49</v>
      </c>
      <c r="BJ588" s="8" t="s">
        <v>49</v>
      </c>
      <c r="BK588" s="8" t="s">
        <v>49</v>
      </c>
    </row>
    <row r="589" spans="1:72" x14ac:dyDescent="0.2">
      <c r="B589" s="12"/>
      <c r="E589" s="2"/>
      <c r="H589" s="2"/>
      <c r="I589" s="12"/>
    </row>
    <row r="590" spans="1:72" x14ac:dyDescent="0.2">
      <c r="B590" s="12"/>
      <c r="E590" s="2"/>
      <c r="H590" s="2"/>
      <c r="I590" s="12"/>
    </row>
    <row r="591" spans="1:72" x14ac:dyDescent="0.2">
      <c r="B591" s="12"/>
      <c r="E591" s="2"/>
      <c r="H591" s="2"/>
      <c r="I591" s="12"/>
    </row>
    <row r="592" spans="1:72" x14ac:dyDescent="0.2">
      <c r="B592" s="12"/>
      <c r="E592" s="2"/>
      <c r="H592" s="2"/>
      <c r="I592" s="12"/>
    </row>
    <row r="593" spans="1:9" x14ac:dyDescent="0.2">
      <c r="A593" t="s">
        <v>741</v>
      </c>
      <c r="B593" s="12"/>
      <c r="E593" s="2"/>
      <c r="H593" s="2"/>
      <c r="I593" s="12"/>
    </row>
    <row r="594" spans="1:9" x14ac:dyDescent="0.2">
      <c r="A594" t="s">
        <v>742</v>
      </c>
      <c r="B594" s="12"/>
      <c r="E594" s="2"/>
      <c r="H594" s="2"/>
      <c r="I594" s="12"/>
    </row>
    <row r="595" spans="1:9" x14ac:dyDescent="0.2">
      <c r="A595" t="s">
        <v>743</v>
      </c>
      <c r="B595" s="12"/>
      <c r="E595" s="2"/>
      <c r="H595" s="2"/>
      <c r="I595" s="12"/>
    </row>
    <row r="596" spans="1:9" x14ac:dyDescent="0.2">
      <c r="A596" t="s">
        <v>744</v>
      </c>
      <c r="B596" s="12"/>
      <c r="E596" s="2"/>
      <c r="H596" s="2"/>
      <c r="I596" s="12"/>
    </row>
    <row r="597" spans="1:9" x14ac:dyDescent="0.2">
      <c r="A597" t="s">
        <v>745</v>
      </c>
      <c r="B597" s="12"/>
      <c r="E597" s="2"/>
      <c r="H597" s="2"/>
      <c r="I597" s="12"/>
    </row>
    <row r="598" spans="1:9" x14ac:dyDescent="0.2">
      <c r="A598" t="s">
        <v>746</v>
      </c>
      <c r="B598" s="12"/>
      <c r="E598" s="2"/>
      <c r="H598" s="2"/>
      <c r="I598" s="12"/>
    </row>
    <row r="599" spans="1:9" x14ac:dyDescent="0.2">
      <c r="A599" t="s">
        <v>767</v>
      </c>
    </row>
    <row r="600" spans="1:9" x14ac:dyDescent="0.2">
      <c r="A600" t="s">
        <v>768</v>
      </c>
    </row>
    <row r="601" spans="1:9" x14ac:dyDescent="0.2">
      <c r="A601" t="s">
        <v>786</v>
      </c>
    </row>
    <row r="602" spans="1:9" x14ac:dyDescent="0.2">
      <c r="A602" t="s">
        <v>790</v>
      </c>
    </row>
    <row r="603" spans="1:9" x14ac:dyDescent="0.2">
      <c r="A603" t="s">
        <v>818</v>
      </c>
    </row>
    <row r="604" spans="1:9" x14ac:dyDescent="0.2">
      <c r="A604" t="s">
        <v>820</v>
      </c>
    </row>
  </sheetData>
  <sheetProtection sheet="1" objects="1" scenarios="1" sort="0" autoFilter="0"/>
  <autoFilter ref="A1:BS588">
    <sortState ref="A2:BS588">
      <sortCondition ref="A1:A588"/>
    </sortState>
  </autoFilter>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
  <sheetViews>
    <sheetView tabSelected="1" showRuler="0" workbookViewId="0">
      <selection activeCell="A11" sqref="A11"/>
    </sheetView>
  </sheetViews>
  <sheetFormatPr baseColWidth="10" defaultRowHeight="19" x14ac:dyDescent="0.25"/>
  <cols>
    <col min="1" max="1" width="58.5" style="31" customWidth="1"/>
    <col min="2" max="2" width="119.5" style="27" bestFit="1" customWidth="1"/>
  </cols>
  <sheetData>
    <row r="1" spans="1:25" x14ac:dyDescent="0.25">
      <c r="A1" s="31" t="s">
        <v>858</v>
      </c>
    </row>
    <row r="2" spans="1:25" x14ac:dyDescent="0.25">
      <c r="A2" s="31" t="s">
        <v>894</v>
      </c>
    </row>
    <row r="3" spans="1:25" x14ac:dyDescent="0.25">
      <c r="A3" s="32" t="s">
        <v>741</v>
      </c>
      <c r="B3" s="28"/>
      <c r="C3" s="26"/>
      <c r="S3" s="14"/>
      <c r="T3" s="14"/>
      <c r="U3" s="14"/>
      <c r="V3" s="14"/>
      <c r="W3" s="14"/>
      <c r="X3" s="14"/>
      <c r="Y3" s="14"/>
    </row>
    <row r="4" spans="1:25" x14ac:dyDescent="0.25">
      <c r="A4" s="32" t="s">
        <v>892</v>
      </c>
      <c r="B4" s="30" t="s">
        <v>891</v>
      </c>
      <c r="C4" s="26"/>
    </row>
    <row r="5" spans="1:25" x14ac:dyDescent="0.25">
      <c r="A5" s="32" t="s">
        <v>895</v>
      </c>
      <c r="B5" s="28"/>
      <c r="C5" s="26"/>
    </row>
    <row r="8" spans="1:25" ht="50" customHeight="1" x14ac:dyDescent="0.2">
      <c r="A8" s="33" t="s">
        <v>1</v>
      </c>
      <c r="B8" s="27" t="s">
        <v>868</v>
      </c>
    </row>
    <row r="9" spans="1:25" ht="50" customHeight="1" x14ac:dyDescent="0.2">
      <c r="A9" s="34" t="s">
        <v>2</v>
      </c>
      <c r="B9" s="27" t="s">
        <v>859</v>
      </c>
    </row>
    <row r="10" spans="1:25" ht="79" customHeight="1" x14ac:dyDescent="0.2">
      <c r="A10" s="33" t="s">
        <v>8</v>
      </c>
      <c r="B10" s="27" t="s">
        <v>896</v>
      </c>
    </row>
    <row r="11" spans="1:25" ht="50" customHeight="1" x14ac:dyDescent="0.2">
      <c r="A11" s="34" t="s">
        <v>904</v>
      </c>
      <c r="B11" s="27" t="s">
        <v>897</v>
      </c>
    </row>
    <row r="12" spans="1:25" ht="50" customHeight="1" x14ac:dyDescent="0.2">
      <c r="A12" s="34" t="s">
        <v>905</v>
      </c>
      <c r="B12" s="27" t="s">
        <v>869</v>
      </c>
    </row>
    <row r="13" spans="1:25" ht="50" customHeight="1" x14ac:dyDescent="0.2">
      <c r="A13" s="34" t="s">
        <v>906</v>
      </c>
      <c r="B13" s="27" t="s">
        <v>861</v>
      </c>
    </row>
    <row r="14" spans="1:25" ht="50" customHeight="1" x14ac:dyDescent="0.2">
      <c r="A14" s="34" t="s">
        <v>907</v>
      </c>
      <c r="B14" s="27" t="s">
        <v>860</v>
      </c>
    </row>
    <row r="15" spans="1:25" ht="50" customHeight="1" x14ac:dyDescent="0.2">
      <c r="A15" s="34" t="s">
        <v>908</v>
      </c>
      <c r="B15" s="27" t="s">
        <v>862</v>
      </c>
    </row>
    <row r="16" spans="1:25" ht="50" customHeight="1" x14ac:dyDescent="0.2">
      <c r="A16" s="34" t="s">
        <v>909</v>
      </c>
      <c r="B16" s="27" t="s">
        <v>863</v>
      </c>
    </row>
    <row r="17" spans="1:2" ht="50" customHeight="1" x14ac:dyDescent="0.2">
      <c r="A17" s="34" t="s">
        <v>864</v>
      </c>
      <c r="B17" s="27" t="s">
        <v>898</v>
      </c>
    </row>
    <row r="18" spans="1:2" ht="50" customHeight="1" x14ac:dyDescent="0.2">
      <c r="A18" s="34" t="s">
        <v>817</v>
      </c>
      <c r="B18" s="27" t="s">
        <v>865</v>
      </c>
    </row>
    <row r="19" spans="1:2" ht="50" customHeight="1" x14ac:dyDescent="0.2">
      <c r="A19" s="34" t="s">
        <v>819</v>
      </c>
      <c r="B19" s="27" t="s">
        <v>870</v>
      </c>
    </row>
    <row r="20" spans="1:2" ht="50" customHeight="1" x14ac:dyDescent="0.2">
      <c r="A20" s="34" t="s">
        <v>884</v>
      </c>
      <c r="B20" s="27" t="s">
        <v>899</v>
      </c>
    </row>
    <row r="21" spans="1:2" ht="50" customHeight="1" x14ac:dyDescent="0.2">
      <c r="A21" s="34" t="s">
        <v>885</v>
      </c>
      <c r="B21" s="27" t="s">
        <v>871</v>
      </c>
    </row>
    <row r="22" spans="1:2" ht="50" customHeight="1" x14ac:dyDescent="0.2">
      <c r="A22" s="34" t="s">
        <v>886</v>
      </c>
      <c r="B22" s="27" t="s">
        <v>872</v>
      </c>
    </row>
    <row r="23" spans="1:2" ht="32" customHeight="1" x14ac:dyDescent="0.2">
      <c r="A23" s="34" t="s">
        <v>887</v>
      </c>
      <c r="B23" s="27" t="s">
        <v>873</v>
      </c>
    </row>
    <row r="24" spans="1:2" ht="18" x14ac:dyDescent="0.2">
      <c r="A24" s="34" t="s">
        <v>888</v>
      </c>
      <c r="B24" s="27" t="s">
        <v>874</v>
      </c>
    </row>
    <row r="25" spans="1:2" ht="32" x14ac:dyDescent="0.2">
      <c r="A25" s="34" t="s">
        <v>889</v>
      </c>
      <c r="B25" s="27" t="s">
        <v>900</v>
      </c>
    </row>
    <row r="26" spans="1:2" ht="18" x14ac:dyDescent="0.2">
      <c r="A26" s="34" t="s">
        <v>890</v>
      </c>
      <c r="B26" s="27" t="s">
        <v>901</v>
      </c>
    </row>
    <row r="27" spans="1:2" ht="32" x14ac:dyDescent="0.2">
      <c r="A27" s="34" t="s">
        <v>902</v>
      </c>
      <c r="B27" s="27" t="s">
        <v>875</v>
      </c>
    </row>
    <row r="28" spans="1:2" ht="32" x14ac:dyDescent="0.2">
      <c r="A28" s="35" t="s">
        <v>880</v>
      </c>
      <c r="B28" s="27" t="s">
        <v>893</v>
      </c>
    </row>
    <row r="29" spans="1:2" ht="32" x14ac:dyDescent="0.2">
      <c r="A29" s="35" t="s">
        <v>877</v>
      </c>
      <c r="B29" s="27" t="s">
        <v>903</v>
      </c>
    </row>
  </sheetData>
  <sheetProtection sheet="1" objects="1" scenarios="1" sort="0" autoFilter="0"/>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Master clinical dataset</vt:lpstr>
      <vt:lpstr>Legend</vt:lpstr>
    </vt:vector>
  </TitlesOfParts>
  <Company>Stanford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Villalobos</dc:creator>
  <cp:lastModifiedBy>Victor Villalobos</cp:lastModifiedBy>
  <dcterms:created xsi:type="dcterms:W3CDTF">2012-03-12T19:10:31Z</dcterms:created>
  <dcterms:modified xsi:type="dcterms:W3CDTF">2017-06-15T22:21:00Z</dcterms:modified>
</cp:coreProperties>
</file>