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filterPrivacy="1" codeName="ThisWorkbook" defaultThemeVersion="124226"/>
  <xr:revisionPtr revIDLastSave="0" documentId="13_ncr:1_{ECDA57E8-EC9E-4551-B78F-CD67BE43C80A}" xr6:coauthVersionLast="47" xr6:coauthVersionMax="47" xr10:uidLastSave="{00000000-0000-0000-0000-000000000000}"/>
  <bookViews>
    <workbookView xWindow="-120" yWindow="-120" windowWidth="29040" windowHeight="15840" tabRatio="949" activeTab="1" xr2:uid="{00000000-000D-0000-FFFF-FFFF00000000}"/>
  </bookViews>
  <sheets>
    <sheet name="Template Monthly DoR" sheetId="25" r:id="rId1"/>
    <sheet name="Spread Template Monthly DoR" sheetId="65" r:id="rId2"/>
  </sheets>
  <definedNames>
    <definedName name="_xlnm._FilterDatabase" localSheetId="1" hidden="1">'Spread Template Monthly DoR'!$A$1:$F$12804</definedName>
    <definedName name="_xlnm._FilterDatabase" localSheetId="0" hidden="1">'Template Monthly DoR'!$A$1:$G$12804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2" i="25" l="1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K64" i="25"/>
  <c r="P11" i="65" l="1"/>
  <c r="P10" i="65"/>
  <c r="S10" i="65" s="1"/>
  <c r="E1" i="65"/>
  <c r="D1" i="65"/>
  <c r="P5" i="65"/>
  <c r="P4" i="65"/>
  <c r="D3" i="65"/>
  <c r="E3" i="65"/>
  <c r="D4" i="65"/>
  <c r="E4" i="65"/>
  <c r="D5" i="65"/>
  <c r="E5" i="65"/>
  <c r="D6" i="65"/>
  <c r="E6" i="65"/>
  <c r="D7" i="65"/>
  <c r="E7" i="65"/>
  <c r="D8" i="65"/>
  <c r="E8" i="65"/>
  <c r="D9" i="65"/>
  <c r="E9" i="65"/>
  <c r="D10" i="65"/>
  <c r="E10" i="65"/>
  <c r="D11" i="65"/>
  <c r="E11" i="65"/>
  <c r="D12" i="65"/>
  <c r="E12" i="65"/>
  <c r="D13" i="65"/>
  <c r="E13" i="65"/>
  <c r="D14" i="65"/>
  <c r="E14" i="65"/>
  <c r="D15" i="65"/>
  <c r="E15" i="65"/>
  <c r="D16" i="65"/>
  <c r="E16" i="65"/>
  <c r="D17" i="65"/>
  <c r="E17" i="65"/>
  <c r="D18" i="65"/>
  <c r="E18" i="65"/>
  <c r="D19" i="65"/>
  <c r="E19" i="65"/>
  <c r="D20" i="65"/>
  <c r="E20" i="65"/>
  <c r="D21" i="65"/>
  <c r="E21" i="65"/>
  <c r="D22" i="65"/>
  <c r="E22" i="65"/>
  <c r="D23" i="65"/>
  <c r="E23" i="65"/>
  <c r="D24" i="65"/>
  <c r="E24" i="65"/>
  <c r="D25" i="65"/>
  <c r="E25" i="65"/>
  <c r="D26" i="65"/>
  <c r="E26" i="65"/>
  <c r="D27" i="65"/>
  <c r="E27" i="65"/>
  <c r="D28" i="65"/>
  <c r="E28" i="65"/>
  <c r="D29" i="65"/>
  <c r="E29" i="65"/>
  <c r="D30" i="65"/>
  <c r="E30" i="65"/>
  <c r="D31" i="65"/>
  <c r="E31" i="65"/>
  <c r="D32" i="65"/>
  <c r="E32" i="65"/>
  <c r="D33" i="65"/>
  <c r="E33" i="65"/>
  <c r="D34" i="65"/>
  <c r="E34" i="65"/>
  <c r="D35" i="65"/>
  <c r="E35" i="65"/>
  <c r="D36" i="65"/>
  <c r="E36" i="65"/>
  <c r="D37" i="65"/>
  <c r="E37" i="65"/>
  <c r="D38" i="65"/>
  <c r="E38" i="65"/>
  <c r="D39" i="65"/>
  <c r="E39" i="65"/>
  <c r="D40" i="65"/>
  <c r="E40" i="65"/>
  <c r="D41" i="65"/>
  <c r="E41" i="65"/>
  <c r="D42" i="65"/>
  <c r="E42" i="65"/>
  <c r="D43" i="65"/>
  <c r="E43" i="65"/>
  <c r="D44" i="65"/>
  <c r="E44" i="65"/>
  <c r="D45" i="65"/>
  <c r="E45" i="65"/>
  <c r="D46" i="65"/>
  <c r="E46" i="65"/>
  <c r="D47" i="65"/>
  <c r="E47" i="65"/>
  <c r="D48" i="65"/>
  <c r="E48" i="65"/>
  <c r="D49" i="65"/>
  <c r="E49" i="65"/>
  <c r="D50" i="65"/>
  <c r="E50" i="65"/>
  <c r="D51" i="65"/>
  <c r="E51" i="65"/>
  <c r="D52" i="65"/>
  <c r="E52" i="65"/>
  <c r="D53" i="65"/>
  <c r="E53" i="65"/>
  <c r="D54" i="65"/>
  <c r="E54" i="65"/>
  <c r="D55" i="65"/>
  <c r="E55" i="65"/>
  <c r="D56" i="65"/>
  <c r="E56" i="65"/>
  <c r="D57" i="65"/>
  <c r="E57" i="65"/>
  <c r="D58" i="65"/>
  <c r="E58" i="65"/>
  <c r="D59" i="65"/>
  <c r="E59" i="65"/>
  <c r="D60" i="65"/>
  <c r="E60" i="65"/>
  <c r="D61" i="65"/>
  <c r="E61" i="65"/>
  <c r="D62" i="65"/>
  <c r="E62" i="65"/>
  <c r="D63" i="65"/>
  <c r="E63" i="65"/>
  <c r="D64" i="65"/>
  <c r="E64" i="65"/>
  <c r="D65" i="65"/>
  <c r="E65" i="65"/>
  <c r="D66" i="65"/>
  <c r="E66" i="65"/>
  <c r="D67" i="65"/>
  <c r="E67" i="65"/>
  <c r="D68" i="65"/>
  <c r="E68" i="65"/>
  <c r="D69" i="65"/>
  <c r="E69" i="65"/>
  <c r="D70" i="65"/>
  <c r="E70" i="65"/>
  <c r="D71" i="65"/>
  <c r="E71" i="65"/>
  <c r="D72" i="65"/>
  <c r="E72" i="65"/>
  <c r="D73" i="65"/>
  <c r="E73" i="65"/>
  <c r="D74" i="65"/>
  <c r="E74" i="65"/>
  <c r="D75" i="65"/>
  <c r="E75" i="65"/>
  <c r="D76" i="65"/>
  <c r="E76" i="65"/>
  <c r="D77" i="65"/>
  <c r="E77" i="65"/>
  <c r="D78" i="65"/>
  <c r="E78" i="65"/>
  <c r="D79" i="65"/>
  <c r="E79" i="65"/>
  <c r="D80" i="65"/>
  <c r="E80" i="65"/>
  <c r="D81" i="65"/>
  <c r="E81" i="65"/>
  <c r="D82" i="65"/>
  <c r="E82" i="65"/>
  <c r="D83" i="65"/>
  <c r="E83" i="65"/>
  <c r="D84" i="65"/>
  <c r="E84" i="65"/>
  <c r="D85" i="65"/>
  <c r="E85" i="65"/>
  <c r="D86" i="65"/>
  <c r="E86" i="65"/>
  <c r="D87" i="65"/>
  <c r="E87" i="65"/>
  <c r="D88" i="65"/>
  <c r="E88" i="65"/>
  <c r="D89" i="65"/>
  <c r="E89" i="65"/>
  <c r="D90" i="65"/>
  <c r="E90" i="65"/>
  <c r="D91" i="65"/>
  <c r="E91" i="65"/>
  <c r="D92" i="65"/>
  <c r="E92" i="65"/>
  <c r="D93" i="65"/>
  <c r="E93" i="65"/>
  <c r="D94" i="65"/>
  <c r="E94" i="65"/>
  <c r="D95" i="65"/>
  <c r="E95" i="65"/>
  <c r="D96" i="65"/>
  <c r="E96" i="65"/>
  <c r="D97" i="65"/>
  <c r="E97" i="65"/>
  <c r="D98" i="65"/>
  <c r="E98" i="65"/>
  <c r="D99" i="65"/>
  <c r="E99" i="65"/>
  <c r="D100" i="65"/>
  <c r="E100" i="65"/>
  <c r="D101" i="65"/>
  <c r="E101" i="65"/>
  <c r="D102" i="65"/>
  <c r="E102" i="65"/>
  <c r="D103" i="65"/>
  <c r="E103" i="65"/>
  <c r="D104" i="65"/>
  <c r="E104" i="65"/>
  <c r="D105" i="65"/>
  <c r="E105" i="65"/>
  <c r="D106" i="65"/>
  <c r="E106" i="65"/>
  <c r="D107" i="65"/>
  <c r="E107" i="65"/>
  <c r="D108" i="65"/>
  <c r="E108" i="65"/>
  <c r="D109" i="65"/>
  <c r="E109" i="65"/>
  <c r="D110" i="65"/>
  <c r="E110" i="65"/>
  <c r="D111" i="65"/>
  <c r="E111" i="65"/>
  <c r="D112" i="65"/>
  <c r="E112" i="65"/>
  <c r="D113" i="65"/>
  <c r="E113" i="65"/>
  <c r="D114" i="65"/>
  <c r="E114" i="65"/>
  <c r="D115" i="65"/>
  <c r="E115" i="65"/>
  <c r="D116" i="65"/>
  <c r="E116" i="65"/>
  <c r="D117" i="65"/>
  <c r="E117" i="65"/>
  <c r="D118" i="65"/>
  <c r="E118" i="65"/>
  <c r="D119" i="65"/>
  <c r="E119" i="65"/>
  <c r="D120" i="65"/>
  <c r="E120" i="65"/>
  <c r="E2" i="65"/>
  <c r="D2" i="65"/>
  <c r="K63" i="25"/>
  <c r="F58" i="65" l="1"/>
  <c r="F116" i="65"/>
  <c r="F69" i="65"/>
  <c r="F82" i="65"/>
  <c r="F117" i="65"/>
  <c r="F106" i="65"/>
  <c r="F57" i="65"/>
  <c r="F105" i="65"/>
  <c r="F46" i="65"/>
  <c r="F104" i="65"/>
  <c r="F45" i="65"/>
  <c r="F94" i="65"/>
  <c r="F34" i="65"/>
  <c r="F93" i="65"/>
  <c r="F22" i="65"/>
  <c r="F92" i="65"/>
  <c r="F10" i="65"/>
  <c r="F11" i="65"/>
  <c r="F81" i="65"/>
  <c r="F80" i="65"/>
  <c r="F118" i="65"/>
  <c r="F70" i="65"/>
  <c r="F33" i="65"/>
  <c r="F21" i="65"/>
  <c r="F9" i="65"/>
  <c r="F68" i="65"/>
  <c r="F56" i="65"/>
  <c r="F44" i="65"/>
  <c r="F32" i="65"/>
  <c r="F20" i="65"/>
  <c r="F8" i="65"/>
  <c r="F115" i="65"/>
  <c r="F103" i="65"/>
  <c r="F91" i="65"/>
  <c r="F79" i="65"/>
  <c r="F67" i="65"/>
  <c r="F55" i="65"/>
  <c r="F43" i="65"/>
  <c r="F31" i="65"/>
  <c r="F19" i="65"/>
  <c r="F7" i="65"/>
  <c r="F114" i="65"/>
  <c r="F102" i="65"/>
  <c r="F90" i="65"/>
  <c r="F78" i="65"/>
  <c r="F66" i="65"/>
  <c r="F54" i="65"/>
  <c r="F42" i="65"/>
  <c r="F30" i="65"/>
  <c r="F18" i="65"/>
  <c r="F6" i="65"/>
  <c r="F113" i="65"/>
  <c r="F101" i="65"/>
  <c r="F89" i="65"/>
  <c r="F77" i="65"/>
  <c r="F65" i="65"/>
  <c r="F53" i="65"/>
  <c r="F41" i="65"/>
  <c r="F29" i="65"/>
  <c r="F17" i="65"/>
  <c r="F5" i="65"/>
  <c r="F112" i="65"/>
  <c r="F100" i="65"/>
  <c r="F88" i="65"/>
  <c r="F76" i="65"/>
  <c r="F64" i="65"/>
  <c r="F52" i="65"/>
  <c r="F40" i="65"/>
  <c r="F28" i="65"/>
  <c r="F16" i="65"/>
  <c r="F4" i="65"/>
  <c r="F111" i="65"/>
  <c r="F99" i="65"/>
  <c r="F87" i="65"/>
  <c r="F75" i="65"/>
  <c r="F63" i="65"/>
  <c r="F51" i="65"/>
  <c r="F39" i="65"/>
  <c r="F27" i="65"/>
  <c r="F15" i="65"/>
  <c r="F3" i="65"/>
  <c r="F110" i="65"/>
  <c r="F98" i="65"/>
  <c r="F86" i="65"/>
  <c r="F74" i="65"/>
  <c r="F62" i="65"/>
  <c r="F50" i="65"/>
  <c r="F38" i="65"/>
  <c r="F26" i="65"/>
  <c r="F14" i="65"/>
  <c r="F2" i="65"/>
  <c r="F109" i="65"/>
  <c r="F97" i="65"/>
  <c r="F85" i="65"/>
  <c r="F73" i="65"/>
  <c r="F61" i="65"/>
  <c r="F49" i="65"/>
  <c r="F37" i="65"/>
  <c r="F25" i="65"/>
  <c r="F13" i="65"/>
  <c r="F120" i="65"/>
  <c r="F108" i="65"/>
  <c r="F96" i="65"/>
  <c r="F84" i="65"/>
  <c r="F72" i="65"/>
  <c r="F60" i="65"/>
  <c r="F48" i="65"/>
  <c r="F36" i="65"/>
  <c r="F24" i="65"/>
  <c r="F12" i="65"/>
  <c r="F119" i="65"/>
  <c r="F107" i="65"/>
  <c r="F95" i="65"/>
  <c r="F83" i="65"/>
  <c r="F71" i="65"/>
  <c r="F59" i="65"/>
  <c r="F47" i="65"/>
  <c r="F35" i="65"/>
  <c r="F23" i="65"/>
  <c r="H121" i="25" l="1"/>
  <c r="G120" i="25"/>
  <c r="R4" i="25" l="1"/>
  <c r="T4" i="25" s="1"/>
  <c r="H120" i="25" l="1"/>
  <c r="H119" i="25"/>
  <c r="G119" i="25"/>
  <c r="H118" i="25"/>
  <c r="G118" i="25"/>
  <c r="H117" i="25"/>
  <c r="G117" i="25"/>
  <c r="H116" i="25"/>
  <c r="G116" i="25"/>
  <c r="H115" i="25"/>
  <c r="G115" i="25"/>
  <c r="H114" i="25"/>
  <c r="G114" i="25"/>
  <c r="H113" i="25"/>
  <c r="G113" i="25"/>
  <c r="H112" i="25"/>
  <c r="G112" i="25"/>
  <c r="H111" i="25"/>
  <c r="G111" i="25"/>
  <c r="H110" i="25"/>
  <c r="G110" i="25"/>
  <c r="H109" i="25"/>
  <c r="G109" i="25"/>
  <c r="H108" i="25"/>
  <c r="G108" i="25"/>
  <c r="H107" i="25"/>
  <c r="G107" i="25"/>
  <c r="H106" i="25"/>
  <c r="G106" i="25"/>
  <c r="H105" i="25"/>
  <c r="G105" i="25"/>
  <c r="H104" i="25"/>
  <c r="G104" i="25"/>
  <c r="H103" i="25"/>
  <c r="G103" i="25"/>
  <c r="H102" i="25"/>
  <c r="G102" i="25"/>
  <c r="H101" i="25"/>
  <c r="G101" i="25"/>
  <c r="H100" i="25"/>
  <c r="G100" i="25"/>
  <c r="H99" i="25"/>
  <c r="G99" i="25"/>
  <c r="H98" i="25"/>
  <c r="G98" i="25"/>
  <c r="H97" i="25"/>
  <c r="G97" i="25"/>
  <c r="H96" i="25"/>
  <c r="G96" i="25"/>
  <c r="H95" i="25"/>
  <c r="G95" i="25"/>
  <c r="H94" i="25"/>
  <c r="G94" i="25"/>
  <c r="H93" i="25"/>
  <c r="G93" i="25"/>
  <c r="H92" i="25"/>
  <c r="G92" i="25"/>
  <c r="H91" i="25"/>
  <c r="G91" i="25"/>
  <c r="H90" i="25"/>
  <c r="G90" i="25"/>
  <c r="H89" i="25"/>
  <c r="G89" i="25"/>
  <c r="H88" i="25"/>
  <c r="G88" i="25"/>
  <c r="H87" i="25"/>
  <c r="G87" i="25"/>
  <c r="H86" i="25"/>
  <c r="G86" i="25"/>
  <c r="H85" i="25"/>
  <c r="G85" i="25"/>
  <c r="H84" i="25"/>
  <c r="G84" i="25"/>
  <c r="H83" i="25"/>
  <c r="G83" i="25"/>
  <c r="H82" i="25"/>
  <c r="G82" i="25"/>
  <c r="H81" i="25"/>
  <c r="G81" i="25"/>
  <c r="H80" i="25"/>
  <c r="G80" i="25"/>
  <c r="H79" i="25"/>
  <c r="G79" i="25"/>
  <c r="H78" i="25"/>
  <c r="G78" i="25"/>
  <c r="H77" i="25"/>
  <c r="G77" i="25"/>
  <c r="H76" i="25"/>
  <c r="G76" i="25"/>
  <c r="H75" i="25"/>
  <c r="G75" i="25"/>
  <c r="H74" i="25"/>
  <c r="G74" i="25"/>
  <c r="H73" i="25"/>
  <c r="G73" i="25"/>
  <c r="H72" i="25"/>
  <c r="G72" i="25"/>
  <c r="H71" i="25"/>
  <c r="G71" i="25"/>
  <c r="H70" i="25"/>
  <c r="G70" i="25"/>
  <c r="H69" i="25"/>
  <c r="G69" i="25"/>
  <c r="H68" i="25"/>
  <c r="G68" i="25"/>
  <c r="H67" i="25"/>
  <c r="G67" i="25"/>
  <c r="H66" i="25"/>
  <c r="G66" i="25"/>
  <c r="H65" i="25"/>
  <c r="G65" i="25"/>
  <c r="H64" i="25"/>
  <c r="G64" i="25"/>
  <c r="H63" i="25"/>
  <c r="G63" i="25"/>
  <c r="H62" i="25"/>
  <c r="G62" i="25"/>
  <c r="H61" i="25"/>
  <c r="G61" i="25"/>
  <c r="H60" i="25"/>
  <c r="G60" i="25"/>
  <c r="H59" i="25"/>
  <c r="G59" i="25"/>
  <c r="H58" i="25"/>
  <c r="G58" i="25"/>
  <c r="H57" i="25"/>
  <c r="G57" i="25"/>
  <c r="H56" i="25"/>
  <c r="G56" i="25"/>
  <c r="H55" i="25"/>
  <c r="G55" i="25"/>
  <c r="H54" i="25"/>
  <c r="G54" i="25"/>
  <c r="H53" i="25"/>
  <c r="G53" i="25"/>
  <c r="H52" i="25"/>
  <c r="G52" i="25"/>
  <c r="H51" i="25"/>
  <c r="G51" i="25"/>
  <c r="H50" i="25"/>
  <c r="G50" i="25"/>
  <c r="H49" i="25"/>
  <c r="G49" i="25"/>
  <c r="H48" i="25"/>
  <c r="G48" i="25"/>
  <c r="H47" i="25"/>
  <c r="G47" i="25"/>
  <c r="H46" i="25"/>
  <c r="G46" i="25"/>
  <c r="H45" i="25"/>
  <c r="G45" i="25"/>
  <c r="H44" i="25"/>
  <c r="G44" i="25"/>
  <c r="H43" i="25"/>
  <c r="G43" i="25"/>
  <c r="H42" i="25"/>
  <c r="G42" i="25"/>
  <c r="H41" i="25"/>
  <c r="G41" i="25"/>
  <c r="H40" i="25"/>
  <c r="G40" i="25"/>
  <c r="H39" i="25"/>
  <c r="G39" i="25"/>
  <c r="H38" i="25"/>
  <c r="G38" i="25"/>
  <c r="H37" i="25"/>
  <c r="G37" i="25"/>
  <c r="H36" i="25"/>
  <c r="G36" i="25"/>
  <c r="H35" i="25"/>
  <c r="G35" i="25"/>
  <c r="H34" i="25"/>
  <c r="G34" i="25"/>
  <c r="H33" i="25"/>
  <c r="G33" i="25"/>
  <c r="H32" i="25"/>
  <c r="G32" i="25"/>
  <c r="H31" i="25"/>
  <c r="G31" i="25"/>
  <c r="H30" i="25"/>
  <c r="G30" i="25"/>
  <c r="H29" i="25"/>
  <c r="G29" i="25"/>
  <c r="H28" i="25"/>
  <c r="G28" i="25"/>
  <c r="H27" i="25"/>
  <c r="G27" i="25"/>
  <c r="H26" i="25"/>
  <c r="G26" i="25"/>
  <c r="H25" i="25"/>
  <c r="G25" i="25"/>
  <c r="H24" i="25"/>
  <c r="G24" i="25"/>
  <c r="H23" i="25"/>
  <c r="G23" i="25"/>
  <c r="H22" i="25"/>
  <c r="G22" i="25"/>
  <c r="H21" i="25"/>
  <c r="G21" i="25"/>
  <c r="H20" i="25"/>
  <c r="G20" i="25"/>
  <c r="H19" i="25"/>
  <c r="G19" i="25"/>
  <c r="H18" i="25"/>
  <c r="G18" i="25"/>
  <c r="H17" i="25"/>
  <c r="G17" i="25"/>
  <c r="H16" i="25"/>
  <c r="G16" i="25"/>
  <c r="H15" i="25"/>
  <c r="G15" i="25"/>
  <c r="H14" i="25"/>
  <c r="G14" i="25"/>
  <c r="H13" i="25"/>
  <c r="G13" i="25"/>
  <c r="H12" i="25"/>
  <c r="G12" i="25"/>
  <c r="H11" i="25"/>
  <c r="G11" i="25"/>
  <c r="H10" i="25"/>
  <c r="G10" i="25"/>
  <c r="H9" i="25"/>
  <c r="G9" i="25"/>
  <c r="H8" i="25"/>
  <c r="G8" i="25"/>
  <c r="H7" i="25"/>
  <c r="G7" i="25"/>
  <c r="H6" i="25"/>
  <c r="G6" i="25"/>
  <c r="H5" i="25"/>
  <c r="G5" i="25"/>
  <c r="H4" i="25"/>
  <c r="G4" i="25"/>
  <c r="H3" i="25"/>
  <c r="G3" i="25"/>
  <c r="H2" i="25"/>
  <c r="G2" i="25"/>
  <c r="K22" i="25" l="1"/>
  <c r="V53" i="25"/>
  <c r="T54" i="25"/>
  <c r="R57" i="25"/>
  <c r="V52" i="25"/>
  <c r="T53" i="25"/>
  <c r="R56" i="25"/>
  <c r="R44" i="25"/>
  <c r="T52" i="25"/>
  <c r="V51" i="25"/>
  <c r="V50" i="25"/>
  <c r="T51" i="25"/>
  <c r="R54" i="25"/>
  <c r="V49" i="25"/>
  <c r="T50" i="25"/>
  <c r="R53" i="25"/>
  <c r="V48" i="25"/>
  <c r="T49" i="25"/>
  <c r="R52" i="25"/>
  <c r="V47" i="25"/>
  <c r="T48" i="25"/>
  <c r="R51" i="25"/>
  <c r="R43" i="25"/>
  <c r="V46" i="25"/>
  <c r="T47" i="25"/>
  <c r="R50" i="25"/>
  <c r="V57" i="25"/>
  <c r="V45" i="25"/>
  <c r="T46" i="25"/>
  <c r="R49" i="25"/>
  <c r="R55" i="25"/>
  <c r="V56" i="25"/>
  <c r="V44" i="25"/>
  <c r="T45" i="25"/>
  <c r="R48" i="25"/>
  <c r="V55" i="25"/>
  <c r="V43" i="25"/>
  <c r="T44" i="25"/>
  <c r="R47" i="25"/>
  <c r="V54" i="25"/>
  <c r="T55" i="25"/>
  <c r="T43" i="25"/>
  <c r="R46" i="25"/>
  <c r="R45" i="25"/>
  <c r="O54" i="25"/>
  <c r="M51" i="25"/>
  <c r="O56" i="25"/>
  <c r="O55" i="25"/>
  <c r="M52" i="25"/>
  <c r="K52" i="25"/>
  <c r="O45" i="25"/>
  <c r="O57" i="25"/>
  <c r="M54" i="25"/>
  <c r="K54" i="25"/>
  <c r="K56" i="25"/>
  <c r="M46" i="25"/>
  <c r="O46" i="25"/>
  <c r="O44" i="25"/>
  <c r="M55" i="25"/>
  <c r="K55" i="25"/>
  <c r="M44" i="25"/>
  <c r="K57" i="25"/>
  <c r="O43" i="25"/>
  <c r="O47" i="25"/>
  <c r="M43" i="25"/>
  <c r="K46" i="25"/>
  <c r="O48" i="25"/>
  <c r="M45" i="25"/>
  <c r="K45" i="25"/>
  <c r="K44" i="25"/>
  <c r="O49" i="25"/>
  <c r="O50" i="25"/>
  <c r="M47" i="25"/>
  <c r="K47" i="25"/>
  <c r="K43" i="25"/>
  <c r="O51" i="25"/>
  <c r="M48" i="25"/>
  <c r="K48" i="25"/>
  <c r="O52" i="25"/>
  <c r="K49" i="25"/>
  <c r="M53" i="25"/>
  <c r="M49" i="25"/>
  <c r="K53" i="25"/>
  <c r="O53" i="25"/>
  <c r="M50" i="25"/>
  <c r="K50" i="25"/>
  <c r="K51" i="25"/>
  <c r="K29" i="25"/>
  <c r="K21" i="25"/>
  <c r="K25" i="25"/>
  <c r="L35" i="25"/>
  <c r="K35" i="25"/>
  <c r="L34" i="25"/>
  <c r="L36" i="25"/>
  <c r="K19" i="25"/>
  <c r="K23" i="25"/>
  <c r="K31" i="25"/>
  <c r="S36" i="25"/>
  <c r="R31" i="25"/>
  <c r="R30" i="25"/>
  <c r="R29" i="25"/>
  <c r="R28" i="25"/>
  <c r="R26" i="25"/>
  <c r="R25" i="25"/>
  <c r="R24" i="25"/>
  <c r="R23" i="25"/>
  <c r="R22" i="25"/>
  <c r="S34" i="25"/>
  <c r="T34" i="25" s="1"/>
  <c r="S4" i="25"/>
  <c r="R34" i="25"/>
  <c r="R21" i="25"/>
  <c r="R20" i="25"/>
  <c r="R19" i="25"/>
  <c r="K20" i="25"/>
  <c r="K24" i="25"/>
  <c r="K28" i="25"/>
  <c r="K34" i="25"/>
  <c r="K26" i="25"/>
  <c r="K30" i="25"/>
  <c r="U4" i="25" l="1"/>
  <c r="V4" i="25" s="1"/>
  <c r="K27" i="25"/>
  <c r="Q13" i="25"/>
  <c r="Q5" i="25"/>
  <c r="Q9" i="25"/>
  <c r="Q12" i="25"/>
  <c r="Q14" i="25"/>
  <c r="Q11" i="25"/>
  <c r="Q10" i="25"/>
  <c r="Q8" i="25"/>
  <c r="Q7" i="25"/>
  <c r="Q6" i="25"/>
  <c r="J8" i="25"/>
  <c r="J7" i="25"/>
  <c r="J9" i="25"/>
  <c r="J14" i="25"/>
  <c r="J12" i="25"/>
  <c r="J11" i="25"/>
  <c r="J5" i="25"/>
  <c r="J13" i="25"/>
  <c r="J6" i="25"/>
  <c r="J10" i="25"/>
  <c r="J4" i="25"/>
  <c r="R27" i="25"/>
  <c r="U34" i="25"/>
  <c r="M34" i="25"/>
  <c r="N34" i="25" s="1"/>
  <c r="T36" i="25"/>
  <c r="U36" i="25" s="1"/>
  <c r="L40" i="25"/>
  <c r="K40" i="25"/>
  <c r="L41" i="25"/>
  <c r="L39" i="25"/>
  <c r="K41" i="25"/>
  <c r="K39" i="25"/>
  <c r="M35" i="25"/>
  <c r="N35" i="25" s="1"/>
  <c r="S40" i="25"/>
  <c r="R40" i="25"/>
  <c r="S41" i="25"/>
  <c r="S39" i="25"/>
  <c r="R41" i="25"/>
  <c r="R39" i="25"/>
  <c r="M36" i="25"/>
  <c r="N36" i="25" s="1"/>
  <c r="T41" i="25" l="1"/>
  <c r="U41" i="25" s="1"/>
  <c r="K9" i="25"/>
  <c r="M10" i="25"/>
  <c r="L9" i="25"/>
  <c r="N9" i="25" s="1"/>
  <c r="T14" i="25"/>
  <c r="R13" i="25"/>
  <c r="S13" i="25"/>
  <c r="U13" i="25" s="1"/>
  <c r="M41" i="25"/>
  <c r="N41" i="25" s="1"/>
  <c r="K7" i="25"/>
  <c r="M8" i="25"/>
  <c r="L7" i="25"/>
  <c r="N7" i="25" s="1"/>
  <c r="K8" i="25"/>
  <c r="M9" i="25"/>
  <c r="L8" i="25"/>
  <c r="N8" i="25" s="1"/>
  <c r="T7" i="25"/>
  <c r="R6" i="25"/>
  <c r="S6" i="25"/>
  <c r="U6" i="25" s="1"/>
  <c r="M5" i="25"/>
  <c r="M4" i="25"/>
  <c r="K4" i="25"/>
  <c r="L4" i="25"/>
  <c r="N4" i="25" s="1"/>
  <c r="O4" i="25" s="1"/>
  <c r="R7" i="25"/>
  <c r="T8" i="25"/>
  <c r="S7" i="25"/>
  <c r="U7" i="25" s="1"/>
  <c r="M14" i="25"/>
  <c r="K13" i="25"/>
  <c r="L13" i="25"/>
  <c r="N13" i="25" s="1"/>
  <c r="T12" i="25"/>
  <c r="R11" i="25"/>
  <c r="S11" i="25"/>
  <c r="U11" i="25" s="1"/>
  <c r="K10" i="25"/>
  <c r="M11" i="25"/>
  <c r="L10" i="25"/>
  <c r="N10" i="25" s="1"/>
  <c r="K6" i="25"/>
  <c r="M7" i="25"/>
  <c r="L6" i="25"/>
  <c r="N6" i="25" s="1"/>
  <c r="R10" i="25"/>
  <c r="T11" i="25"/>
  <c r="S10" i="25"/>
  <c r="U10" i="25" s="1"/>
  <c r="K5" i="25"/>
  <c r="M6" i="25"/>
  <c r="L5" i="25"/>
  <c r="N5" i="25" s="1"/>
  <c r="O5" i="25" s="1"/>
  <c r="R14" i="25"/>
  <c r="T15" i="25"/>
  <c r="S15" i="25"/>
  <c r="U15" i="25" s="1"/>
  <c r="S14" i="25"/>
  <c r="U14" i="25" s="1"/>
  <c r="R8" i="25"/>
  <c r="T9" i="25"/>
  <c r="S8" i="25"/>
  <c r="U8" i="25" s="1"/>
  <c r="K11" i="25"/>
  <c r="M12" i="25"/>
  <c r="L11" i="25"/>
  <c r="N11" i="25" s="1"/>
  <c r="T13" i="25"/>
  <c r="R12" i="25"/>
  <c r="S12" i="25"/>
  <c r="U12" i="25" s="1"/>
  <c r="M13" i="25"/>
  <c r="K12" i="25"/>
  <c r="L12" i="25"/>
  <c r="N12" i="25" s="1"/>
  <c r="R9" i="25"/>
  <c r="T10" i="25"/>
  <c r="S9" i="25"/>
  <c r="U9" i="25" s="1"/>
  <c r="M15" i="25"/>
  <c r="K14" i="25"/>
  <c r="L15" i="25"/>
  <c r="N15" i="25" s="1"/>
  <c r="L14" i="25"/>
  <c r="N14" i="25" s="1"/>
  <c r="R5" i="25"/>
  <c r="T6" i="25"/>
  <c r="T5" i="25"/>
  <c r="S5" i="25"/>
  <c r="U5" i="25" s="1"/>
  <c r="V5" i="25" s="1"/>
  <c r="V6" i="25" s="1"/>
  <c r="T39" i="25"/>
  <c r="U39" i="25" s="1"/>
  <c r="T40" i="25"/>
  <c r="U40" i="25" s="1"/>
  <c r="M39" i="25"/>
  <c r="N39" i="25" s="1"/>
  <c r="M40" i="25"/>
  <c r="N40" i="25" s="1"/>
  <c r="V7" i="25" l="1"/>
  <c r="V8" i="25" s="1"/>
  <c r="V9" i="25" s="1"/>
  <c r="V10" i="25" s="1"/>
  <c r="V11" i="25" s="1"/>
  <c r="V12" i="25" s="1"/>
  <c r="V13" i="25" s="1"/>
  <c r="V14" i="25" s="1"/>
  <c r="V15" i="25" s="1"/>
  <c r="O6" i="25"/>
  <c r="O7" i="25" s="1"/>
  <c r="O8" i="25" s="1"/>
  <c r="O9" i="25" s="1"/>
  <c r="O10" i="25" s="1"/>
  <c r="O11" i="25" s="1"/>
  <c r="O12" i="25" s="1"/>
  <c r="O13" i="25" s="1"/>
  <c r="O14" i="25" s="1"/>
  <c r="O15" i="25" s="1"/>
  <c r="K46" i="65" l="1"/>
  <c r="J34" i="65"/>
  <c r="K49" i="65"/>
  <c r="I44" i="65"/>
  <c r="M45" i="65"/>
  <c r="M56" i="65"/>
  <c r="M54" i="65"/>
  <c r="M47" i="65"/>
  <c r="M46" i="65"/>
  <c r="K48" i="65"/>
  <c r="I23" i="65"/>
  <c r="K43" i="65"/>
  <c r="M50" i="65"/>
  <c r="I30" i="65"/>
  <c r="I28" i="65"/>
  <c r="I52" i="65"/>
  <c r="M44" i="65"/>
  <c r="I57" i="65"/>
  <c r="M55" i="65"/>
  <c r="I21" i="65"/>
  <c r="I26" i="65"/>
  <c r="K50" i="65"/>
  <c r="I49" i="65"/>
  <c r="K54" i="65"/>
  <c r="I46" i="65"/>
  <c r="I24" i="65"/>
  <c r="I45" i="65"/>
  <c r="J35" i="65"/>
  <c r="K51" i="65"/>
  <c r="M43" i="65"/>
  <c r="I51" i="65"/>
  <c r="I48" i="65"/>
  <c r="I54" i="65"/>
  <c r="M49" i="65"/>
  <c r="I20" i="65"/>
  <c r="K45" i="65"/>
  <c r="M48" i="65"/>
  <c r="K44" i="65"/>
  <c r="I34" i="65"/>
  <c r="I29" i="65"/>
  <c r="K52" i="65"/>
  <c r="I53" i="65"/>
  <c r="M51" i="65"/>
  <c r="M53" i="65"/>
  <c r="M52" i="65"/>
  <c r="I55" i="65"/>
  <c r="I56" i="65"/>
  <c r="K53" i="65"/>
  <c r="I47" i="65"/>
  <c r="M57" i="65"/>
  <c r="K55" i="65"/>
  <c r="I22" i="65"/>
  <c r="I50" i="65"/>
  <c r="I31" i="65"/>
  <c r="I25" i="65"/>
  <c r="K47" i="65"/>
  <c r="I19" i="65"/>
  <c r="I43" i="65"/>
  <c r="I35" i="65"/>
  <c r="J36" i="65"/>
  <c r="I27" i="65" l="1"/>
  <c r="K35" i="65"/>
  <c r="L35" i="65" s="1"/>
  <c r="H13" i="65"/>
  <c r="H7" i="65"/>
  <c r="H11" i="65"/>
  <c r="J40" i="65"/>
  <c r="I41" i="65"/>
  <c r="K41" i="65" s="1"/>
  <c r="L41" i="65" s="1"/>
  <c r="H4" i="65"/>
  <c r="H9" i="65"/>
  <c r="H6" i="65"/>
  <c r="H12" i="65"/>
  <c r="I40" i="65"/>
  <c r="K40" i="65" s="1"/>
  <c r="L40" i="65" s="1"/>
  <c r="J39" i="65"/>
  <c r="H10" i="65"/>
  <c r="I39" i="65"/>
  <c r="J41" i="65"/>
  <c r="H14" i="65"/>
  <c r="H8" i="65"/>
  <c r="H5" i="65"/>
  <c r="K36" i="65"/>
  <c r="L36" i="65" s="1"/>
  <c r="K34" i="65"/>
  <c r="L34" i="65" s="1"/>
  <c r="I10" i="65" l="1"/>
  <c r="K11" i="65"/>
  <c r="J10" i="65"/>
  <c r="L10" i="65" s="1"/>
  <c r="K10" i="65"/>
  <c r="I9" i="65"/>
  <c r="J9" i="65"/>
  <c r="L9" i="65" s="1"/>
  <c r="K5" i="65"/>
  <c r="J4" i="65"/>
  <c r="L4" i="65" s="1"/>
  <c r="M4" i="65" s="1"/>
  <c r="K4" i="65"/>
  <c r="I4" i="65"/>
  <c r="I5" i="65"/>
  <c r="J5" i="65"/>
  <c r="L5" i="65" s="1"/>
  <c r="K6" i="65"/>
  <c r="J8" i="65"/>
  <c r="L8" i="65" s="1"/>
  <c r="I8" i="65"/>
  <c r="K9" i="65"/>
  <c r="J12" i="65"/>
  <c r="L12" i="65" s="1"/>
  <c r="K13" i="65"/>
  <c r="I12" i="65"/>
  <c r="I14" i="65"/>
  <c r="K15" i="65"/>
  <c r="J14" i="65"/>
  <c r="L14" i="65" s="1"/>
  <c r="J15" i="65"/>
  <c r="L15" i="65" s="1"/>
  <c r="J11" i="65"/>
  <c r="L11" i="65" s="1"/>
  <c r="K12" i="65"/>
  <c r="I11" i="65"/>
  <c r="I6" i="65"/>
  <c r="J6" i="65"/>
  <c r="L6" i="65" s="1"/>
  <c r="K7" i="65"/>
  <c r="J7" i="65"/>
  <c r="L7" i="65" s="1"/>
  <c r="I7" i="65"/>
  <c r="K8" i="65"/>
  <c r="K39" i="65"/>
  <c r="L39" i="65" s="1"/>
  <c r="I13" i="65"/>
  <c r="K14" i="65"/>
  <c r="J13" i="65"/>
  <c r="L13" i="65" s="1"/>
  <c r="M5" i="65" l="1"/>
  <c r="M6" i="65" s="1"/>
  <c r="M7" i="65" s="1"/>
  <c r="M8" i="65" s="1"/>
  <c r="M9" i="65" s="1"/>
  <c r="M10" i="65" s="1"/>
  <c r="M11" i="65" s="1"/>
  <c r="M12" i="65" s="1"/>
  <c r="M13" i="65" s="1"/>
  <c r="M14" i="65" s="1"/>
  <c r="M15" i="65" s="1"/>
</calcChain>
</file>

<file path=xl/sharedStrings.xml><?xml version="1.0" encoding="utf-8"?>
<sst xmlns="http://schemas.openxmlformats.org/spreadsheetml/2006/main" count="133" uniqueCount="57">
  <si>
    <t>Date</t>
  </si>
  <si>
    <t>Open</t>
  </si>
  <si>
    <t>High</t>
  </si>
  <si>
    <t>Low</t>
  </si>
  <si>
    <t>Close</t>
  </si>
  <si>
    <t>Adj Close</t>
  </si>
  <si>
    <t>Intervals</t>
  </si>
  <si>
    <t>Bin</t>
  </si>
  <si>
    <t>Frequency</t>
  </si>
  <si>
    <t>Range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</si>
  <si>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</si>
  <si>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</si>
  <si>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</si>
  <si>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</si>
  <si>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</si>
  <si>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</si>
  <si>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</si>
  <si>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</si>
  <si>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</si>
  <si>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</si>
  <si>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</si>
  <si>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</si>
  <si>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</si>
  <si>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Probability</t>
  </si>
  <si>
    <t>Cumulative Percentage</t>
  </si>
  <si>
    <t>Std Dev</t>
  </si>
  <si>
    <t>Positive Data Points</t>
  </si>
  <si>
    <t>Negative Data Points</t>
  </si>
  <si>
    <t>Frequency %</t>
  </si>
  <si>
    <t>Average Returns</t>
  </si>
  <si>
    <t>Frequency Adjusted Return</t>
  </si>
  <si>
    <t>Zero</t>
  </si>
  <si>
    <t>Upper Bound</t>
  </si>
  <si>
    <t>Lower Bound</t>
  </si>
  <si>
    <t>Actual Count</t>
  </si>
  <si>
    <t>Actual % Count</t>
  </si>
  <si>
    <t>Normal % Count</t>
  </si>
  <si>
    <t>Descriptive Statistics</t>
  </si>
  <si>
    <t>C-C Returns</t>
  </si>
  <si>
    <t>H-L Returns</t>
  </si>
  <si>
    <t>Adjusted Close to Adjusted Close Monthly Returns</t>
  </si>
  <si>
    <t>High to Low Monthly Returns</t>
  </si>
  <si>
    <t>Percentiles</t>
  </si>
  <si>
    <t>Current Price</t>
  </si>
  <si>
    <t>Stop %</t>
  </si>
  <si>
    <t>Target %</t>
  </si>
  <si>
    <t>Stop Price</t>
  </si>
  <si>
    <t>Target Price</t>
  </si>
  <si>
    <t>ZNGA</t>
  </si>
  <si>
    <t>ALGN</t>
  </si>
  <si>
    <t>Spread Returns</t>
  </si>
  <si>
    <t>Long Weight</t>
  </si>
  <si>
    <t>Short Weight</t>
  </si>
  <si>
    <t>Long Gross Exposure</t>
  </si>
  <si>
    <t>Short Gross Exposure</t>
  </si>
  <si>
    <t>$ Stop Loss</t>
  </si>
  <si>
    <t>$ Target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</si>
</sst>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"/>
    <numFmt numFmtId="166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797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165" fontId="16" fillId="0" borderId="0" xfId="0" applyNumberFormat="1" applyFont="1" applyAlignment="1">
      <alignment horizontal="center"/>
    </xf>
    <xf numFmtId="164" fontId="16" fillId="0" borderId="0" xfId="0" applyNumberFormat="1" applyFont="1"/>
    <xf numFmtId="0" fontId="0" fillId="34" borderId="29" xfId="0" applyFill="1" applyBorder="1"/>
    <xf numFmtId="165" fontId="0" fillId="0" borderId="0" xfId="0" applyNumberFormat="1"/>
    <xf numFmtId="164" fontId="0" fillId="0" borderId="0" xfId="0" applyNumberFormat="1"/>
    <xf numFmtId="0" fontId="19" fillId="36" borderId="30" xfId="0" applyFont="1" applyFill="1" applyBorder="1"/>
    <xf numFmtId="0" fontId="19" fillId="36" borderId="10" xfId="0" applyFont="1" applyFill="1" applyBorder="1"/>
    <xf numFmtId="0" fontId="19" fillId="36" borderId="31" xfId="0" applyFont="1" applyFill="1" applyBorder="1"/>
    <xf numFmtId="0" fontId="0" fillId="34" borderId="32" xfId="0" applyFill="1" applyBorder="1"/>
    <xf numFmtId="0" fontId="19" fillId="36" borderId="21" xfId="0" applyFont="1" applyFill="1" applyBorder="1"/>
    <xf numFmtId="0" fontId="20" fillId="36" borderId="24" xfId="0" applyFont="1" applyFill="1" applyBorder="1" applyAlignment="1">
      <alignment horizontal="center"/>
    </xf>
    <xf numFmtId="0" fontId="19" fillId="36" borderId="22" xfId="0" applyFont="1" applyFill="1" applyBorder="1"/>
    <xf numFmtId="0" fontId="19" fillId="36" borderId="23" xfId="0" applyFont="1" applyFill="1" applyBorder="1"/>
    <xf numFmtId="0" fontId="19" fillId="36" borderId="13" xfId="0" applyFont="1" applyFill="1" applyBorder="1"/>
    <xf numFmtId="10" fontId="19" fillId="36" borderId="13" xfId="0" applyNumberFormat="1" applyFont="1" applyFill="1" applyBorder="1"/>
    <xf numFmtId="10" fontId="19" fillId="36" borderId="14" xfId="0" applyNumberFormat="1" applyFont="1" applyFill="1" applyBorder="1"/>
    <xf numFmtId="10" fontId="0" fillId="34" borderId="32" xfId="0" applyNumberFormat="1" applyFill="1" applyBorder="1"/>
    <xf numFmtId="0" fontId="19" fillId="36" borderId="12" xfId="0" applyFont="1" applyFill="1" applyBorder="1"/>
    <xf numFmtId="10" fontId="19" fillId="36" borderId="12" xfId="0" applyNumberFormat="1" applyFont="1" applyFill="1" applyBorder="1"/>
    <xf numFmtId="10" fontId="19" fillId="36" borderId="15" xfId="0" applyNumberFormat="1" applyFont="1" applyFill="1" applyBorder="1"/>
    <xf numFmtId="0" fontId="19" fillId="36" borderId="19" xfId="0" applyFont="1" applyFill="1" applyBorder="1"/>
    <xf numFmtId="0" fontId="19" fillId="36" borderId="16" xfId="0" applyFont="1" applyFill="1" applyBorder="1"/>
    <xf numFmtId="10" fontId="19" fillId="36" borderId="16" xfId="0" applyNumberFormat="1" applyFont="1" applyFill="1" applyBorder="1"/>
    <xf numFmtId="10" fontId="19" fillId="36" borderId="17" xfId="0" applyNumberFormat="1" applyFont="1" applyFill="1" applyBorder="1"/>
    <xf numFmtId="0" fontId="19" fillId="36" borderId="33" xfId="0" applyFont="1" applyFill="1" applyBorder="1"/>
    <xf numFmtId="0" fontId="19" fillId="36" borderId="0" xfId="0" applyFont="1" applyFill="1"/>
    <xf numFmtId="0" fontId="19" fillId="36" borderId="34" xfId="0" applyFont="1" applyFill="1" applyBorder="1"/>
    <xf numFmtId="0" fontId="20" fillId="36" borderId="35" xfId="0" applyFont="1" applyFill="1" applyBorder="1" applyAlignment="1">
      <alignment horizontal="centerContinuous"/>
    </xf>
    <xf numFmtId="0" fontId="20" fillId="36" borderId="11" xfId="0" applyFont="1" applyFill="1" applyBorder="1" applyAlignment="1">
      <alignment horizontal="centerContinuous"/>
    </xf>
    <xf numFmtId="164" fontId="19" fillId="36" borderId="0" xfId="0" applyNumberFormat="1" applyFont="1" applyFill="1"/>
    <xf numFmtId="49" fontId="19" fillId="36" borderId="0" xfId="0" applyNumberFormat="1" applyFont="1" applyFill="1"/>
    <xf numFmtId="2" fontId="19" fillId="36" borderId="0" xfId="0" applyNumberFormat="1" applyFont="1" applyFill="1"/>
    <xf numFmtId="0" fontId="19" fillId="36" borderId="20" xfId="0" applyFont="1" applyFill="1" applyBorder="1"/>
    <xf numFmtId="0" fontId="21" fillId="36" borderId="13" xfId="0" applyFont="1" applyFill="1" applyBorder="1"/>
    <xf numFmtId="0" fontId="21" fillId="36" borderId="14" xfId="0" applyFont="1" applyFill="1" applyBorder="1"/>
    <xf numFmtId="0" fontId="21" fillId="36" borderId="18" xfId="0" applyFont="1" applyFill="1" applyBorder="1"/>
    <xf numFmtId="0" fontId="21" fillId="36" borderId="19" xfId="0" applyFont="1" applyFill="1" applyBorder="1"/>
    <xf numFmtId="0" fontId="21" fillId="36" borderId="20" xfId="0" applyFont="1" applyFill="1" applyBorder="1"/>
    <xf numFmtId="0" fontId="19" fillId="36" borderId="18" xfId="0" applyFont="1" applyFill="1" applyBorder="1"/>
    <xf numFmtId="0" fontId="0" fillId="34" borderId="36" xfId="0" applyFill="1" applyBorder="1"/>
    <xf numFmtId="0" fontId="19" fillId="0" borderId="0" xfId="0" applyFont="1"/>
    <xf numFmtId="0" fontId="19" fillId="36" borderId="25" xfId="0" applyFont="1" applyFill="1" applyBorder="1"/>
    <xf numFmtId="10" fontId="19" fillId="36" borderId="37" xfId="0" applyNumberFormat="1" applyFont="1" applyFill="1" applyBorder="1"/>
    <xf numFmtId="0" fontId="19" fillId="36" borderId="12" xfId="0" quotePrefix="1" applyFont="1" applyFill="1" applyBorder="1"/>
    <xf numFmtId="15" fontId="16" fillId="0" borderId="0" xfId="0" applyNumberFormat="1" applyFont="1" applyAlignment="1">
      <alignment horizontal="center"/>
    </xf>
    <xf numFmtId="15" fontId="0" fillId="0" borderId="0" xfId="0" applyNumberFormat="1"/>
    <xf numFmtId="166" fontId="19" fillId="36" borderId="20" xfId="0" applyNumberFormat="1" applyFont="1" applyFill="1" applyBorder="1"/>
    <xf numFmtId="166" fontId="19" fillId="36" borderId="18" xfId="0" applyNumberFormat="1" applyFont="1" applyFill="1" applyBorder="1"/>
    <xf numFmtId="166" fontId="19" fillId="36" borderId="13" xfId="0" applyNumberFormat="1" applyFont="1" applyFill="1" applyBorder="1"/>
    <xf numFmtId="166" fontId="19" fillId="36" borderId="12" xfId="0" applyNumberFormat="1" applyFont="1" applyFill="1" applyBorder="1"/>
    <xf numFmtId="0" fontId="19" fillId="0" borderId="0" xfId="0" applyFont="1" applyFill="1" applyBorder="1"/>
    <xf numFmtId="0" fontId="0" fillId="0" borderId="0" xfId="0" applyFont="1" applyFill="1"/>
    <xf numFmtId="0" fontId="0" fillId="0" borderId="0" xfId="0" applyFill="1"/>
    <xf numFmtId="0" fontId="19" fillId="36" borderId="38" xfId="0" applyFont="1" applyFill="1" applyBorder="1"/>
    <xf numFmtId="10" fontId="19" fillId="36" borderId="39" xfId="0" applyNumberFormat="1" applyFont="1" applyFill="1" applyBorder="1"/>
    <xf numFmtId="0" fontId="19" fillId="36" borderId="39" xfId="0" applyFont="1" applyFill="1" applyBorder="1"/>
    <xf numFmtId="10" fontId="19" fillId="36" borderId="40" xfId="0" applyNumberFormat="1" applyFont="1" applyFill="1" applyBorder="1"/>
    <xf numFmtId="9" fontId="21" fillId="36" borderId="33" xfId="0" applyNumberFormat="1" applyFont="1" applyFill="1" applyBorder="1"/>
    <xf numFmtId="10" fontId="0" fillId="36" borderId="42" xfId="0" applyNumberFormat="1" applyFont="1" applyFill="1" applyBorder="1" applyAlignment="1">
      <alignment horizontal="centerContinuous"/>
    </xf>
    <xf numFmtId="9" fontId="21" fillId="36" borderId="41" xfId="0" applyNumberFormat="1" applyFont="1" applyFill="1" applyBorder="1"/>
    <xf numFmtId="10" fontId="0" fillId="36" borderId="34" xfId="0" applyNumberFormat="1" applyFont="1" applyFill="1" applyBorder="1" applyAlignment="1">
      <alignment horizontal="centerContinuous"/>
    </xf>
    <xf numFmtId="9" fontId="21" fillId="36" borderId="30" xfId="0" applyNumberFormat="1" applyFont="1" applyFill="1" applyBorder="1"/>
    <xf numFmtId="10" fontId="0" fillId="36" borderId="43" xfId="0" applyNumberFormat="1" applyFont="1" applyFill="1" applyBorder="1" applyAlignment="1">
      <alignment horizontal="centerContinuous"/>
    </xf>
    <xf numFmtId="0" fontId="19" fillId="36" borderId="44" xfId="0" applyFont="1" applyFill="1" applyBorder="1"/>
    <xf numFmtId="0" fontId="0" fillId="36" borderId="43" xfId="0" applyFont="1" applyFill="1" applyBorder="1"/>
    <xf numFmtId="9" fontId="21" fillId="36" borderId="44" xfId="0" applyNumberFormat="1" applyFont="1" applyFill="1" applyBorder="1"/>
    <xf numFmtId="10" fontId="0" fillId="36" borderId="31" xfId="0" applyNumberFormat="1" applyFont="1" applyFill="1" applyBorder="1" applyAlignment="1">
      <alignment horizontal="centerContinuous"/>
    </xf>
    <xf numFmtId="9" fontId="21" fillId="36" borderId="46" xfId="0" applyNumberFormat="1" applyFont="1" applyFill="1" applyBorder="1"/>
    <xf numFmtId="10" fontId="0" fillId="36" borderId="47" xfId="0" applyNumberFormat="1" applyFont="1" applyFill="1" applyBorder="1" applyAlignment="1">
      <alignment horizontal="centerContinuous"/>
    </xf>
    <xf numFmtId="9" fontId="21" fillId="36" borderId="48" xfId="0" applyNumberFormat="1" applyFont="1" applyFill="1" applyBorder="1"/>
    <xf numFmtId="10" fontId="0" fillId="36" borderId="45" xfId="0" applyNumberFormat="1" applyFont="1" applyFill="1" applyBorder="1" applyAlignment="1">
      <alignment horizontal="centerContinuous"/>
    </xf>
    <xf numFmtId="0" fontId="21" fillId="0" borderId="20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2" fontId="0" fillId="0" borderId="14" xfId="0" applyNumberFormat="1" applyFont="1" applyFill="1" applyBorder="1"/>
    <xf numFmtId="2" fontId="0" fillId="0" borderId="15" xfId="0" applyNumberFormat="1" applyFont="1" applyFill="1" applyBorder="1"/>
    <xf numFmtId="2" fontId="0" fillId="0" borderId="17" xfId="0" applyNumberFormat="1" applyFont="1" applyFill="1" applyBorder="1"/>
    <xf numFmtId="9" fontId="9" fillId="5" borderId="14" xfId="9" applyNumberFormat="1" applyBorder="1"/>
    <xf numFmtId="9" fontId="9" fillId="5" borderId="17" xfId="9" applyNumberFormat="1" applyBorder="1"/>
    <xf numFmtId="2" fontId="9" fillId="5" borderId="14" xfId="9" applyNumberFormat="1" applyBorder="1"/>
    <xf numFmtId="0" fontId="9" fillId="5" borderId="14" xfId="9" applyBorder="1"/>
    <xf numFmtId="0" fontId="9" fillId="5" borderId="15" xfId="9" applyBorder="1"/>
    <xf numFmtId="0" fontId="16" fillId="0" borderId="20" xfId="0" applyFont="1" applyBorder="1"/>
    <xf numFmtId="0" fontId="16" fillId="0" borderId="18" xfId="0" applyFont="1" applyBorder="1"/>
    <xf numFmtId="0" fontId="16" fillId="0" borderId="19" xfId="0" applyFont="1" applyBorder="1"/>
    <xf numFmtId="10" fontId="0" fillId="0" borderId="15" xfId="0" applyNumberFormat="1" applyFont="1" applyFill="1" applyBorder="1"/>
    <xf numFmtId="10" fontId="0" fillId="0" borderId="17" xfId="0" applyNumberFormat="1" applyFont="1" applyFill="1" applyBorder="1"/>
    <xf numFmtId="165" fontId="16" fillId="37" borderId="0" xfId="0" applyNumberFormat="1" applyFont="1" applyFill="1" applyAlignment="1">
      <alignment horizontal="center"/>
    </xf>
    <xf numFmtId="165" fontId="16" fillId="38" borderId="0" xfId="0" applyNumberFormat="1" applyFont="1" applyFill="1" applyAlignment="1">
      <alignment horizontal="center"/>
    </xf>
    <xf numFmtId="0" fontId="18" fillId="33" borderId="26" xfId="0" applyFont="1" applyFill="1" applyBorder="1" applyAlignment="1">
      <alignment horizontal="center"/>
    </xf>
    <xf numFmtId="0" fontId="18" fillId="33" borderId="27" xfId="0" applyFont="1" applyFill="1" applyBorder="1" applyAlignment="1">
      <alignment horizontal="center"/>
    </xf>
    <xf numFmtId="0" fontId="18" fillId="33" borderId="28" xfId="0" applyFont="1" applyFill="1" applyBorder="1" applyAlignment="1">
      <alignment horizontal="center"/>
    </xf>
    <xf numFmtId="0" fontId="18" fillId="35" borderId="26" xfId="0" applyFont="1" applyFill="1" applyBorder="1" applyAlignment="1">
      <alignment horizontal="center"/>
    </xf>
    <xf numFmtId="0" fontId="18" fillId="35" borderId="27" xfId="0" applyFont="1" applyFill="1" applyBorder="1" applyAlignment="1">
      <alignment horizontal="center"/>
    </xf>
    <xf numFmtId="0" fontId="18" fillId="35" borderId="28" xfId="0" applyFont="1" applyFill="1" applyBorder="1" applyAlignment="1">
      <alignment horizontal="center"/>
    </xf>
    <xf numFmtId="0" fontId="16" fillId="0" borderId="46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979"/>
      <color rgb="FFFF5050"/>
      <color rgb="FF66FF66"/>
      <color rgb="FF00CC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0000"/>
              </a:schemeClr>
            </a:solidFill>
          </c:spPr>
          <c:invertIfNegative val="0"/>
          <c:cat>
            <c:strRef>
              <c:f>'Template Monthly DoR'!$M$4:$M$15</c:f>
              <c:strCache>
                <c:ptCount val="12"/>
                <c:pt idx="0">
                  <c:v>Less than -51.51%</c:v>
                </c:pt>
                <c:pt idx="1">
                  <c:v>-51.51% to -40.53%</c:v>
                </c:pt>
                <c:pt idx="2">
                  <c:v>-40.53% to -29.56%</c:v>
                </c:pt>
                <c:pt idx="3">
                  <c:v>-29.56% to -18.59%</c:v>
                </c:pt>
                <c:pt idx="4">
                  <c:v>-18.59% to -7.62%</c:v>
                </c:pt>
                <c:pt idx="5">
                  <c:v>-7.62% to 3.36%</c:v>
                </c:pt>
                <c:pt idx="6">
                  <c:v>3.36% to 14.33%</c:v>
                </c:pt>
                <c:pt idx="7">
                  <c:v>14.33% to 25.30%</c:v>
                </c:pt>
                <c:pt idx="8">
                  <c:v>25.30% to 36.27%</c:v>
                </c:pt>
                <c:pt idx="9">
                  <c:v>36.27% to 47.25%</c:v>
                </c:pt>
                <c:pt idx="10">
                  <c:v>47.25% to 58.22%</c:v>
                </c:pt>
                <c:pt idx="11">
                  <c:v>Greater than 58.22%</c:v>
                </c:pt>
              </c:strCache>
            </c:strRef>
          </c:cat>
          <c:val>
            <c:numRef>
              <c:f>'Template Monthly DoR'!$L$4:$L$15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37</c:v>
                </c:pt>
                <c:pt idx="5">
                  <c:v>85</c:v>
                </c:pt>
                <c:pt idx="6">
                  <c:v>71</c:v>
                </c:pt>
                <c:pt idx="7">
                  <c:v>23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4-430C-8C48-CC7D92B9F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26144"/>
        <c:axId val="102061952"/>
      </c:barChart>
      <c:catAx>
        <c:axId val="9232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Close to Close Monthly</a:t>
                </a:r>
                <a:r>
                  <a:rPr lang="en-GB" baseline="0">
                    <a:solidFill>
                      <a:schemeClr val="bg1"/>
                    </a:solidFill>
                  </a:rPr>
                  <a:t> Return Range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02061952"/>
        <c:crosses val="autoZero"/>
        <c:auto val="1"/>
        <c:lblAlgn val="ctr"/>
        <c:lblOffset val="100"/>
        <c:noMultiLvlLbl val="0"/>
      </c:catAx>
      <c:valAx>
        <c:axId val="1020619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1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Occurrences</a:t>
                </a:r>
              </a:p>
            </c:rich>
          </c:tx>
          <c:layout>
            <c:manualLayout>
              <c:xMode val="edge"/>
              <c:yMode val="edge"/>
              <c:x val="1.5896866707901958E-2"/>
              <c:y val="0.208226777648176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92326144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0000"/>
              </a:schemeClr>
            </a:solidFill>
          </c:spPr>
          <c:invertIfNegative val="0"/>
          <c:cat>
            <c:strRef>
              <c:f>'Template Monthly DoR'!$T$4:$T$15</c:f>
              <c:strCache>
                <c:ptCount val="12"/>
                <c:pt idx="0">
                  <c:v>Equal to 0.00%</c:v>
                </c:pt>
                <c:pt idx="1">
                  <c:v>0.00% to 8.08%</c:v>
                </c:pt>
                <c:pt idx="2">
                  <c:v>8.08% to 16.16%</c:v>
                </c:pt>
                <c:pt idx="3">
                  <c:v>16.16% to 24.24%</c:v>
                </c:pt>
                <c:pt idx="4">
                  <c:v>24.24% to 32.32%</c:v>
                </c:pt>
                <c:pt idx="5">
                  <c:v>32.32% to 40.40%</c:v>
                </c:pt>
                <c:pt idx="6">
                  <c:v>40.40% to 48.47%</c:v>
                </c:pt>
                <c:pt idx="7">
                  <c:v>48.47% to 56.55%</c:v>
                </c:pt>
                <c:pt idx="8">
                  <c:v>56.55% to 64.63%</c:v>
                </c:pt>
                <c:pt idx="9">
                  <c:v>64.63% to 72.71%</c:v>
                </c:pt>
                <c:pt idx="10">
                  <c:v>72.71% to 80.79%</c:v>
                </c:pt>
                <c:pt idx="11">
                  <c:v>Greater than 80.79%</c:v>
                </c:pt>
              </c:strCache>
            </c:strRef>
          </c:cat>
          <c:val>
            <c:numRef>
              <c:f>'Template Monthly DoR'!$S$4:$S$15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83</c:v>
                </c:pt>
                <c:pt idx="3">
                  <c:v>60</c:v>
                </c:pt>
                <c:pt idx="4">
                  <c:v>33</c:v>
                </c:pt>
                <c:pt idx="5">
                  <c:v>25</c:v>
                </c:pt>
                <c:pt idx="6">
                  <c:v>7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4-4A2B-8E6D-82888F66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20"/>
        <c:axId val="92326144"/>
        <c:axId val="102061952"/>
      </c:barChart>
      <c:catAx>
        <c:axId val="9232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High to Low Monthly</a:t>
                </a:r>
                <a:r>
                  <a:rPr lang="en-GB" baseline="0">
                    <a:solidFill>
                      <a:schemeClr val="bg1"/>
                    </a:solidFill>
                  </a:rPr>
                  <a:t> Return Range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02061952"/>
        <c:crosses val="autoZero"/>
        <c:auto val="1"/>
        <c:lblAlgn val="ctr"/>
        <c:lblOffset val="100"/>
        <c:noMultiLvlLbl val="0"/>
      </c:catAx>
      <c:valAx>
        <c:axId val="1020619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1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Occurrences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92326144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0000"/>
              </a:schemeClr>
            </a:solidFill>
          </c:spPr>
          <c:invertIfNegative val="0"/>
          <c:cat>
            <c:strRef>
              <c:f>'Spread Template Monthly DoR'!$K$4:$K$15</c:f>
              <c:strCache>
                <c:ptCount val="12"/>
                <c:pt idx="0">
                  <c:v>Less than -23.38%</c:v>
                </c:pt>
                <c:pt idx="1">
                  <c:v>-23.38% to -19.01%</c:v>
                </c:pt>
                <c:pt idx="2">
                  <c:v>-19.01% to -14.64%</c:v>
                </c:pt>
                <c:pt idx="3">
                  <c:v>-14.64% to -10.26%</c:v>
                </c:pt>
                <c:pt idx="4">
                  <c:v>-10.26% to -5.89%</c:v>
                </c:pt>
                <c:pt idx="5">
                  <c:v>-5.89% to -1.52%</c:v>
                </c:pt>
                <c:pt idx="6">
                  <c:v>-1.52% to 2.86%</c:v>
                </c:pt>
                <c:pt idx="7">
                  <c:v>2.86% to 7.23%</c:v>
                </c:pt>
                <c:pt idx="8">
                  <c:v>7.23% to 11.60%</c:v>
                </c:pt>
                <c:pt idx="9">
                  <c:v>11.60% to 15.98%</c:v>
                </c:pt>
                <c:pt idx="10">
                  <c:v>15.98% to 20.35%</c:v>
                </c:pt>
                <c:pt idx="11">
                  <c:v>Greater than 20.35%</c:v>
                </c:pt>
              </c:strCache>
            </c:strRef>
          </c:cat>
          <c:val>
            <c:numRef>
              <c:f>'Spread Template Monthly DoR'!$J$4:$J$15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13</c:v>
                </c:pt>
                <c:pt idx="5">
                  <c:v>43</c:v>
                </c:pt>
                <c:pt idx="6">
                  <c:v>25</c:v>
                </c:pt>
                <c:pt idx="7">
                  <c:v>13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405-9245-F04BA142C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26144"/>
        <c:axId val="102061952"/>
      </c:barChart>
      <c:catAx>
        <c:axId val="9232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Close to Close Monthly</a:t>
                </a:r>
                <a:r>
                  <a:rPr lang="en-GB" baseline="0">
                    <a:solidFill>
                      <a:schemeClr val="bg1"/>
                    </a:solidFill>
                  </a:rPr>
                  <a:t> Return Range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02061952"/>
        <c:crosses val="autoZero"/>
        <c:auto val="1"/>
        <c:lblAlgn val="ctr"/>
        <c:lblOffset val="100"/>
        <c:noMultiLvlLbl val="0"/>
      </c:catAx>
      <c:valAx>
        <c:axId val="1020619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alpha val="1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Occurrences</a:t>
                </a:r>
              </a:p>
            </c:rich>
          </c:tx>
          <c:layout>
            <c:manualLayout>
              <c:xMode val="edge"/>
              <c:yMode val="edge"/>
              <c:x val="1.5896866707901958E-2"/>
              <c:y val="0.208226777648176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92326144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122703</xdr:colOff>
      <xdr:row>15</xdr:row>
      <xdr:rowOff>186295</xdr:rowOff>
    </xdr:from>
    <xdr:to>
      <xdr:col>14</xdr:col>
      <xdr:colOff>1411941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122703</xdr:colOff>
      <xdr:row>15</xdr:row>
      <xdr:rowOff>186295</xdr:rowOff>
    </xdr:from>
    <xdr:to>
      <xdr:col>21</xdr:col>
      <xdr:colOff>1411941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122703</xdr:colOff>
      <xdr:row>15</xdr:row>
      <xdr:rowOff>186295</xdr:rowOff>
    </xdr:from>
    <xdr:to>
      <xdr:col>12</xdr:col>
      <xdr:colOff>1411941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3DFFC-86DC-4B0B-BA48-D34A7A053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C4CA-D371-47FB-A74F-184DED69B5DD}">
  <sheetPr codeName="Sheet3"/>
  <dimension ref="A1:W252"/>
  <sheetViews>
    <sheetView topLeftCell="G31" zoomScale="85" zoomScaleNormal="85" workbookViewId="0">
      <selection activeCell="K64" sqref="K64"/>
    </sheetView>
  </sheetViews>
  <sheetFormatPr defaultRowHeight="15" x14ac:dyDescent="0.25"/>
  <cols>
    <col min="1" max="1" width="10.7109375" style="47" bestFit="1" customWidth="1"/>
    <col min="2" max="5" width="10.7109375" style="5" customWidth="1"/>
    <col min="6" max="6" width="9.140625" style="5"/>
    <col min="7" max="7" width="13.5703125" style="6" bestFit="1" customWidth="1"/>
    <col min="8" max="8" width="13.5703125" style="6" customWidth="1"/>
    <col min="10" max="10" width="19.85546875" customWidth="1"/>
    <col min="11" max="11" width="17.28515625" customWidth="1"/>
    <col min="12" max="13" width="19.140625" customWidth="1"/>
    <col min="14" max="14" width="23.7109375" customWidth="1"/>
    <col min="15" max="15" width="22.42578125" bestFit="1" customWidth="1"/>
    <col min="16" max="16" width="4.28515625" customWidth="1"/>
    <col min="17" max="17" width="19" customWidth="1"/>
    <col min="18" max="18" width="15.7109375" customWidth="1"/>
    <col min="19" max="19" width="20.85546875" customWidth="1"/>
    <col min="20" max="20" width="21.85546875" customWidth="1"/>
    <col min="21" max="21" width="24" customWidth="1"/>
    <col min="22" max="22" width="22.28515625" customWidth="1"/>
  </cols>
  <sheetData>
    <row r="1" spans="1:23" ht="16.5" thickBot="1" x14ac:dyDescent="0.3">
      <c r="A1" s="4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38</v>
      </c>
      <c r="H1" s="3" t="s">
        <v>39</v>
      </c>
      <c r="J1" s="91" t="s">
        <v>40</v>
      </c>
      <c r="K1" s="92"/>
      <c r="L1" s="92"/>
      <c r="M1" s="92"/>
      <c r="N1" s="92"/>
      <c r="O1" s="93"/>
      <c r="P1" s="4"/>
      <c r="Q1" s="94" t="s">
        <v>41</v>
      </c>
      <c r="R1" s="95"/>
      <c r="S1" s="95"/>
      <c r="T1" s="95"/>
      <c r="U1" s="95"/>
      <c r="V1" s="96"/>
    </row>
    <row r="2" spans="1:23" ht="15.75" thickBot="1" x14ac:dyDescent="0.3">
      <c r="A2" s="47">
        <v>44531</v>
      </c>
      <c r="B2" s="5">
        <v>622.919983</v>
      </c>
      <c r="C2" s="5">
        <v>688.59997599999997</v>
      </c>
      <c r="D2" s="5">
        <v>581.28997800000002</v>
      </c>
      <c r="E2" s="5">
        <v>645.89001499999995</v>
      </c>
      <c r="F2" s="5">
        <v>645.89001499999995</v>
      </c>
      <c r="G2" s="6">
        <f>(F2-F3)/F3</f>
        <v>5.6186915393487462E-2</v>
      </c>
      <c r="H2" s="6">
        <f>(C2-D2)/D2</f>
        <v>0.18460665427126965</v>
      </c>
      <c r="J2" s="7"/>
      <c r="K2" s="8"/>
      <c r="L2" s="8"/>
      <c r="M2" s="8"/>
      <c r="N2" s="8"/>
      <c r="O2" s="9"/>
      <c r="P2" s="10"/>
      <c r="Q2" s="7"/>
      <c r="R2" s="8"/>
      <c r="S2" s="8"/>
      <c r="T2" s="8"/>
      <c r="U2" s="8"/>
      <c r="V2" s="9"/>
      <c r="W2" s="1"/>
    </row>
    <row r="3" spans="1:23" ht="15.75" thickBot="1" x14ac:dyDescent="0.3">
      <c r="A3" s="47">
        <v>44501</v>
      </c>
      <c r="B3" s="5">
        <v>631.5</v>
      </c>
      <c r="C3" s="5">
        <v>713.330017</v>
      </c>
      <c r="D3" s="5">
        <v>607.46997099999999</v>
      </c>
      <c r="E3" s="5">
        <v>611.53002900000001</v>
      </c>
      <c r="F3" s="5">
        <v>611.53002900000001</v>
      </c>
      <c r="G3" s="6">
        <f t="shared" ref="G3:G66" si="0">(F3-F4)/F4</f>
        <v>-2.0564674956873936E-2</v>
      </c>
      <c r="H3" s="6">
        <f t="shared" ref="H3:H66" si="1">(C3-D3)/D3</f>
        <v>0.17426383369327075</v>
      </c>
      <c r="J3" s="11" t="s">
        <v>6</v>
      </c>
      <c r="K3" s="12" t="s">
        <v>7</v>
      </c>
      <c r="L3" s="12" t="s">
        <v>8</v>
      </c>
      <c r="M3" s="13" t="s">
        <v>9</v>
      </c>
      <c r="N3" s="13" t="s">
        <v>23</v>
      </c>
      <c r="O3" s="14" t="s">
        <v>24</v>
      </c>
      <c r="P3" s="10"/>
      <c r="Q3" s="11" t="s">
        <v>6</v>
      </c>
      <c r="R3" s="12" t="s">
        <v>7</v>
      </c>
      <c r="S3" s="12" t="s">
        <v>8</v>
      </c>
      <c r="T3" s="13" t="s">
        <v>9</v>
      </c>
      <c r="U3" s="43" t="s">
        <v>23</v>
      </c>
      <c r="V3" s="14" t="s">
        <v>24</v>
      </c>
    </row>
    <row r="4" spans="1:23" x14ac:dyDescent="0.25">
      <c r="A4" s="47">
        <v>44470</v>
      </c>
      <c r="B4" s="5">
        <v>672</v>
      </c>
      <c r="C4" s="5">
        <v>674.95001200000002</v>
      </c>
      <c r="D4" s="5">
        <v>572.51000999999997</v>
      </c>
      <c r="E4" s="5">
        <v>624.36999500000002</v>
      </c>
      <c r="F4" s="5">
        <v>624.36999500000002</v>
      </c>
      <c r="G4" s="6">
        <f t="shared" si="0"/>
        <v>-6.170445942012108E-2</v>
      </c>
      <c r="H4" s="6">
        <f t="shared" si="1"/>
        <v>0.17893137274577969</v>
      </c>
      <c r="J4" s="48">
        <f>$K$19-3*$K$23</f>
        <v>-0.51505594814105704</v>
      </c>
      <c r="K4" s="50">
        <f>J4</f>
        <v>-0.51505594814105704</v>
      </c>
      <c r="L4" s="15">
        <f>COUNTIF(G:G,"&lt;="&amp;J4)</f>
        <v>1</v>
      </c>
      <c r="M4" s="15" t="str">
        <f>"Less than "&amp;TEXT(J4,"0.00%")</f>
        <v>Less than -51.51%</v>
      </c>
      <c r="N4" s="16">
        <f t="shared" ref="N4:N15" si="2">L4/$K$31</f>
        <v>4.0000000000000001E-3</v>
      </c>
      <c r="O4" s="17">
        <f>N4</f>
        <v>4.0000000000000001E-3</v>
      </c>
      <c r="P4" s="18"/>
      <c r="Q4" s="48">
        <v>0</v>
      </c>
      <c r="R4" s="50">
        <f>Q4</f>
        <v>0</v>
      </c>
      <c r="S4" s="15">
        <f>COUNTIF(H:H,"&lt;="&amp;Q4)</f>
        <v>0</v>
      </c>
      <c r="T4" s="15" t="str">
        <f>"Equal to "&amp;TEXT(R4,"0.00%")</f>
        <v>Equal to 0.00%</v>
      </c>
      <c r="U4" s="44">
        <f t="shared" ref="U4:U15" si="3">S4/$R$31</f>
        <v>0</v>
      </c>
      <c r="V4" s="17">
        <f>U4</f>
        <v>0</v>
      </c>
    </row>
    <row r="5" spans="1:23" x14ac:dyDescent="0.25">
      <c r="A5" s="47">
        <v>44440</v>
      </c>
      <c r="B5" s="5">
        <v>713.14001499999995</v>
      </c>
      <c r="C5" s="5">
        <v>737.45001200000002</v>
      </c>
      <c r="D5" s="5">
        <v>665.40997300000004</v>
      </c>
      <c r="E5" s="5">
        <v>665.42999299999997</v>
      </c>
      <c r="F5" s="5">
        <v>665.42999299999997</v>
      </c>
      <c r="G5" s="6">
        <f t="shared" si="0"/>
        <v>-6.1452760225670006E-2</v>
      </c>
      <c r="H5" s="6">
        <f t="shared" si="1"/>
        <v>0.10826414079008698</v>
      </c>
      <c r="J5" s="49">
        <f>$K$19-2.4*$K$23</f>
        <v>-0.40533166981544422</v>
      </c>
      <c r="K5" s="51">
        <f>J5</f>
        <v>-0.40533166981544422</v>
      </c>
      <c r="L5" s="19">
        <f t="shared" ref="L5:L14" si="4">COUNTIFS(G:G,"&lt;="&amp;J5,G:G,"&gt;"&amp;J4)</f>
        <v>1</v>
      </c>
      <c r="M5" s="45" t="str">
        <f t="shared" ref="M5:M14" si="5">TEXT(J4,"0.00%")&amp;" to "&amp;TEXT(J5,"0.00%")</f>
        <v>-51.51% to -40.53%</v>
      </c>
      <c r="N5" s="20">
        <f t="shared" si="2"/>
        <v>4.0000000000000001E-3</v>
      </c>
      <c r="O5" s="21">
        <f>O4+N5</f>
        <v>8.0000000000000002E-3</v>
      </c>
      <c r="P5" s="18"/>
      <c r="Q5" s="49">
        <f>0.4*$R$21</f>
        <v>8.079161816065189E-2</v>
      </c>
      <c r="R5" s="51">
        <f>Q5</f>
        <v>8.079161816065189E-2</v>
      </c>
      <c r="S5" s="19">
        <f t="shared" ref="S5:S14" si="6">COUNTIFS(H:H,"&lt;="&amp;Q5,H:H,"&gt;"&amp;Q4)</f>
        <v>10</v>
      </c>
      <c r="T5" s="45" t="str">
        <f t="shared" ref="T5:T14" si="7">TEXT(Q4,"0.00%")&amp;" to "&amp;TEXT(Q5,"0.00%")</f>
        <v>0.00% to 8.08%</v>
      </c>
      <c r="U5" s="20">
        <f t="shared" si="3"/>
        <v>3.9840637450199202E-2</v>
      </c>
      <c r="V5" s="21">
        <f>V4+U5</f>
        <v>3.9840637450199202E-2</v>
      </c>
    </row>
    <row r="6" spans="1:23" x14ac:dyDescent="0.25">
      <c r="A6" s="47">
        <v>44409</v>
      </c>
      <c r="B6" s="5">
        <v>700</v>
      </c>
      <c r="C6" s="5">
        <v>721.45001200000002</v>
      </c>
      <c r="D6" s="5">
        <v>669.30999799999995</v>
      </c>
      <c r="E6" s="5">
        <v>709</v>
      </c>
      <c r="F6" s="5">
        <v>709</v>
      </c>
      <c r="G6" s="6">
        <f t="shared" si="0"/>
        <v>1.8970986242672967E-2</v>
      </c>
      <c r="H6" s="6">
        <f t="shared" si="1"/>
        <v>7.7901143200911918E-2</v>
      </c>
      <c r="J6" s="49">
        <f>$K$19-1.8*$K$23</f>
        <v>-0.29560739148983139</v>
      </c>
      <c r="K6" s="51">
        <f t="shared" ref="K6:K14" si="8">J6</f>
        <v>-0.29560739148983139</v>
      </c>
      <c r="L6" s="19">
        <f t="shared" si="4"/>
        <v>4</v>
      </c>
      <c r="M6" s="45" t="str">
        <f t="shared" si="5"/>
        <v>-40.53% to -29.56%</v>
      </c>
      <c r="N6" s="20">
        <f t="shared" si="2"/>
        <v>1.6E-2</v>
      </c>
      <c r="O6" s="21">
        <f t="shared" ref="O6:O15" si="9">O5+N6</f>
        <v>2.4E-2</v>
      </c>
      <c r="P6" s="18"/>
      <c r="Q6" s="49">
        <f>0.8*$R$21</f>
        <v>0.16158323632130378</v>
      </c>
      <c r="R6" s="51">
        <f t="shared" ref="R6:R14" si="10">Q6</f>
        <v>0.16158323632130378</v>
      </c>
      <c r="S6" s="19">
        <f t="shared" si="6"/>
        <v>83</v>
      </c>
      <c r="T6" s="45" t="str">
        <f t="shared" si="7"/>
        <v>8.08% to 16.16%</v>
      </c>
      <c r="U6" s="20">
        <f t="shared" si="3"/>
        <v>0.33067729083665337</v>
      </c>
      <c r="V6" s="21">
        <f t="shared" ref="V6:V15" si="11">V5+U6</f>
        <v>0.37051792828685259</v>
      </c>
    </row>
    <row r="7" spans="1:23" x14ac:dyDescent="0.25">
      <c r="A7" s="47">
        <v>44378</v>
      </c>
      <c r="B7" s="5">
        <v>609.30999799999995</v>
      </c>
      <c r="C7" s="5">
        <v>697.86999500000002</v>
      </c>
      <c r="D7" s="5">
        <v>589.23999000000003</v>
      </c>
      <c r="E7" s="5">
        <v>695.79998799999998</v>
      </c>
      <c r="F7" s="5">
        <v>695.79998799999998</v>
      </c>
      <c r="G7" s="6">
        <f t="shared" si="0"/>
        <v>0.13878885106382977</v>
      </c>
      <c r="H7" s="6">
        <f t="shared" si="1"/>
        <v>0.18435613136168844</v>
      </c>
      <c r="J7" s="49">
        <f>$K$19-1.2*$K$23</f>
        <v>-0.18588311316421852</v>
      </c>
      <c r="K7" s="51">
        <f t="shared" si="8"/>
        <v>-0.18588311316421852</v>
      </c>
      <c r="L7" s="19">
        <f t="shared" si="4"/>
        <v>10</v>
      </c>
      <c r="M7" s="45" t="str">
        <f t="shared" si="5"/>
        <v>-29.56% to -18.59%</v>
      </c>
      <c r="N7" s="20">
        <f t="shared" si="2"/>
        <v>0.04</v>
      </c>
      <c r="O7" s="21">
        <f t="shared" si="9"/>
        <v>6.4000000000000001E-2</v>
      </c>
      <c r="P7" s="10"/>
      <c r="Q7" s="49">
        <f>1.2*$R$21</f>
        <v>0.24237485448195567</v>
      </c>
      <c r="R7" s="51">
        <f t="shared" si="10"/>
        <v>0.24237485448195567</v>
      </c>
      <c r="S7" s="19">
        <f t="shared" si="6"/>
        <v>60</v>
      </c>
      <c r="T7" s="45" t="str">
        <f t="shared" si="7"/>
        <v>16.16% to 24.24%</v>
      </c>
      <c r="U7" s="20">
        <f t="shared" si="3"/>
        <v>0.23904382470119523</v>
      </c>
      <c r="V7" s="21">
        <f t="shared" si="11"/>
        <v>0.60956175298804782</v>
      </c>
    </row>
    <row r="8" spans="1:23" x14ac:dyDescent="0.25">
      <c r="A8" s="47">
        <v>44348</v>
      </c>
      <c r="B8" s="5">
        <v>592.44000200000005</v>
      </c>
      <c r="C8" s="5">
        <v>629.34997599999997</v>
      </c>
      <c r="D8" s="5">
        <v>563.86999500000002</v>
      </c>
      <c r="E8" s="5">
        <v>611</v>
      </c>
      <c r="F8" s="5">
        <v>611</v>
      </c>
      <c r="G8" s="6">
        <f t="shared" si="0"/>
        <v>3.5329958742829716E-2</v>
      </c>
      <c r="H8" s="6">
        <f t="shared" si="1"/>
        <v>0.11612602475859697</v>
      </c>
      <c r="J8" s="49">
        <f>$K$19-0.6*$K$23</f>
        <v>-7.6158834838605693E-2</v>
      </c>
      <c r="K8" s="51">
        <f t="shared" si="8"/>
        <v>-7.6158834838605693E-2</v>
      </c>
      <c r="L8" s="19">
        <f t="shared" si="4"/>
        <v>37</v>
      </c>
      <c r="M8" s="45" t="str">
        <f t="shared" si="5"/>
        <v>-18.59% to -7.62%</v>
      </c>
      <c r="N8" s="20">
        <f t="shared" si="2"/>
        <v>0.14799999999999999</v>
      </c>
      <c r="O8" s="21">
        <f t="shared" si="9"/>
        <v>0.21199999999999999</v>
      </c>
      <c r="P8" s="10"/>
      <c r="Q8" s="49">
        <f>1.6*$R$21</f>
        <v>0.32316647264260756</v>
      </c>
      <c r="R8" s="51">
        <f t="shared" si="10"/>
        <v>0.32316647264260756</v>
      </c>
      <c r="S8" s="19">
        <f t="shared" si="6"/>
        <v>33</v>
      </c>
      <c r="T8" s="45" t="str">
        <f t="shared" si="7"/>
        <v>24.24% to 32.32%</v>
      </c>
      <c r="U8" s="20">
        <f t="shared" si="3"/>
        <v>0.13147410358565736</v>
      </c>
      <c r="V8" s="21">
        <f t="shared" si="11"/>
        <v>0.74103585657370519</v>
      </c>
    </row>
    <row r="9" spans="1:23" x14ac:dyDescent="0.25">
      <c r="A9" s="47">
        <v>44317</v>
      </c>
      <c r="B9" s="5">
        <v>599.14001499999995</v>
      </c>
      <c r="C9" s="5">
        <v>611</v>
      </c>
      <c r="D9" s="5">
        <v>536.22997999999995</v>
      </c>
      <c r="E9" s="5">
        <v>590.15002400000003</v>
      </c>
      <c r="F9" s="5">
        <v>590.15002400000003</v>
      </c>
      <c r="G9" s="6">
        <f t="shared" si="0"/>
        <v>-9.0339776972018695E-3</v>
      </c>
      <c r="H9" s="6">
        <f t="shared" si="1"/>
        <v>0.13943647835579812</v>
      </c>
      <c r="J9" s="49">
        <f>$K$19</f>
        <v>3.3565443487007143E-2</v>
      </c>
      <c r="K9" s="51">
        <f t="shared" si="8"/>
        <v>3.3565443487007143E-2</v>
      </c>
      <c r="L9" s="19">
        <f t="shared" si="4"/>
        <v>85</v>
      </c>
      <c r="M9" s="45" t="str">
        <f t="shared" si="5"/>
        <v>-7.62% to 3.36%</v>
      </c>
      <c r="N9" s="20">
        <f t="shared" si="2"/>
        <v>0.34</v>
      </c>
      <c r="O9" s="21">
        <f t="shared" si="9"/>
        <v>0.55200000000000005</v>
      </c>
      <c r="P9" s="10"/>
      <c r="Q9" s="49">
        <f>2*$R$21</f>
        <v>0.40395809080325945</v>
      </c>
      <c r="R9" s="51">
        <f t="shared" si="10"/>
        <v>0.40395809080325945</v>
      </c>
      <c r="S9" s="19">
        <f t="shared" si="6"/>
        <v>25</v>
      </c>
      <c r="T9" s="45" t="str">
        <f t="shared" si="7"/>
        <v>32.32% to 40.40%</v>
      </c>
      <c r="U9" s="20">
        <f t="shared" si="3"/>
        <v>9.9601593625498003E-2</v>
      </c>
      <c r="V9" s="21">
        <f t="shared" si="11"/>
        <v>0.84063745019920322</v>
      </c>
    </row>
    <row r="10" spans="1:23" x14ac:dyDescent="0.25">
      <c r="A10" s="47">
        <v>44287</v>
      </c>
      <c r="B10" s="5">
        <v>546.23999000000003</v>
      </c>
      <c r="C10" s="5">
        <v>647.20001200000002</v>
      </c>
      <c r="D10" s="5">
        <v>544</v>
      </c>
      <c r="E10" s="5">
        <v>595.53002900000001</v>
      </c>
      <c r="F10" s="5">
        <v>595.53002900000001</v>
      </c>
      <c r="G10" s="6">
        <f t="shared" si="0"/>
        <v>9.9717461836266882E-2</v>
      </c>
      <c r="H10" s="6">
        <f t="shared" si="1"/>
        <v>0.18970590441176474</v>
      </c>
      <c r="J10" s="49">
        <f>$K$19+0.6*$K$23</f>
        <v>0.14328972181261998</v>
      </c>
      <c r="K10" s="51">
        <f t="shared" si="8"/>
        <v>0.14328972181261998</v>
      </c>
      <c r="L10" s="19">
        <f t="shared" si="4"/>
        <v>71</v>
      </c>
      <c r="M10" s="45" t="str">
        <f t="shared" si="5"/>
        <v>3.36% to 14.33%</v>
      </c>
      <c r="N10" s="20">
        <f t="shared" si="2"/>
        <v>0.28399999999999997</v>
      </c>
      <c r="O10" s="21">
        <f t="shared" si="9"/>
        <v>0.83600000000000008</v>
      </c>
      <c r="P10" s="10"/>
      <c r="Q10" s="49">
        <f>2.4*$R$21</f>
        <v>0.48474970896391134</v>
      </c>
      <c r="R10" s="51">
        <f t="shared" si="10"/>
        <v>0.48474970896391134</v>
      </c>
      <c r="S10" s="19">
        <f t="shared" si="6"/>
        <v>7</v>
      </c>
      <c r="T10" s="45" t="str">
        <f t="shared" si="7"/>
        <v>40.40% to 48.47%</v>
      </c>
      <c r="U10" s="20">
        <f t="shared" si="3"/>
        <v>2.7888446215139442E-2</v>
      </c>
      <c r="V10" s="21">
        <f t="shared" si="11"/>
        <v>0.86852589641434264</v>
      </c>
    </row>
    <row r="11" spans="1:23" x14ac:dyDescent="0.25">
      <c r="A11" s="47">
        <v>44256</v>
      </c>
      <c r="B11" s="5">
        <v>567.57000700000003</v>
      </c>
      <c r="C11" s="5">
        <v>577.79998799999998</v>
      </c>
      <c r="D11" s="5">
        <v>494.45001200000002</v>
      </c>
      <c r="E11" s="5">
        <v>541.53002900000001</v>
      </c>
      <c r="F11" s="5">
        <v>541.53002900000001</v>
      </c>
      <c r="G11" s="6">
        <f t="shared" si="0"/>
        <v>-4.5105811353330402E-2</v>
      </c>
      <c r="H11" s="6">
        <f t="shared" si="1"/>
        <v>0.16857108702021828</v>
      </c>
      <c r="J11" s="49">
        <f>$K$19+1.2*$K$23</f>
        <v>0.25301400013823283</v>
      </c>
      <c r="K11" s="51">
        <f t="shared" si="8"/>
        <v>0.25301400013823283</v>
      </c>
      <c r="L11" s="19">
        <f t="shared" si="4"/>
        <v>23</v>
      </c>
      <c r="M11" s="45" t="str">
        <f t="shared" si="5"/>
        <v>14.33% to 25.30%</v>
      </c>
      <c r="N11" s="20">
        <f t="shared" si="2"/>
        <v>9.1999999999999998E-2</v>
      </c>
      <c r="O11" s="21">
        <f t="shared" si="9"/>
        <v>0.92800000000000005</v>
      </c>
      <c r="P11" s="10"/>
      <c r="Q11" s="49">
        <f>2.8*$R$21</f>
        <v>0.56554132712456318</v>
      </c>
      <c r="R11" s="51">
        <f t="shared" si="10"/>
        <v>0.56554132712456318</v>
      </c>
      <c r="S11" s="19">
        <f t="shared" si="6"/>
        <v>9</v>
      </c>
      <c r="T11" s="45" t="str">
        <f t="shared" si="7"/>
        <v>48.47% to 56.55%</v>
      </c>
      <c r="U11" s="20">
        <f t="shared" si="3"/>
        <v>3.5856573705179286E-2</v>
      </c>
      <c r="V11" s="21">
        <f t="shared" si="11"/>
        <v>0.90438247011952189</v>
      </c>
    </row>
    <row r="12" spans="1:23" x14ac:dyDescent="0.25">
      <c r="A12" s="47">
        <v>44228</v>
      </c>
      <c r="B12" s="5">
        <v>539.92999299999997</v>
      </c>
      <c r="C12" s="5">
        <v>634.46002199999998</v>
      </c>
      <c r="D12" s="5">
        <v>527.02002000000005</v>
      </c>
      <c r="E12" s="5">
        <v>567.10998500000005</v>
      </c>
      <c r="F12" s="5">
        <v>567.10998500000005</v>
      </c>
      <c r="G12" s="6">
        <f t="shared" si="0"/>
        <v>7.9428184557575748E-2</v>
      </c>
      <c r="H12" s="6">
        <f t="shared" si="1"/>
        <v>0.20386322705539711</v>
      </c>
      <c r="J12" s="49">
        <f>$K$19+1.8*$K$23</f>
        <v>0.36273827846384565</v>
      </c>
      <c r="K12" s="51">
        <f t="shared" si="8"/>
        <v>0.36273827846384565</v>
      </c>
      <c r="L12" s="19">
        <f t="shared" si="4"/>
        <v>10</v>
      </c>
      <c r="M12" s="45" t="str">
        <f t="shared" si="5"/>
        <v>25.30% to 36.27%</v>
      </c>
      <c r="N12" s="20">
        <f t="shared" si="2"/>
        <v>0.04</v>
      </c>
      <c r="O12" s="21">
        <f t="shared" si="9"/>
        <v>0.96800000000000008</v>
      </c>
      <c r="P12" s="10"/>
      <c r="Q12" s="49">
        <f>3.2*$R$21</f>
        <v>0.64633294528521512</v>
      </c>
      <c r="R12" s="51">
        <f t="shared" si="10"/>
        <v>0.64633294528521512</v>
      </c>
      <c r="S12" s="19">
        <f t="shared" si="6"/>
        <v>5</v>
      </c>
      <c r="T12" s="45" t="str">
        <f t="shared" si="7"/>
        <v>56.55% to 64.63%</v>
      </c>
      <c r="U12" s="20">
        <f t="shared" si="3"/>
        <v>1.9920318725099601E-2</v>
      </c>
      <c r="V12" s="21">
        <f t="shared" si="11"/>
        <v>0.92430278884462147</v>
      </c>
    </row>
    <row r="13" spans="1:23" x14ac:dyDescent="0.25">
      <c r="A13" s="47">
        <v>44197</v>
      </c>
      <c r="B13" s="5">
        <v>549.60998500000005</v>
      </c>
      <c r="C13" s="5">
        <v>579.5</v>
      </c>
      <c r="D13" s="5">
        <v>507.76998900000001</v>
      </c>
      <c r="E13" s="5">
        <v>525.38000499999998</v>
      </c>
      <c r="F13" s="5">
        <v>525.38000499999998</v>
      </c>
      <c r="G13" s="6">
        <f t="shared" si="0"/>
        <v>-1.6841947520098551E-2</v>
      </c>
      <c r="H13" s="6">
        <f t="shared" si="1"/>
        <v>0.14126477057311868</v>
      </c>
      <c r="J13" s="49">
        <f>$K$19+2.4*$K$23</f>
        <v>0.47246255678945848</v>
      </c>
      <c r="K13" s="51">
        <f t="shared" si="8"/>
        <v>0.47246255678945848</v>
      </c>
      <c r="L13" s="19">
        <f t="shared" si="4"/>
        <v>3</v>
      </c>
      <c r="M13" s="45" t="str">
        <f t="shared" si="5"/>
        <v>36.27% to 47.25%</v>
      </c>
      <c r="N13" s="20">
        <f t="shared" si="2"/>
        <v>1.2E-2</v>
      </c>
      <c r="O13" s="21">
        <f t="shared" si="9"/>
        <v>0.98000000000000009</v>
      </c>
      <c r="P13" s="10"/>
      <c r="Q13" s="49">
        <f>3.6*$R$21</f>
        <v>0.72712456344586707</v>
      </c>
      <c r="R13" s="51">
        <f t="shared" si="10"/>
        <v>0.72712456344586707</v>
      </c>
      <c r="S13" s="19">
        <f t="shared" si="6"/>
        <v>6</v>
      </c>
      <c r="T13" s="45" t="str">
        <f t="shared" si="7"/>
        <v>64.63% to 72.71%</v>
      </c>
      <c r="U13" s="20">
        <f t="shared" si="3"/>
        <v>2.3904382470119521E-2</v>
      </c>
      <c r="V13" s="21">
        <f t="shared" si="11"/>
        <v>0.94820717131474097</v>
      </c>
    </row>
    <row r="14" spans="1:23" x14ac:dyDescent="0.25">
      <c r="A14" s="47">
        <v>44166</v>
      </c>
      <c r="B14" s="5">
        <v>487.459991</v>
      </c>
      <c r="C14" s="5">
        <v>543.65002400000003</v>
      </c>
      <c r="D14" s="5">
        <v>485.60000600000001</v>
      </c>
      <c r="E14" s="5">
        <v>534.38000499999998</v>
      </c>
      <c r="F14" s="5">
        <v>534.38000499999998</v>
      </c>
      <c r="G14" s="6">
        <f t="shared" si="0"/>
        <v>0.11030770430973144</v>
      </c>
      <c r="H14" s="6">
        <f t="shared" si="1"/>
        <v>0.11954286919839952</v>
      </c>
      <c r="J14" s="49">
        <f>$K$19+3*$K$23</f>
        <v>0.58218683511507141</v>
      </c>
      <c r="K14" s="51">
        <f t="shared" si="8"/>
        <v>0.58218683511507141</v>
      </c>
      <c r="L14" s="19">
        <f t="shared" si="4"/>
        <v>2</v>
      </c>
      <c r="M14" s="45" t="str">
        <f t="shared" si="5"/>
        <v>47.25% to 58.22%</v>
      </c>
      <c r="N14" s="20">
        <f t="shared" si="2"/>
        <v>8.0000000000000002E-3</v>
      </c>
      <c r="O14" s="21">
        <f t="shared" si="9"/>
        <v>0.9880000000000001</v>
      </c>
      <c r="P14" s="10"/>
      <c r="Q14" s="49">
        <f>4*$R$21</f>
        <v>0.8079161816065189</v>
      </c>
      <c r="R14" s="51">
        <f t="shared" si="10"/>
        <v>0.8079161816065189</v>
      </c>
      <c r="S14" s="19">
        <f t="shared" si="6"/>
        <v>1</v>
      </c>
      <c r="T14" s="45" t="str">
        <f t="shared" si="7"/>
        <v>72.71% to 80.79%</v>
      </c>
      <c r="U14" s="20">
        <f t="shared" si="3"/>
        <v>3.9840637450199202E-3</v>
      </c>
      <c r="V14" s="21">
        <f t="shared" si="11"/>
        <v>0.95219123505976089</v>
      </c>
    </row>
    <row r="15" spans="1:23" ht="15.75" thickBot="1" x14ac:dyDescent="0.3">
      <c r="A15" s="47">
        <v>44136</v>
      </c>
      <c r="B15" s="5">
        <v>432.10000600000001</v>
      </c>
      <c r="C15" s="5">
        <v>507.04998799999998</v>
      </c>
      <c r="D15" s="5">
        <v>430.36999500000002</v>
      </c>
      <c r="E15" s="5">
        <v>481.290009</v>
      </c>
      <c r="F15" s="5">
        <v>481.290009</v>
      </c>
      <c r="G15" s="6">
        <f t="shared" si="0"/>
        <v>0.12957666091930287</v>
      </c>
      <c r="H15" s="6">
        <f t="shared" si="1"/>
        <v>0.17817225617692042</v>
      </c>
      <c r="J15" s="22"/>
      <c r="K15" s="23" t="s">
        <v>10</v>
      </c>
      <c r="L15" s="23">
        <f>COUNTIF(G:G,"&gt;"&amp;J14)</f>
        <v>3</v>
      </c>
      <c r="M15" s="23" t="str">
        <f>"Greater than "&amp;TEXT(J14,"0.00%")</f>
        <v>Greater than 58.22%</v>
      </c>
      <c r="N15" s="24">
        <f t="shared" si="2"/>
        <v>1.2E-2</v>
      </c>
      <c r="O15" s="25">
        <f t="shared" si="9"/>
        <v>1</v>
      </c>
      <c r="P15" s="10"/>
      <c r="Q15" s="22"/>
      <c r="R15" s="23" t="s">
        <v>10</v>
      </c>
      <c r="S15" s="23">
        <f>COUNTIF(H:H,"&gt;"&amp;Q14)</f>
        <v>12</v>
      </c>
      <c r="T15" s="23" t="str">
        <f>"Greater than "&amp;TEXT(Q14,"0.00%")</f>
        <v>Greater than 80.79%</v>
      </c>
      <c r="U15" s="24">
        <f t="shared" si="3"/>
        <v>4.7808764940239043E-2</v>
      </c>
      <c r="V15" s="25">
        <f t="shared" si="11"/>
        <v>0.99999999999999989</v>
      </c>
    </row>
    <row r="16" spans="1:23" ht="15.75" thickBot="1" x14ac:dyDescent="0.3">
      <c r="A16" s="47">
        <v>44105</v>
      </c>
      <c r="B16" s="5">
        <v>333.64001500000001</v>
      </c>
      <c r="C16" s="5">
        <v>475.36999500000002</v>
      </c>
      <c r="D16" s="5">
        <v>310.02999899999998</v>
      </c>
      <c r="E16" s="5">
        <v>426.07998700000002</v>
      </c>
      <c r="F16" s="5">
        <v>426.07998700000002</v>
      </c>
      <c r="G16" s="6">
        <f t="shared" si="0"/>
        <v>0.30156404729796166</v>
      </c>
      <c r="H16" s="6">
        <f t="shared" si="1"/>
        <v>0.5333032175379907</v>
      </c>
      <c r="J16" s="26"/>
      <c r="K16" s="27"/>
      <c r="L16" s="27"/>
      <c r="M16" s="27"/>
      <c r="N16" s="27"/>
      <c r="O16" s="28"/>
      <c r="P16" s="10"/>
      <c r="Q16" s="26"/>
      <c r="R16" s="27"/>
      <c r="S16" s="27"/>
      <c r="T16" s="27"/>
      <c r="U16" s="27"/>
      <c r="V16" s="28"/>
    </row>
    <row r="17" spans="1:22" x14ac:dyDescent="0.25">
      <c r="A17" s="47">
        <v>44075</v>
      </c>
      <c r="B17" s="5">
        <v>297.10000600000001</v>
      </c>
      <c r="C17" s="5">
        <v>340.290009</v>
      </c>
      <c r="D17" s="5">
        <v>293.32998700000002</v>
      </c>
      <c r="E17" s="5">
        <v>327.35998499999999</v>
      </c>
      <c r="F17" s="5">
        <v>327.35998499999999</v>
      </c>
      <c r="G17" s="6">
        <f t="shared" si="0"/>
        <v>0.10229635960246498</v>
      </c>
      <c r="H17" s="6">
        <f t="shared" si="1"/>
        <v>0.16009281042241336</v>
      </c>
      <c r="J17" s="29" t="s">
        <v>37</v>
      </c>
      <c r="K17" s="30"/>
      <c r="L17" s="27"/>
      <c r="M17" s="27"/>
      <c r="N17" s="27"/>
      <c r="O17" s="28"/>
      <c r="P17" s="10"/>
      <c r="Q17" s="29" t="s">
        <v>37</v>
      </c>
      <c r="R17" s="30"/>
      <c r="S17" s="27"/>
      <c r="T17" s="27"/>
      <c r="U17" s="27"/>
      <c r="V17" s="28"/>
    </row>
    <row r="18" spans="1:22" x14ac:dyDescent="0.25">
      <c r="A18" s="47">
        <v>44044</v>
      </c>
      <c r="B18" s="5">
        <v>296.01001000000002</v>
      </c>
      <c r="C18" s="5">
        <v>316.27999899999998</v>
      </c>
      <c r="D18" s="5">
        <v>279.82998700000002</v>
      </c>
      <c r="E18" s="5">
        <v>296.98001099999999</v>
      </c>
      <c r="F18" s="5">
        <v>296.98001099999999</v>
      </c>
      <c r="G18" s="6">
        <f t="shared" si="0"/>
        <v>1.0754897300101198E-2</v>
      </c>
      <c r="H18" s="6">
        <f t="shared" si="1"/>
        <v>0.1302577053687958</v>
      </c>
      <c r="J18" s="26"/>
      <c r="K18" s="27"/>
      <c r="L18" s="27"/>
      <c r="M18" s="27"/>
      <c r="N18" s="27"/>
      <c r="O18" s="28"/>
      <c r="P18" s="10"/>
      <c r="Q18" s="26"/>
      <c r="R18" s="27"/>
      <c r="S18" s="27"/>
      <c r="T18" s="27"/>
      <c r="U18" s="27"/>
      <c r="V18" s="28"/>
    </row>
    <row r="19" spans="1:22" x14ac:dyDescent="0.25">
      <c r="A19" s="47">
        <v>44013</v>
      </c>
      <c r="B19" s="5">
        <v>275.95001200000002</v>
      </c>
      <c r="C19" s="5">
        <v>326.35998499999999</v>
      </c>
      <c r="D19" s="5">
        <v>267.63000499999998</v>
      </c>
      <c r="E19" s="5">
        <v>293.82000699999998</v>
      </c>
      <c r="F19" s="5">
        <v>293.82000699999998</v>
      </c>
      <c r="G19" s="6">
        <f t="shared" si="0"/>
        <v>7.0616545907181499E-2</v>
      </c>
      <c r="H19" s="6">
        <f t="shared" si="1"/>
        <v>0.21944467698978676</v>
      </c>
      <c r="J19" s="26" t="s">
        <v>11</v>
      </c>
      <c r="K19" s="31">
        <f>AVERAGE(G:G)</f>
        <v>3.3565443487007143E-2</v>
      </c>
      <c r="L19" s="27"/>
      <c r="M19" s="27"/>
      <c r="N19" s="27"/>
      <c r="O19" s="28"/>
      <c r="P19" s="10"/>
      <c r="Q19" s="26" t="s">
        <v>11</v>
      </c>
      <c r="R19" s="31">
        <f>AVERAGE(H:H)</f>
        <v>0.28813376655738926</v>
      </c>
      <c r="S19" s="27"/>
      <c r="T19" s="27"/>
      <c r="U19" s="27"/>
      <c r="V19" s="28"/>
    </row>
    <row r="20" spans="1:22" x14ac:dyDescent="0.25">
      <c r="A20" s="47">
        <v>43983</v>
      </c>
      <c r="B20" s="5">
        <v>247.33999600000001</v>
      </c>
      <c r="C20" s="5">
        <v>292.040009</v>
      </c>
      <c r="D20" s="5">
        <v>237.240005</v>
      </c>
      <c r="E20" s="5">
        <v>274.44000199999999</v>
      </c>
      <c r="F20" s="5">
        <v>274.44000199999999</v>
      </c>
      <c r="G20" s="6">
        <f t="shared" si="0"/>
        <v>0.11733575273462572</v>
      </c>
      <c r="H20" s="6">
        <f t="shared" si="1"/>
        <v>0.23098972704877493</v>
      </c>
      <c r="J20" s="26" t="s">
        <v>12</v>
      </c>
      <c r="K20" s="31">
        <f>_xlfn.STDEV.S(G:G)/SQRT(COUNT(G:G))</f>
        <v>1.15659544709061E-2</v>
      </c>
      <c r="L20" s="32"/>
      <c r="M20" s="27"/>
      <c r="N20" s="27"/>
      <c r="O20" s="28"/>
      <c r="P20" s="10"/>
      <c r="Q20" s="26" t="s">
        <v>12</v>
      </c>
      <c r="R20" s="31">
        <f>_xlfn.STDEV.S(H:H)/SQRT(COUNT(H:H))</f>
        <v>1.7920373854240435E-2</v>
      </c>
      <c r="S20" s="32"/>
      <c r="T20" s="27"/>
      <c r="U20" s="27"/>
      <c r="V20" s="28"/>
    </row>
    <row r="21" spans="1:22" x14ac:dyDescent="0.25">
      <c r="A21" s="47">
        <v>43952</v>
      </c>
      <c r="B21" s="5">
        <v>208.08000200000001</v>
      </c>
      <c r="C21" s="5">
        <v>255.64999399999999</v>
      </c>
      <c r="D21" s="5">
        <v>195.55999800000001</v>
      </c>
      <c r="E21" s="5">
        <v>245.61999499999999</v>
      </c>
      <c r="F21" s="5">
        <v>245.61999499999999</v>
      </c>
      <c r="G21" s="6">
        <f t="shared" si="0"/>
        <v>0.14321614214895567</v>
      </c>
      <c r="H21" s="6">
        <f t="shared" si="1"/>
        <v>0.30727140833781347</v>
      </c>
      <c r="J21" s="26" t="s">
        <v>13</v>
      </c>
      <c r="K21" s="31">
        <f>MEDIAN(G:G)</f>
        <v>1.8185326660568515E-2</v>
      </c>
      <c r="L21" s="27"/>
      <c r="M21" s="27"/>
      <c r="N21" s="27"/>
      <c r="O21" s="28"/>
      <c r="P21" s="10"/>
      <c r="Q21" s="26" t="s">
        <v>13</v>
      </c>
      <c r="R21" s="31">
        <f>MEDIAN(H:H)</f>
        <v>0.20197904540162973</v>
      </c>
      <c r="S21" s="27"/>
      <c r="T21" s="27"/>
      <c r="U21" s="27"/>
      <c r="V21" s="28"/>
    </row>
    <row r="22" spans="1:22" x14ac:dyDescent="0.25">
      <c r="A22" s="47">
        <v>43922</v>
      </c>
      <c r="B22" s="5">
        <v>164.08999600000001</v>
      </c>
      <c r="C22" s="5">
        <v>227.44000199999999</v>
      </c>
      <c r="D22" s="5">
        <v>150.38000500000001</v>
      </c>
      <c r="E22" s="5">
        <v>214.85000600000001</v>
      </c>
      <c r="F22" s="5">
        <v>214.85000600000001</v>
      </c>
      <c r="G22" s="6">
        <f t="shared" si="0"/>
        <v>0.23512509172391657</v>
      </c>
      <c r="H22" s="6">
        <f t="shared" si="1"/>
        <v>0.5124351272630957</v>
      </c>
      <c r="J22" s="26" t="s">
        <v>14</v>
      </c>
      <c r="K22" s="31">
        <f>MODE(G:G)</f>
        <v>0</v>
      </c>
      <c r="L22" s="27"/>
      <c r="M22" s="27"/>
      <c r="N22" s="27"/>
      <c r="O22" s="28"/>
      <c r="P22" s="10"/>
      <c r="Q22" s="26" t="s">
        <v>14</v>
      </c>
      <c r="R22" s="31" t="e">
        <f>MODE(H:H)</f>
        <v>#N/A</v>
      </c>
      <c r="S22" s="27"/>
      <c r="T22" s="27"/>
      <c r="U22" s="27"/>
      <c r="V22" s="28"/>
    </row>
    <row r="23" spans="1:22" x14ac:dyDescent="0.25">
      <c r="A23" s="47">
        <v>43891</v>
      </c>
      <c r="B23" s="5">
        <v>218.91000399999999</v>
      </c>
      <c r="C23" s="5">
        <v>238.679993</v>
      </c>
      <c r="D23" s="5">
        <v>127.879997</v>
      </c>
      <c r="E23" s="5">
        <v>173.949997</v>
      </c>
      <c r="F23" s="5">
        <v>173.949997</v>
      </c>
      <c r="G23" s="6">
        <f t="shared" si="0"/>
        <v>-0.20334329187057595</v>
      </c>
      <c r="H23" s="6">
        <f t="shared" si="1"/>
        <v>0.86643727400149995</v>
      </c>
      <c r="J23" s="26" t="s">
        <v>15</v>
      </c>
      <c r="K23" s="31">
        <f>_xlfn.STDEV.S(G:G)</f>
        <v>0.18287379720935473</v>
      </c>
      <c r="L23" s="27"/>
      <c r="M23" s="27"/>
      <c r="N23" s="27"/>
      <c r="O23" s="28"/>
      <c r="P23" s="10"/>
      <c r="Q23" s="26" t="s">
        <v>15</v>
      </c>
      <c r="R23" s="31">
        <f>_xlfn.STDEV.S(H:H)</f>
        <v>0.28391211592324089</v>
      </c>
      <c r="S23" s="27"/>
      <c r="T23" s="27"/>
      <c r="U23" s="27"/>
      <c r="V23" s="28"/>
    </row>
    <row r="24" spans="1:22" x14ac:dyDescent="0.25">
      <c r="A24" s="47">
        <v>43862</v>
      </c>
      <c r="B24" s="5">
        <v>257.5</v>
      </c>
      <c r="C24" s="5">
        <v>277.67999300000002</v>
      </c>
      <c r="D24" s="5">
        <v>211.009995</v>
      </c>
      <c r="E24" s="5">
        <v>218.35000600000001</v>
      </c>
      <c r="F24" s="5">
        <v>218.35000600000001</v>
      </c>
      <c r="G24" s="6">
        <f t="shared" si="0"/>
        <v>-0.15071956085446375</v>
      </c>
      <c r="H24" s="6">
        <f t="shared" si="1"/>
        <v>0.31595658774362806</v>
      </c>
      <c r="J24" s="26" t="s">
        <v>16</v>
      </c>
      <c r="K24" s="31">
        <f>_xlfn.VAR.S(G:G)</f>
        <v>3.3442825705768196E-2</v>
      </c>
      <c r="L24" s="27"/>
      <c r="M24" s="27"/>
      <c r="N24" s="27"/>
      <c r="O24" s="28"/>
      <c r="P24" s="10"/>
      <c r="Q24" s="26" t="s">
        <v>16</v>
      </c>
      <c r="R24" s="31">
        <f>_xlfn.VAR.S(H:H)</f>
        <v>8.0606089568011768E-2</v>
      </c>
      <c r="S24" s="27"/>
      <c r="T24" s="27"/>
      <c r="U24" s="27"/>
      <c r="V24" s="28"/>
    </row>
    <row r="25" spans="1:22" x14ac:dyDescent="0.25">
      <c r="A25" s="47">
        <v>43831</v>
      </c>
      <c r="B25" s="5">
        <v>281.20001200000002</v>
      </c>
      <c r="C25" s="5">
        <v>301.64999399999999</v>
      </c>
      <c r="D25" s="5">
        <v>248.35000600000001</v>
      </c>
      <c r="E25" s="5">
        <v>257.10000600000001</v>
      </c>
      <c r="F25" s="5">
        <v>257.10000600000001</v>
      </c>
      <c r="G25" s="6">
        <f t="shared" si="0"/>
        <v>-7.8626728398650494E-2</v>
      </c>
      <c r="H25" s="6">
        <f t="shared" si="1"/>
        <v>0.21461641518945637</v>
      </c>
      <c r="J25" s="26" t="s">
        <v>17</v>
      </c>
      <c r="K25" s="33">
        <f>KURT(G:G)</f>
        <v>7.9518745644684152</v>
      </c>
      <c r="L25" s="27"/>
      <c r="M25" s="27"/>
      <c r="N25" s="27"/>
      <c r="O25" s="28"/>
      <c r="P25" s="10"/>
      <c r="Q25" s="26" t="s">
        <v>17</v>
      </c>
      <c r="R25" s="33">
        <f>KURT(H:H)</f>
        <v>17.79340372691501</v>
      </c>
      <c r="S25" s="27"/>
      <c r="T25" s="27"/>
      <c r="U25" s="27"/>
      <c r="V25" s="28"/>
    </row>
    <row r="26" spans="1:22" x14ac:dyDescent="0.25">
      <c r="A26" s="47">
        <v>43800</v>
      </c>
      <c r="B26" s="5">
        <v>276.540009</v>
      </c>
      <c r="C26" s="5">
        <v>280.67999300000002</v>
      </c>
      <c r="D26" s="5">
        <v>257.42999300000002</v>
      </c>
      <c r="E26" s="5">
        <v>279.040009</v>
      </c>
      <c r="F26" s="5">
        <v>279.040009</v>
      </c>
      <c r="G26" s="6">
        <f t="shared" si="0"/>
        <v>6.1297073069836372E-3</v>
      </c>
      <c r="H26" s="6">
        <f t="shared" si="1"/>
        <v>9.0315816463546264E-2</v>
      </c>
      <c r="J26" s="26" t="s">
        <v>18</v>
      </c>
      <c r="K26" s="33">
        <f>SKEW(G:G)</f>
        <v>1.3731008789201715</v>
      </c>
      <c r="L26" s="27"/>
      <c r="M26" s="27"/>
      <c r="N26" s="27"/>
      <c r="O26" s="28"/>
      <c r="P26" s="10"/>
      <c r="Q26" s="26" t="s">
        <v>18</v>
      </c>
      <c r="R26" s="33">
        <f>SKEW(H:H)</f>
        <v>3.6433734956377801</v>
      </c>
      <c r="S26" s="27"/>
      <c r="T26" s="27"/>
      <c r="U26" s="27"/>
      <c r="V26" s="28"/>
    </row>
    <row r="27" spans="1:22" x14ac:dyDescent="0.25">
      <c r="A27" s="47">
        <v>43770</v>
      </c>
      <c r="B27" s="5">
        <v>254.30999800000001</v>
      </c>
      <c r="C27" s="5">
        <v>281.57000699999998</v>
      </c>
      <c r="D27" s="5">
        <v>253.020004</v>
      </c>
      <c r="E27" s="5">
        <v>277.33999599999999</v>
      </c>
      <c r="F27" s="5">
        <v>277.33999599999999</v>
      </c>
      <c r="G27" s="6">
        <f t="shared" si="0"/>
        <v>9.9290513674872447E-2</v>
      </c>
      <c r="H27" s="6">
        <f t="shared" si="1"/>
        <v>0.11283693995989336</v>
      </c>
      <c r="J27" s="26" t="s">
        <v>9</v>
      </c>
      <c r="K27" s="31">
        <f>K29-K28</f>
        <v>1.697945557267591</v>
      </c>
      <c r="L27" s="27"/>
      <c r="M27" s="27"/>
      <c r="N27" s="27"/>
      <c r="O27" s="28"/>
      <c r="P27" s="10"/>
      <c r="Q27" s="26" t="s">
        <v>9</v>
      </c>
      <c r="R27" s="31">
        <f>R29-R28</f>
        <v>2.2647103732566873</v>
      </c>
      <c r="S27" s="27"/>
      <c r="T27" s="27"/>
      <c r="U27" s="27"/>
      <c r="V27" s="28"/>
    </row>
    <row r="28" spans="1:22" x14ac:dyDescent="0.25">
      <c r="A28" s="47">
        <v>43739</v>
      </c>
      <c r="B28" s="5">
        <v>181.220001</v>
      </c>
      <c r="C28" s="5">
        <v>257.63000499999998</v>
      </c>
      <c r="D28" s="5">
        <v>175.520004</v>
      </c>
      <c r="E28" s="5">
        <v>252.28999300000001</v>
      </c>
      <c r="F28" s="5">
        <v>252.28999300000001</v>
      </c>
      <c r="G28" s="6">
        <f t="shared" si="0"/>
        <v>0.39448372644797408</v>
      </c>
      <c r="H28" s="6">
        <f t="shared" si="1"/>
        <v>0.46780993122584469</v>
      </c>
      <c r="J28" s="26" t="s">
        <v>19</v>
      </c>
      <c r="K28" s="31">
        <f>MIN(G:G)</f>
        <v>-0.66969696969696968</v>
      </c>
      <c r="L28" s="27"/>
      <c r="M28" s="27"/>
      <c r="N28" s="27"/>
      <c r="O28" s="28"/>
      <c r="P28" s="10"/>
      <c r="Q28" s="26" t="s">
        <v>19</v>
      </c>
      <c r="R28" s="31">
        <f>MIN(H:H)</f>
        <v>6.0977700137807851E-2</v>
      </c>
      <c r="S28" s="27"/>
      <c r="T28" s="27"/>
      <c r="U28" s="27"/>
      <c r="V28" s="28"/>
    </row>
    <row r="29" spans="1:22" x14ac:dyDescent="0.25">
      <c r="A29" s="47">
        <v>43709</v>
      </c>
      <c r="B29" s="5">
        <v>182.229996</v>
      </c>
      <c r="C29" s="5">
        <v>188.16000399999999</v>
      </c>
      <c r="D29" s="5">
        <v>169.83999600000001</v>
      </c>
      <c r="E29" s="5">
        <v>180.91999799999999</v>
      </c>
      <c r="F29" s="5">
        <v>180.91999799999999</v>
      </c>
      <c r="G29" s="6">
        <f t="shared" si="0"/>
        <v>-1.1960040347550533E-2</v>
      </c>
      <c r="H29" s="6">
        <f t="shared" si="1"/>
        <v>0.10786627668078826</v>
      </c>
      <c r="J29" s="26" t="s">
        <v>20</v>
      </c>
      <c r="K29" s="31">
        <f>MAX(G:G)</f>
        <v>1.0282485875706213</v>
      </c>
      <c r="L29" s="27"/>
      <c r="M29" s="27"/>
      <c r="N29" s="27"/>
      <c r="O29" s="28"/>
      <c r="P29" s="10"/>
      <c r="Q29" s="26" t="s">
        <v>20</v>
      </c>
      <c r="R29" s="31">
        <f>MAX(H:H)</f>
        <v>2.3256880733944953</v>
      </c>
      <c r="S29" s="27"/>
      <c r="T29" s="27"/>
      <c r="U29" s="27"/>
      <c r="V29" s="28"/>
    </row>
    <row r="30" spans="1:22" x14ac:dyDescent="0.25">
      <c r="A30" s="47">
        <v>43678</v>
      </c>
      <c r="B30" s="5">
        <v>209.08999600000001</v>
      </c>
      <c r="C30" s="5">
        <v>209.990005</v>
      </c>
      <c r="D30" s="5">
        <v>172.11000100000001</v>
      </c>
      <c r="E30" s="5">
        <v>183.11000100000001</v>
      </c>
      <c r="F30" s="5">
        <v>183.11000100000001</v>
      </c>
      <c r="G30" s="6">
        <f t="shared" si="0"/>
        <v>-0.1242108319857391</v>
      </c>
      <c r="H30" s="6">
        <f t="shared" si="1"/>
        <v>0.22009182371685643</v>
      </c>
      <c r="J30" s="26" t="s">
        <v>21</v>
      </c>
      <c r="K30" s="33">
        <f>SUM(G:G)</f>
        <v>8.391360871751786</v>
      </c>
      <c r="L30" s="27"/>
      <c r="M30" s="27"/>
      <c r="N30" s="27"/>
      <c r="O30" s="28"/>
      <c r="P30" s="10"/>
      <c r="Q30" s="26" t="s">
        <v>21</v>
      </c>
      <c r="R30" s="33">
        <f>SUM(H:H)</f>
        <v>72.32157540590471</v>
      </c>
      <c r="S30" s="27"/>
      <c r="T30" s="27"/>
      <c r="U30" s="27"/>
      <c r="V30" s="28"/>
    </row>
    <row r="31" spans="1:22" ht="15.75" thickBot="1" x14ac:dyDescent="0.3">
      <c r="A31" s="47">
        <v>43647</v>
      </c>
      <c r="B31" s="5">
        <v>280.64001500000001</v>
      </c>
      <c r="C31" s="5">
        <v>290.77999899999998</v>
      </c>
      <c r="D31" s="5">
        <v>189.60000600000001</v>
      </c>
      <c r="E31" s="5">
        <v>209.08000200000001</v>
      </c>
      <c r="F31" s="5">
        <v>209.08000200000001</v>
      </c>
      <c r="G31" s="6">
        <f t="shared" si="0"/>
        <v>-0.23609794361280484</v>
      </c>
      <c r="H31" s="6">
        <f t="shared" si="1"/>
        <v>0.53364973522205461</v>
      </c>
      <c r="J31" s="7" t="s">
        <v>22</v>
      </c>
      <c r="K31" s="8">
        <f>COUNT(G:G)</f>
        <v>250</v>
      </c>
      <c r="L31" s="27"/>
      <c r="M31" s="27"/>
      <c r="N31" s="27"/>
      <c r="O31" s="28"/>
      <c r="P31" s="10"/>
      <c r="Q31" s="7" t="s">
        <v>22</v>
      </c>
      <c r="R31" s="8">
        <f>COUNT(H:H)</f>
        <v>251</v>
      </c>
      <c r="S31" s="27"/>
      <c r="T31" s="27"/>
      <c r="U31" s="27"/>
      <c r="V31" s="28"/>
    </row>
    <row r="32" spans="1:22" ht="15.75" thickBot="1" x14ac:dyDescent="0.3">
      <c r="A32" s="47">
        <v>43617</v>
      </c>
      <c r="B32" s="5">
        <v>282.85998499999999</v>
      </c>
      <c r="C32" s="5">
        <v>319.17001299999998</v>
      </c>
      <c r="D32" s="5">
        <v>263.70001200000002</v>
      </c>
      <c r="E32" s="5">
        <v>273.70001200000002</v>
      </c>
      <c r="F32" s="5">
        <v>273.70001200000002</v>
      </c>
      <c r="G32" s="6">
        <f t="shared" si="0"/>
        <v>-3.7453820204948376E-2</v>
      </c>
      <c r="H32" s="6">
        <f t="shared" si="1"/>
        <v>0.21035266771243061</v>
      </c>
      <c r="J32" s="26"/>
      <c r="K32" s="27"/>
      <c r="L32" s="27"/>
      <c r="M32" s="27"/>
      <c r="N32" s="27"/>
      <c r="O32" s="28"/>
      <c r="P32" s="10"/>
      <c r="Q32" s="26"/>
      <c r="R32" s="27"/>
      <c r="S32" s="27"/>
      <c r="T32" s="27"/>
      <c r="U32" s="27"/>
      <c r="V32" s="28"/>
    </row>
    <row r="33" spans="1:22" x14ac:dyDescent="0.25">
      <c r="A33" s="47">
        <v>43586</v>
      </c>
      <c r="B33" s="5">
        <v>325.26001000000002</v>
      </c>
      <c r="C33" s="5">
        <v>334.64001500000001</v>
      </c>
      <c r="D33" s="5">
        <v>272.60000600000001</v>
      </c>
      <c r="E33" s="5">
        <v>284.35000600000001</v>
      </c>
      <c r="F33" s="5">
        <v>284.35000600000001</v>
      </c>
      <c r="G33" s="6">
        <f t="shared" si="0"/>
        <v>-0.1242145739482014</v>
      </c>
      <c r="H33" s="6">
        <f t="shared" si="1"/>
        <v>0.22758623490272409</v>
      </c>
      <c r="J33" s="34"/>
      <c r="K33" s="35" t="s">
        <v>29</v>
      </c>
      <c r="L33" s="35" t="s">
        <v>22</v>
      </c>
      <c r="M33" s="35" t="s">
        <v>28</v>
      </c>
      <c r="N33" s="36" t="s">
        <v>30</v>
      </c>
      <c r="O33" s="28"/>
      <c r="P33" s="10"/>
      <c r="Q33" s="34"/>
      <c r="R33" s="35" t="s">
        <v>29</v>
      </c>
      <c r="S33" s="35" t="s">
        <v>22</v>
      </c>
      <c r="T33" s="35" t="s">
        <v>28</v>
      </c>
      <c r="U33" s="36" t="s">
        <v>30</v>
      </c>
      <c r="V33" s="28"/>
    </row>
    <row r="34" spans="1:22" x14ac:dyDescent="0.25">
      <c r="A34" s="47">
        <v>43556</v>
      </c>
      <c r="B34" s="5">
        <v>287.44000199999999</v>
      </c>
      <c r="C34" s="5">
        <v>325.36999500000002</v>
      </c>
      <c r="D34" s="5">
        <v>271.66000400000001</v>
      </c>
      <c r="E34" s="5">
        <v>324.67999300000002</v>
      </c>
      <c r="F34" s="5">
        <v>324.67999300000002</v>
      </c>
      <c r="G34" s="6">
        <f t="shared" si="0"/>
        <v>0.14191259397483111</v>
      </c>
      <c r="H34" s="6">
        <f t="shared" si="1"/>
        <v>0.19771033721990228</v>
      </c>
      <c r="J34" s="37" t="s">
        <v>26</v>
      </c>
      <c r="K34" s="20">
        <f>AVERAGEIF(G:G,"&gt;0")</f>
        <v>0.1335683901256034</v>
      </c>
      <c r="L34" s="19">
        <f>COUNTIF(G:G,"&gt;0")</f>
        <v>144</v>
      </c>
      <c r="M34" s="20">
        <f>L34/$K$31</f>
        <v>0.57599999999999996</v>
      </c>
      <c r="N34" s="21">
        <f>M34*K34</f>
        <v>7.6935392712347547E-2</v>
      </c>
      <c r="O34" s="28"/>
      <c r="P34" s="10"/>
      <c r="Q34" s="37" t="s">
        <v>26</v>
      </c>
      <c r="R34" s="20">
        <f>AVERAGEIF(H:H,"&gt;0")</f>
        <v>0.28813376655738926</v>
      </c>
      <c r="S34" s="19">
        <f>COUNTIF(H:H,"&gt;0")</f>
        <v>251</v>
      </c>
      <c r="T34" s="20">
        <f>S34/$R$31</f>
        <v>1</v>
      </c>
      <c r="U34" s="21">
        <f>T34*R34</f>
        <v>0.28813376655738926</v>
      </c>
      <c r="V34" s="28"/>
    </row>
    <row r="35" spans="1:22" x14ac:dyDescent="0.25">
      <c r="A35" s="47">
        <v>43525</v>
      </c>
      <c r="B35" s="5">
        <v>261.23998999999998</v>
      </c>
      <c r="C35" s="5">
        <v>284.60998499999999</v>
      </c>
      <c r="D35" s="5">
        <v>224.58000200000001</v>
      </c>
      <c r="E35" s="5">
        <v>284.32998700000002</v>
      </c>
      <c r="F35" s="5">
        <v>284.32998700000002</v>
      </c>
      <c r="G35" s="6">
        <f t="shared" si="0"/>
        <v>9.7926346302944917E-2</v>
      </c>
      <c r="H35" s="6">
        <f t="shared" si="1"/>
        <v>0.26729887997774615</v>
      </c>
      <c r="J35" s="37" t="s">
        <v>27</v>
      </c>
      <c r="K35" s="20">
        <f>AVERAGEIF(G:G,"&lt;0")</f>
        <v>-0.10425468563783749</v>
      </c>
      <c r="L35" s="19">
        <f>COUNTIF(G:G,"&lt;0")</f>
        <v>104</v>
      </c>
      <c r="M35" s="20">
        <f>L35/$K$31</f>
        <v>0.41599999999999998</v>
      </c>
      <c r="N35" s="21">
        <f t="shared" ref="N35:N36" si="12">M35*K35</f>
        <v>-4.3369949225340397E-2</v>
      </c>
      <c r="O35" s="28"/>
      <c r="P35" s="10"/>
      <c r="Q35" s="37" t="s">
        <v>27</v>
      </c>
      <c r="R35" s="20"/>
      <c r="S35" s="19"/>
      <c r="T35" s="20"/>
      <c r="U35" s="21"/>
      <c r="V35" s="28"/>
    </row>
    <row r="36" spans="1:22" ht="15.75" thickBot="1" x14ac:dyDescent="0.3">
      <c r="A36" s="47">
        <v>43497</v>
      </c>
      <c r="B36" s="5">
        <v>248.08000200000001</v>
      </c>
      <c r="C36" s="5">
        <v>263.64001500000001</v>
      </c>
      <c r="D36" s="5">
        <v>234.229996</v>
      </c>
      <c r="E36" s="5">
        <v>258.97000100000002</v>
      </c>
      <c r="F36" s="5">
        <v>258.97000100000002</v>
      </c>
      <c r="G36" s="6">
        <f t="shared" si="0"/>
        <v>4.0249062545680725E-2</v>
      </c>
      <c r="H36" s="6">
        <f t="shared" si="1"/>
        <v>0.1255604299288807</v>
      </c>
      <c r="J36" s="38" t="s">
        <v>31</v>
      </c>
      <c r="K36" s="23">
        <v>0</v>
      </c>
      <c r="L36" s="23">
        <f>COUNTIF(G:G,"0")</f>
        <v>2</v>
      </c>
      <c r="M36" s="24">
        <f>L36/$K$31</f>
        <v>8.0000000000000002E-3</v>
      </c>
      <c r="N36" s="25">
        <f t="shared" si="12"/>
        <v>0</v>
      </c>
      <c r="O36" s="28"/>
      <c r="P36" s="10"/>
      <c r="Q36" s="38" t="s">
        <v>31</v>
      </c>
      <c r="R36" s="23">
        <v>0</v>
      </c>
      <c r="S36" s="23">
        <f>COUNTIF(H:H,"0")</f>
        <v>0</v>
      </c>
      <c r="T36" s="24">
        <f>S36/$R$31</f>
        <v>0</v>
      </c>
      <c r="U36" s="25">
        <f>T36*R36</f>
        <v>0</v>
      </c>
      <c r="V36" s="28"/>
    </row>
    <row r="37" spans="1:22" ht="15.75" thickBot="1" x14ac:dyDescent="0.3">
      <c r="A37" s="47">
        <v>43466</v>
      </c>
      <c r="B37" s="5">
        <v>205.320007</v>
      </c>
      <c r="C37" s="5">
        <v>249.240005</v>
      </c>
      <c r="D37" s="5">
        <v>177.929993</v>
      </c>
      <c r="E37" s="5">
        <v>248.949997</v>
      </c>
      <c r="F37" s="5">
        <v>248.949997</v>
      </c>
      <c r="G37" s="6">
        <f t="shared" si="0"/>
        <v>0.18870269455626634</v>
      </c>
      <c r="H37" s="6">
        <f t="shared" si="1"/>
        <v>0.40077566911386325</v>
      </c>
      <c r="J37" s="26"/>
      <c r="K37" s="27"/>
      <c r="L37" s="27"/>
      <c r="M37" s="27"/>
      <c r="N37" s="27"/>
      <c r="O37" s="28"/>
      <c r="P37" s="10"/>
      <c r="Q37" s="26"/>
      <c r="R37" s="27"/>
      <c r="S37" s="27"/>
      <c r="T37" s="27"/>
      <c r="U37" s="27"/>
      <c r="V37" s="28"/>
    </row>
    <row r="38" spans="1:22" x14ac:dyDescent="0.25">
      <c r="A38" s="47">
        <v>43435</v>
      </c>
      <c r="B38" s="5">
        <v>234.39999399999999</v>
      </c>
      <c r="C38" s="5">
        <v>235.91999799999999</v>
      </c>
      <c r="D38" s="5">
        <v>190.75</v>
      </c>
      <c r="E38" s="5">
        <v>209.429993</v>
      </c>
      <c r="F38" s="5">
        <v>209.429993</v>
      </c>
      <c r="G38" s="6">
        <f t="shared" si="0"/>
        <v>-8.8999113006216476E-2</v>
      </c>
      <c r="H38" s="6">
        <f t="shared" si="1"/>
        <v>0.23680208650065526</v>
      </c>
      <c r="J38" s="39" t="s">
        <v>25</v>
      </c>
      <c r="K38" s="35" t="s">
        <v>32</v>
      </c>
      <c r="L38" s="35" t="s">
        <v>33</v>
      </c>
      <c r="M38" s="35" t="s">
        <v>34</v>
      </c>
      <c r="N38" s="35" t="s">
        <v>35</v>
      </c>
      <c r="O38" s="36" t="s">
        <v>36</v>
      </c>
      <c r="P38" s="10"/>
      <c r="Q38" s="39" t="s">
        <v>25</v>
      </c>
      <c r="R38" s="35" t="s">
        <v>32</v>
      </c>
      <c r="S38" s="35" t="s">
        <v>33</v>
      </c>
      <c r="T38" s="35" t="s">
        <v>34</v>
      </c>
      <c r="U38" s="35" t="s">
        <v>35</v>
      </c>
      <c r="V38" s="36" t="s">
        <v>36</v>
      </c>
    </row>
    <row r="39" spans="1:22" x14ac:dyDescent="0.25">
      <c r="A39" s="47">
        <v>43405</v>
      </c>
      <c r="B39" s="5">
        <v>222.270004</v>
      </c>
      <c r="C39" s="5">
        <v>248.5</v>
      </c>
      <c r="D39" s="5">
        <v>188.570007</v>
      </c>
      <c r="E39" s="5">
        <v>229.88999899999999</v>
      </c>
      <c r="F39" s="5">
        <v>229.88999899999999</v>
      </c>
      <c r="G39" s="6">
        <f t="shared" si="0"/>
        <v>3.9285723860113766E-2</v>
      </c>
      <c r="H39" s="6">
        <f t="shared" si="1"/>
        <v>0.31781296481576732</v>
      </c>
      <c r="J39" s="40">
        <v>1</v>
      </c>
      <c r="K39" s="20">
        <f>$K$19+($J39*$K$23)</f>
        <v>0.21643924069636189</v>
      </c>
      <c r="L39" s="20">
        <f>$K$19-($J39*$K$23)</f>
        <v>-0.14930835372234758</v>
      </c>
      <c r="M39" s="19">
        <f>COUNTIFS(G:G,"&lt;"&amp;K39,G:G,"&gt;"&amp;L39)</f>
        <v>201</v>
      </c>
      <c r="N39" s="20">
        <f>M39/$K$31</f>
        <v>0.80400000000000005</v>
      </c>
      <c r="O39" s="21">
        <v>0.68269999999999997</v>
      </c>
      <c r="P39" s="10"/>
      <c r="Q39" s="40">
        <v>1</v>
      </c>
      <c r="R39" s="20">
        <f>$R$19+($Q39*$R$23)</f>
        <v>0.57204588248063015</v>
      </c>
      <c r="S39" s="20">
        <f>$R$19-($Q39*$R$23)</f>
        <v>4.2216506341483662E-3</v>
      </c>
      <c r="T39" s="19">
        <f>COUNTIFS(H:H,"&lt;"&amp;R39,H:H,"&gt;"&amp;S39)</f>
        <v>228</v>
      </c>
      <c r="U39" s="20">
        <f>T39/$R$31</f>
        <v>0.9083665338645418</v>
      </c>
      <c r="V39" s="21">
        <v>0.68269999999999997</v>
      </c>
    </row>
    <row r="40" spans="1:22" x14ac:dyDescent="0.25">
      <c r="A40" s="47">
        <v>43374</v>
      </c>
      <c r="B40" s="5">
        <v>393.35998499999999</v>
      </c>
      <c r="C40" s="5">
        <v>397.85000600000001</v>
      </c>
      <c r="D40" s="5">
        <v>203.11999499999999</v>
      </c>
      <c r="E40" s="5">
        <v>221.199997</v>
      </c>
      <c r="F40" s="5">
        <v>221.199997</v>
      </c>
      <c r="G40" s="6">
        <f t="shared" si="0"/>
        <v>-0.43458924279282957</v>
      </c>
      <c r="H40" s="6">
        <f t="shared" si="1"/>
        <v>0.95869444561575545</v>
      </c>
      <c r="J40" s="40">
        <v>2</v>
      </c>
      <c r="K40" s="20">
        <f>$K$19+($J40*$K$23)</f>
        <v>0.39931303790571659</v>
      </c>
      <c r="L40" s="20">
        <f>$K$19-($J40*$K$23)</f>
        <v>-0.33218215093170234</v>
      </c>
      <c r="M40" s="19">
        <f>COUNTIFS(G:G,"&lt;"&amp;K40,G:G,"&gt;"&amp;L40)</f>
        <v>238</v>
      </c>
      <c r="N40" s="20">
        <f>M40/$K$31</f>
        <v>0.95199999999999996</v>
      </c>
      <c r="O40" s="21">
        <v>0.95450000000000002</v>
      </c>
      <c r="P40" s="10"/>
      <c r="Q40" s="40">
        <v>2</v>
      </c>
      <c r="R40" s="20">
        <f t="shared" ref="R40:R41" si="13">$R$19+($Q40*$R$23)</f>
        <v>0.85595799840387099</v>
      </c>
      <c r="S40" s="20">
        <f t="shared" ref="S40:S41" si="14">$R$19-($Q40*$R$23)</f>
        <v>-0.27969046528909253</v>
      </c>
      <c r="T40" s="19">
        <f t="shared" ref="T40:T41" si="15">COUNTIFS(H:H,"&lt;"&amp;R40,H:H,"&gt;"&amp;S40)</f>
        <v>241</v>
      </c>
      <c r="U40" s="20">
        <f t="shared" ref="U40:U41" si="16">T40/$R$31</f>
        <v>0.96015936254980083</v>
      </c>
      <c r="V40" s="21">
        <v>0.95450000000000002</v>
      </c>
    </row>
    <row r="41" spans="1:22" ht="15.75" thickBot="1" x14ac:dyDescent="0.3">
      <c r="A41" s="47">
        <v>43344</v>
      </c>
      <c r="B41" s="5">
        <v>386.64001500000001</v>
      </c>
      <c r="C41" s="5">
        <v>398.88000499999998</v>
      </c>
      <c r="D41" s="5">
        <v>365.20001200000002</v>
      </c>
      <c r="E41" s="5">
        <v>391.22000100000002</v>
      </c>
      <c r="F41" s="5">
        <v>391.22000100000002</v>
      </c>
      <c r="G41" s="6">
        <f t="shared" si="0"/>
        <v>1.2238379058666041E-2</v>
      </c>
      <c r="H41" s="6">
        <f t="shared" si="1"/>
        <v>9.2223417013469228E-2</v>
      </c>
      <c r="J41" s="55">
        <v>3</v>
      </c>
      <c r="K41" s="56">
        <f>$K$19+($J41*$K$23)</f>
        <v>0.58218683511507141</v>
      </c>
      <c r="L41" s="56">
        <f>$K$19-($J41*$K$23)</f>
        <v>-0.51505594814105704</v>
      </c>
      <c r="M41" s="57">
        <f>COUNTIFS(G:G,"&lt;"&amp;K41,G:G,"&gt;"&amp;L41)</f>
        <v>246</v>
      </c>
      <c r="N41" s="56">
        <f>M41/$K$31</f>
        <v>0.98399999999999999</v>
      </c>
      <c r="O41" s="58">
        <v>0.99729999999999996</v>
      </c>
      <c r="P41" s="10"/>
      <c r="Q41" s="22">
        <v>3</v>
      </c>
      <c r="R41" s="24">
        <f t="shared" si="13"/>
        <v>1.1398701143271119</v>
      </c>
      <c r="S41" s="24">
        <f t="shared" si="14"/>
        <v>-0.56360258121233331</v>
      </c>
      <c r="T41" s="23">
        <f t="shared" si="15"/>
        <v>245</v>
      </c>
      <c r="U41" s="24">
        <f t="shared" si="16"/>
        <v>0.9760956175298805</v>
      </c>
      <c r="V41" s="25">
        <v>0.99729999999999996</v>
      </c>
    </row>
    <row r="42" spans="1:22" ht="15.75" thickBot="1" x14ac:dyDescent="0.3">
      <c r="A42" s="47">
        <v>43313</v>
      </c>
      <c r="B42" s="5">
        <v>356.64999399999999</v>
      </c>
      <c r="C42" s="5">
        <v>392.69000199999999</v>
      </c>
      <c r="D42" s="5">
        <v>342.29998799999998</v>
      </c>
      <c r="E42" s="5">
        <v>386.48998999999998</v>
      </c>
      <c r="F42" s="5">
        <v>386.48998999999998</v>
      </c>
      <c r="G42" s="6">
        <f t="shared" si="0"/>
        <v>8.366745128839112E-2</v>
      </c>
      <c r="H42" s="6">
        <f t="shared" si="1"/>
        <v>0.14721009572457247</v>
      </c>
      <c r="J42" s="97" t="s">
        <v>42</v>
      </c>
      <c r="K42" s="98"/>
      <c r="L42" s="98"/>
      <c r="M42" s="98"/>
      <c r="N42" s="98"/>
      <c r="O42" s="99"/>
      <c r="P42" s="10"/>
      <c r="Q42" s="97" t="s">
        <v>42</v>
      </c>
      <c r="R42" s="98"/>
      <c r="S42" s="98"/>
      <c r="T42" s="98"/>
      <c r="U42" s="98"/>
      <c r="V42" s="99"/>
    </row>
    <row r="43" spans="1:22" x14ac:dyDescent="0.25">
      <c r="A43" s="47">
        <v>43282</v>
      </c>
      <c r="B43" s="5">
        <v>334.89999399999999</v>
      </c>
      <c r="C43" s="5">
        <v>385</v>
      </c>
      <c r="D43" s="5">
        <v>332.01001000000002</v>
      </c>
      <c r="E43" s="5">
        <v>356.64999399999999</v>
      </c>
      <c r="F43" s="5">
        <v>356.64999399999999</v>
      </c>
      <c r="G43" s="6">
        <f t="shared" si="0"/>
        <v>4.2409476716717825E-2</v>
      </c>
      <c r="H43" s="6">
        <f t="shared" si="1"/>
        <v>0.1596035914700282</v>
      </c>
      <c r="J43" s="69">
        <v>0.01</v>
      </c>
      <c r="K43" s="70">
        <f>_xlfn.PERCENTILE.INC(G:G,J43)</f>
        <v>-0.38071449771044152</v>
      </c>
      <c r="L43" s="71">
        <v>0.2</v>
      </c>
      <c r="M43" s="70">
        <f>_xlfn.PERCENTILE.INC(G:G,L43)</f>
        <v>-8.028191844848305E-2</v>
      </c>
      <c r="N43" s="71">
        <v>0.85</v>
      </c>
      <c r="O43" s="72">
        <f t="shared" ref="O43:O57" si="17">_xlfn.PERCENTILE.INC(G:G,N43)</f>
        <v>0.16047405558304587</v>
      </c>
      <c r="P43" s="10"/>
      <c r="Q43" s="69">
        <v>0.01</v>
      </c>
      <c r="R43" s="70">
        <f t="shared" ref="R43:R57" si="18">_xlfn.PERCENTILE.INC(H:H,Q43)</f>
        <v>6.4154799827297437E-2</v>
      </c>
      <c r="S43" s="71">
        <v>0.2</v>
      </c>
      <c r="T43" s="70">
        <f t="shared" ref="T43:T55" si="19">_xlfn.PERCENTILE.INC(H:H,S43)</f>
        <v>0.11954286919839952</v>
      </c>
      <c r="U43" s="71">
        <v>0.85</v>
      </c>
      <c r="V43" s="72">
        <f t="shared" ref="V43:V57" si="20">_xlfn.PERCENTILE.INC(H:H,U43)</f>
        <v>0.4338552529832535</v>
      </c>
    </row>
    <row r="44" spans="1:22" x14ac:dyDescent="0.25">
      <c r="A44" s="47">
        <v>43252</v>
      </c>
      <c r="B44" s="5">
        <v>333.17001299999998</v>
      </c>
      <c r="C44" s="5">
        <v>371.54998799999998</v>
      </c>
      <c r="D44" s="5">
        <v>325.27999899999998</v>
      </c>
      <c r="E44" s="5">
        <v>342.14001500000001</v>
      </c>
      <c r="F44" s="5">
        <v>342.14001500000001</v>
      </c>
      <c r="G44" s="6">
        <f t="shared" si="0"/>
        <v>3.0697402113665204E-2</v>
      </c>
      <c r="H44" s="6">
        <f t="shared" si="1"/>
        <v>0.14224664640385717</v>
      </c>
      <c r="J44" s="59">
        <v>0.02</v>
      </c>
      <c r="K44" s="60">
        <f>_xlfn.PERCENTILE.INC(G:G,J44)</f>
        <v>-0.32139428843407891</v>
      </c>
      <c r="L44" s="61">
        <v>0.25</v>
      </c>
      <c r="M44" s="60">
        <f t="shared" ref="M44:M55" si="21">_xlfn.PERCENTILE.INC(G:G,L44)</f>
        <v>-5.1126898825779331E-2</v>
      </c>
      <c r="N44" s="61">
        <v>0.86</v>
      </c>
      <c r="O44" s="62">
        <f t="shared" si="17"/>
        <v>0.1677292575723302</v>
      </c>
      <c r="P44" s="10"/>
      <c r="Q44" s="59">
        <v>0.02</v>
      </c>
      <c r="R44" s="60">
        <f t="shared" si="18"/>
        <v>7.1374786115811217E-2</v>
      </c>
      <c r="S44" s="61">
        <v>0.25</v>
      </c>
      <c r="T44" s="60">
        <f t="shared" si="19"/>
        <v>0.12846860932326448</v>
      </c>
      <c r="U44" s="61">
        <v>0.86</v>
      </c>
      <c r="V44" s="62">
        <f t="shared" si="20"/>
        <v>0.45805369127516771</v>
      </c>
    </row>
    <row r="45" spans="1:22" x14ac:dyDescent="0.25">
      <c r="A45" s="47">
        <v>43221</v>
      </c>
      <c r="B45" s="5">
        <v>249.21000699999999</v>
      </c>
      <c r="C45" s="5">
        <v>338.5</v>
      </c>
      <c r="D45" s="5">
        <v>244.39999399999999</v>
      </c>
      <c r="E45" s="5">
        <v>331.95001200000002</v>
      </c>
      <c r="F45" s="5">
        <v>331.95001200000002</v>
      </c>
      <c r="G45" s="6">
        <f t="shared" si="0"/>
        <v>0.32859717441831882</v>
      </c>
      <c r="H45" s="6">
        <f t="shared" si="1"/>
        <v>0.38502458392040717</v>
      </c>
      <c r="J45" s="59">
        <v>0.03</v>
      </c>
      <c r="K45" s="60">
        <f t="shared" ref="K45:K57" si="22">_xlfn.PERCENTILE.INC(G:G,J45)</f>
        <v>-0.27767877584988587</v>
      </c>
      <c r="L45" s="61">
        <v>0.3</v>
      </c>
      <c r="M45" s="60">
        <f t="shared" si="21"/>
        <v>-3.4273325213154758E-2</v>
      </c>
      <c r="N45" s="61">
        <v>0.87</v>
      </c>
      <c r="O45" s="62">
        <f t="shared" si="17"/>
        <v>0.17900073939072877</v>
      </c>
      <c r="P45" s="10"/>
      <c r="Q45" s="59">
        <v>0.03</v>
      </c>
      <c r="R45" s="60">
        <f t="shared" si="18"/>
        <v>7.8205140026380918E-2</v>
      </c>
      <c r="S45" s="61">
        <v>0.3</v>
      </c>
      <c r="T45" s="60">
        <f t="shared" si="19"/>
        <v>0.14364896073903016</v>
      </c>
      <c r="U45" s="61">
        <v>0.87</v>
      </c>
      <c r="V45" s="62">
        <f t="shared" si="20"/>
        <v>0.48035270446206652</v>
      </c>
    </row>
    <row r="46" spans="1:22" x14ac:dyDescent="0.25">
      <c r="A46" s="47">
        <v>43191</v>
      </c>
      <c r="B46" s="5">
        <v>251</v>
      </c>
      <c r="C46" s="5">
        <v>280.23001099999999</v>
      </c>
      <c r="D46" s="5">
        <v>234.39999399999999</v>
      </c>
      <c r="E46" s="5">
        <v>249.85000600000001</v>
      </c>
      <c r="F46" s="5">
        <v>249.85000600000001</v>
      </c>
      <c r="G46" s="6">
        <f t="shared" si="0"/>
        <v>-5.0969576494851888E-3</v>
      </c>
      <c r="H46" s="6">
        <f t="shared" si="1"/>
        <v>0.19552055534608931</v>
      </c>
      <c r="J46" s="59">
        <v>0.04</v>
      </c>
      <c r="K46" s="60">
        <f t="shared" si="22"/>
        <v>-0.2313937784687462</v>
      </c>
      <c r="L46" s="61">
        <v>0.35</v>
      </c>
      <c r="M46" s="60">
        <f t="shared" si="21"/>
        <v>-1.3098480286631815E-2</v>
      </c>
      <c r="N46" s="61">
        <v>0.88</v>
      </c>
      <c r="O46" s="62">
        <f t="shared" si="17"/>
        <v>0.18656954097358017</v>
      </c>
      <c r="P46" s="10"/>
      <c r="Q46" s="59">
        <v>0.04</v>
      </c>
      <c r="R46" s="60">
        <f t="shared" si="18"/>
        <v>8.1536471248557299E-2</v>
      </c>
      <c r="S46" s="61">
        <v>0.35</v>
      </c>
      <c r="T46" s="60">
        <f t="shared" si="19"/>
        <v>0.15945792297535066</v>
      </c>
      <c r="U46" s="61">
        <v>0.88</v>
      </c>
      <c r="V46" s="62">
        <f t="shared" si="20"/>
        <v>0.5124351272630957</v>
      </c>
    </row>
    <row r="47" spans="1:22" x14ac:dyDescent="0.25">
      <c r="A47" s="47">
        <v>43160</v>
      </c>
      <c r="B47" s="5">
        <v>255</v>
      </c>
      <c r="C47" s="5">
        <v>277.32000699999998</v>
      </c>
      <c r="D47" s="5">
        <v>241.029999</v>
      </c>
      <c r="E47" s="5">
        <v>251.13000500000001</v>
      </c>
      <c r="F47" s="5">
        <v>251.13000500000001</v>
      </c>
      <c r="G47" s="6">
        <f t="shared" si="0"/>
        <v>-4.3387111371545876E-2</v>
      </c>
      <c r="H47" s="6">
        <f t="shared" si="1"/>
        <v>0.15056220449969787</v>
      </c>
      <c r="J47" s="59">
        <v>0.05</v>
      </c>
      <c r="K47" s="60">
        <f t="shared" si="22"/>
        <v>-0.2047392932533483</v>
      </c>
      <c r="L47" s="61">
        <v>0.4</v>
      </c>
      <c r="M47" s="60">
        <f t="shared" si="21"/>
        <v>-2.5113790880131677E-3</v>
      </c>
      <c r="N47" s="61">
        <v>0.89</v>
      </c>
      <c r="O47" s="62">
        <f t="shared" si="17"/>
        <v>0.20251124437781126</v>
      </c>
      <c r="P47" s="10"/>
      <c r="Q47" s="59">
        <v>0.05</v>
      </c>
      <c r="R47" s="60">
        <f t="shared" si="18"/>
        <v>8.3571475106472642E-2</v>
      </c>
      <c r="S47" s="61">
        <v>0.4</v>
      </c>
      <c r="T47" s="60">
        <f t="shared" si="19"/>
        <v>0.17073170731707318</v>
      </c>
      <c r="U47" s="61">
        <v>0.89</v>
      </c>
      <c r="V47" s="62">
        <f t="shared" si="20"/>
        <v>0.5334764763800226</v>
      </c>
    </row>
    <row r="48" spans="1:22" x14ac:dyDescent="0.25">
      <c r="A48" s="47">
        <v>43132</v>
      </c>
      <c r="B48" s="5">
        <v>261.58999599999999</v>
      </c>
      <c r="C48" s="5">
        <v>268.39999399999999</v>
      </c>
      <c r="D48" s="5">
        <v>219.11000100000001</v>
      </c>
      <c r="E48" s="5">
        <v>262.51998900000001</v>
      </c>
      <c r="F48" s="5">
        <v>262.51998900000001</v>
      </c>
      <c r="G48" s="6">
        <f t="shared" si="0"/>
        <v>1.984690839694693E-3</v>
      </c>
      <c r="H48" s="6">
        <f t="shared" si="1"/>
        <v>0.22495546882864548</v>
      </c>
      <c r="J48" s="59">
        <v>0.06</v>
      </c>
      <c r="K48" s="60">
        <f t="shared" si="22"/>
        <v>-0.19495408588432758</v>
      </c>
      <c r="L48" s="61">
        <v>0.45</v>
      </c>
      <c r="M48" s="60">
        <f t="shared" si="21"/>
        <v>5.756659681324469E-3</v>
      </c>
      <c r="N48" s="61">
        <v>0.9</v>
      </c>
      <c r="O48" s="62">
        <f t="shared" si="17"/>
        <v>0.22488688794382819</v>
      </c>
      <c r="P48" s="10"/>
      <c r="Q48" s="59">
        <v>0.06</v>
      </c>
      <c r="R48" s="60">
        <f t="shared" si="18"/>
        <v>9.0315816463546264E-2</v>
      </c>
      <c r="S48" s="61">
        <v>0.45</v>
      </c>
      <c r="T48" s="60">
        <f t="shared" si="19"/>
        <v>0.18448139281647905</v>
      </c>
      <c r="U48" s="61">
        <v>0.9</v>
      </c>
      <c r="V48" s="62">
        <f t="shared" si="20"/>
        <v>0.55507299644690111</v>
      </c>
    </row>
    <row r="49" spans="1:22" x14ac:dyDescent="0.25">
      <c r="A49" s="47">
        <v>43101</v>
      </c>
      <c r="B49" s="5">
        <v>222.61000100000001</v>
      </c>
      <c r="C49" s="5">
        <v>287.32000699999998</v>
      </c>
      <c r="D49" s="5">
        <v>220.36000100000001</v>
      </c>
      <c r="E49" s="5">
        <v>262</v>
      </c>
      <c r="F49" s="5">
        <v>262</v>
      </c>
      <c r="G49" s="6">
        <f t="shared" si="0"/>
        <v>0.17917096917799213</v>
      </c>
      <c r="H49" s="6">
        <f t="shared" si="1"/>
        <v>0.3038664262848681</v>
      </c>
      <c r="J49" s="59">
        <v>7.0000000000000007E-2</v>
      </c>
      <c r="K49" s="60">
        <f t="shared" si="22"/>
        <v>-0.17973690318235222</v>
      </c>
      <c r="L49" s="61">
        <v>0.5</v>
      </c>
      <c r="M49" s="60">
        <f t="shared" si="21"/>
        <v>1.8185326660568515E-2</v>
      </c>
      <c r="N49" s="61">
        <v>0.91</v>
      </c>
      <c r="O49" s="62">
        <f t="shared" si="17"/>
        <v>0.23376776894524828</v>
      </c>
      <c r="P49" s="10"/>
      <c r="Q49" s="59">
        <v>7.0000000000000007E-2</v>
      </c>
      <c r="R49" s="60">
        <f t="shared" si="18"/>
        <v>9.2580501741471394E-2</v>
      </c>
      <c r="S49" s="61">
        <v>0.5</v>
      </c>
      <c r="T49" s="60">
        <f t="shared" si="19"/>
        <v>0.20197904540162973</v>
      </c>
      <c r="U49" s="61">
        <v>0.91</v>
      </c>
      <c r="V49" s="62">
        <f t="shared" si="20"/>
        <v>0.57373523370611601</v>
      </c>
    </row>
    <row r="50" spans="1:22" x14ac:dyDescent="0.25">
      <c r="A50" s="47">
        <v>43070</v>
      </c>
      <c r="B50" s="5">
        <v>259.35000600000001</v>
      </c>
      <c r="C50" s="5">
        <v>261</v>
      </c>
      <c r="D50" s="5">
        <v>212.86000100000001</v>
      </c>
      <c r="E50" s="5">
        <v>222.19000199999999</v>
      </c>
      <c r="F50" s="5">
        <v>222.19000199999999</v>
      </c>
      <c r="G50" s="6">
        <f t="shared" si="0"/>
        <v>-0.14830574309441613</v>
      </c>
      <c r="H50" s="6">
        <f t="shared" si="1"/>
        <v>0.22615803238674223</v>
      </c>
      <c r="J50" s="59">
        <v>0.08</v>
      </c>
      <c r="K50" s="60">
        <f t="shared" si="22"/>
        <v>-0.16008843010392448</v>
      </c>
      <c r="L50" s="61">
        <v>0.55000000000000004</v>
      </c>
      <c r="M50" s="60">
        <f t="shared" si="21"/>
        <v>3.3032698746504274E-2</v>
      </c>
      <c r="N50" s="61">
        <v>0.92</v>
      </c>
      <c r="O50" s="62">
        <f t="shared" si="17"/>
        <v>0.24408849660298462</v>
      </c>
      <c r="P50" s="10"/>
      <c r="Q50" s="59">
        <v>0.08</v>
      </c>
      <c r="R50" s="60">
        <f t="shared" si="18"/>
        <v>0.1000455206912233</v>
      </c>
      <c r="S50" s="61">
        <v>0.55000000000000004</v>
      </c>
      <c r="T50" s="60">
        <f t="shared" si="19"/>
        <v>0.21851865523737862</v>
      </c>
      <c r="U50" s="61">
        <v>0.92</v>
      </c>
      <c r="V50" s="62">
        <f t="shared" si="20"/>
        <v>0.60450160771704198</v>
      </c>
    </row>
    <row r="51" spans="1:22" x14ac:dyDescent="0.25">
      <c r="A51" s="47">
        <v>43040</v>
      </c>
      <c r="B51" s="5">
        <v>243</v>
      </c>
      <c r="C51" s="5">
        <v>266.41000400000001</v>
      </c>
      <c r="D51" s="5">
        <v>232.30999800000001</v>
      </c>
      <c r="E51" s="5">
        <v>260.88000499999998</v>
      </c>
      <c r="F51" s="5">
        <v>260.88000499999998</v>
      </c>
      <c r="G51" s="6">
        <f t="shared" si="0"/>
        <v>9.1639506931785131E-2</v>
      </c>
      <c r="H51" s="6">
        <f t="shared" si="1"/>
        <v>0.14678664841622532</v>
      </c>
      <c r="J51" s="59">
        <v>0.09</v>
      </c>
      <c r="K51" s="60">
        <f t="shared" si="22"/>
        <v>-0.14839766236101831</v>
      </c>
      <c r="L51" s="61">
        <v>0.6</v>
      </c>
      <c r="M51" s="60">
        <f t="shared" si="21"/>
        <v>4.6807255024692379E-2</v>
      </c>
      <c r="N51" s="61">
        <v>0.93</v>
      </c>
      <c r="O51" s="62">
        <f t="shared" si="17"/>
        <v>0.25388400969109637</v>
      </c>
      <c r="P51" s="10"/>
      <c r="Q51" s="59">
        <v>0.09</v>
      </c>
      <c r="R51" s="60">
        <f t="shared" si="18"/>
        <v>0.10301490356825424</v>
      </c>
      <c r="S51" s="61">
        <v>0.6</v>
      </c>
      <c r="T51" s="60">
        <f t="shared" si="19"/>
        <v>0.23329178082191782</v>
      </c>
      <c r="U51" s="61">
        <v>0.93</v>
      </c>
      <c r="V51" s="62">
        <f t="shared" si="20"/>
        <v>0.66706412294647588</v>
      </c>
    </row>
    <row r="52" spans="1:22" x14ac:dyDescent="0.25">
      <c r="A52" s="47">
        <v>43009</v>
      </c>
      <c r="B52" s="5">
        <v>187.16000399999999</v>
      </c>
      <c r="C52" s="5">
        <v>243.270004</v>
      </c>
      <c r="D52" s="5">
        <v>184.66999799999999</v>
      </c>
      <c r="E52" s="5">
        <v>238.979996</v>
      </c>
      <c r="F52" s="5">
        <v>238.979996</v>
      </c>
      <c r="G52" s="6">
        <f t="shared" si="0"/>
        <v>0.28297627566486766</v>
      </c>
      <c r="H52" s="6">
        <f t="shared" si="1"/>
        <v>0.31732282793440009</v>
      </c>
      <c r="J52" s="59">
        <v>0.1</v>
      </c>
      <c r="K52" s="60">
        <f t="shared" si="22"/>
        <v>-0.13193899407958043</v>
      </c>
      <c r="L52" s="61">
        <v>0.65</v>
      </c>
      <c r="M52" s="60">
        <f t="shared" si="21"/>
        <v>7.0300307115026897E-2</v>
      </c>
      <c r="N52" s="61">
        <v>0.94</v>
      </c>
      <c r="O52" s="62">
        <f t="shared" si="17"/>
        <v>0.27697857653989183</v>
      </c>
      <c r="P52" s="10"/>
      <c r="Q52" s="59">
        <v>0.1</v>
      </c>
      <c r="R52" s="60">
        <f t="shared" si="18"/>
        <v>0.1046099586288415</v>
      </c>
      <c r="S52" s="61">
        <v>0.65</v>
      </c>
      <c r="T52" s="60">
        <f t="shared" si="19"/>
        <v>0.27444172113289766</v>
      </c>
      <c r="U52" s="61">
        <v>0.94</v>
      </c>
      <c r="V52" s="62">
        <f t="shared" si="20"/>
        <v>0.68421052631578949</v>
      </c>
    </row>
    <row r="53" spans="1:22" x14ac:dyDescent="0.25">
      <c r="A53" s="47">
        <v>42979</v>
      </c>
      <c r="B53" s="5">
        <v>176.80999800000001</v>
      </c>
      <c r="C53" s="5">
        <v>190.03999300000001</v>
      </c>
      <c r="D53" s="5">
        <v>173.88000500000001</v>
      </c>
      <c r="E53" s="5">
        <v>186.270004</v>
      </c>
      <c r="F53" s="5">
        <v>186.270004</v>
      </c>
      <c r="G53" s="6">
        <f t="shared" si="0"/>
        <v>5.3921006735288955E-2</v>
      </c>
      <c r="H53" s="6">
        <f t="shared" si="1"/>
        <v>9.2937586469473574E-2</v>
      </c>
      <c r="J53" s="59">
        <v>0.11</v>
      </c>
      <c r="K53" s="60">
        <f t="shared" si="22"/>
        <v>-0.13008982437715155</v>
      </c>
      <c r="L53" s="61">
        <v>0.7</v>
      </c>
      <c r="M53" s="60">
        <f t="shared" si="21"/>
        <v>8.3956104887664876E-2</v>
      </c>
      <c r="N53" s="61">
        <v>0.95</v>
      </c>
      <c r="O53" s="62">
        <f t="shared" si="17"/>
        <v>0.29388570372088496</v>
      </c>
      <c r="P53" s="10"/>
      <c r="Q53" s="59">
        <v>0.11</v>
      </c>
      <c r="R53" s="60">
        <f t="shared" si="18"/>
        <v>0.10605889087254212</v>
      </c>
      <c r="S53" s="61">
        <v>0.7</v>
      </c>
      <c r="T53" s="60">
        <f t="shared" si="19"/>
        <v>0.31483253588516757</v>
      </c>
      <c r="U53" s="61">
        <v>0.95</v>
      </c>
      <c r="V53" s="62">
        <f t="shared" si="20"/>
        <v>0.736302838034811</v>
      </c>
    </row>
    <row r="54" spans="1:22" x14ac:dyDescent="0.25">
      <c r="A54" s="47">
        <v>42948</v>
      </c>
      <c r="B54" s="5">
        <v>167.41000399999999</v>
      </c>
      <c r="C54" s="5">
        <v>179.759995</v>
      </c>
      <c r="D54" s="5">
        <v>165.179993</v>
      </c>
      <c r="E54" s="5">
        <v>176.740005</v>
      </c>
      <c r="F54" s="5">
        <v>176.740005</v>
      </c>
      <c r="G54" s="6">
        <f t="shared" si="0"/>
        <v>5.6867842058669883E-2</v>
      </c>
      <c r="H54" s="6">
        <f t="shared" si="1"/>
        <v>8.8267360563455216E-2</v>
      </c>
      <c r="J54" s="59">
        <v>0.12</v>
      </c>
      <c r="K54" s="60">
        <f t="shared" si="22"/>
        <v>-0.1262539279900049</v>
      </c>
      <c r="L54" s="61">
        <v>0.75</v>
      </c>
      <c r="M54" s="60">
        <f t="shared" si="21"/>
        <v>0.10057683366514683</v>
      </c>
      <c r="N54" s="61">
        <v>0.96</v>
      </c>
      <c r="O54" s="62">
        <f t="shared" si="17"/>
        <v>0.32933626616499018</v>
      </c>
      <c r="P54" s="10"/>
      <c r="Q54" s="59">
        <v>0.12</v>
      </c>
      <c r="R54" s="60">
        <f t="shared" si="18"/>
        <v>0.10786627668078826</v>
      </c>
      <c r="S54" s="61">
        <v>0.75</v>
      </c>
      <c r="T54" s="60">
        <f t="shared" si="19"/>
        <v>0.32709852374588733</v>
      </c>
      <c r="U54" s="61">
        <v>0.96</v>
      </c>
      <c r="V54" s="62">
        <f t="shared" si="20"/>
        <v>0.85542168674698804</v>
      </c>
    </row>
    <row r="55" spans="1:22" x14ac:dyDescent="0.25">
      <c r="A55" s="47">
        <v>42917</v>
      </c>
      <c r="B55" s="5">
        <v>151.05999800000001</v>
      </c>
      <c r="C55" s="5">
        <v>173.78999300000001</v>
      </c>
      <c r="D55" s="5">
        <v>148.949997</v>
      </c>
      <c r="E55" s="5">
        <v>167.229996</v>
      </c>
      <c r="F55" s="5">
        <v>167.229996</v>
      </c>
      <c r="G55" s="6">
        <f t="shared" si="0"/>
        <v>0.11397549673512854</v>
      </c>
      <c r="H55" s="6">
        <f t="shared" si="1"/>
        <v>0.16676734810541832</v>
      </c>
      <c r="J55" s="59">
        <v>0.13</v>
      </c>
      <c r="K55" s="60">
        <f t="shared" si="22"/>
        <v>-0.12352341238630975</v>
      </c>
      <c r="L55" s="61">
        <v>0.8</v>
      </c>
      <c r="M55" s="60">
        <f t="shared" si="21"/>
        <v>0.12134122333527832</v>
      </c>
      <c r="N55" s="61">
        <v>0.97</v>
      </c>
      <c r="O55" s="62">
        <f t="shared" si="17"/>
        <v>0.37327509296614425</v>
      </c>
      <c r="P55" s="10"/>
      <c r="Q55" s="59">
        <v>0.13</v>
      </c>
      <c r="R55" s="60">
        <f t="shared" si="18"/>
        <v>0.10878291628854972</v>
      </c>
      <c r="S55" s="61">
        <v>0.8</v>
      </c>
      <c r="T55" s="60">
        <f t="shared" si="19"/>
        <v>0.36903499469777312</v>
      </c>
      <c r="U55" s="61">
        <v>0.97</v>
      </c>
      <c r="V55" s="62">
        <f t="shared" si="20"/>
        <v>0.9125658598086277</v>
      </c>
    </row>
    <row r="56" spans="1:22" x14ac:dyDescent="0.25">
      <c r="A56" s="47">
        <v>42887</v>
      </c>
      <c r="B56" s="5">
        <v>146.36000100000001</v>
      </c>
      <c r="C56" s="5">
        <v>154.85000600000001</v>
      </c>
      <c r="D56" s="5">
        <v>139</v>
      </c>
      <c r="E56" s="5">
        <v>150.11999499999999</v>
      </c>
      <c r="F56" s="5">
        <v>150.11999499999999</v>
      </c>
      <c r="G56" s="6">
        <f t="shared" si="0"/>
        <v>3.3884284446644944E-2</v>
      </c>
      <c r="H56" s="6">
        <f t="shared" si="1"/>
        <v>0.11402882014388495</v>
      </c>
      <c r="J56" s="59">
        <v>0.14000000000000001</v>
      </c>
      <c r="K56" s="60">
        <f t="shared" si="22"/>
        <v>-0.11955421316744119</v>
      </c>
      <c r="L56" s="61"/>
      <c r="M56" s="60"/>
      <c r="N56" s="61">
        <v>0.98</v>
      </c>
      <c r="O56" s="62">
        <f t="shared" si="17"/>
        <v>0.43053910376472954</v>
      </c>
      <c r="P56" s="10"/>
      <c r="Q56" s="59">
        <v>0.14000000000000001</v>
      </c>
      <c r="R56" s="60">
        <f t="shared" si="18"/>
        <v>0.11013628896770586</v>
      </c>
      <c r="S56" s="61"/>
      <c r="T56" s="60"/>
      <c r="U56" s="61">
        <v>0.98</v>
      </c>
      <c r="V56" s="62">
        <f t="shared" si="20"/>
        <v>1.2013201320132014</v>
      </c>
    </row>
    <row r="57" spans="1:22" ht="15.75" thickBot="1" x14ac:dyDescent="0.3">
      <c r="A57" s="47">
        <v>42856</v>
      </c>
      <c r="B57" s="5">
        <v>135.38999899999999</v>
      </c>
      <c r="C57" s="5">
        <v>146</v>
      </c>
      <c r="D57" s="5">
        <v>131.320007</v>
      </c>
      <c r="E57" s="5">
        <v>145.199997</v>
      </c>
      <c r="F57" s="5">
        <v>145.199997</v>
      </c>
      <c r="G57" s="6">
        <f t="shared" si="0"/>
        <v>7.8591608921096817E-2</v>
      </c>
      <c r="H57" s="6">
        <f t="shared" si="1"/>
        <v>0.11178793951785272</v>
      </c>
      <c r="J57" s="63">
        <v>0.15</v>
      </c>
      <c r="K57" s="64">
        <f t="shared" si="22"/>
        <v>-0.1128258745907549</v>
      </c>
      <c r="L57" s="65"/>
      <c r="M57" s="66"/>
      <c r="N57" s="67">
        <v>0.99</v>
      </c>
      <c r="O57" s="68">
        <f t="shared" si="17"/>
        <v>0.69543019419924113</v>
      </c>
      <c r="P57" s="41"/>
      <c r="Q57" s="63">
        <v>0.15</v>
      </c>
      <c r="R57" s="64">
        <f t="shared" si="18"/>
        <v>0.11231243973887303</v>
      </c>
      <c r="S57" s="65"/>
      <c r="T57" s="66"/>
      <c r="U57" s="67">
        <v>0.99</v>
      </c>
      <c r="V57" s="68">
        <f t="shared" si="20"/>
        <v>1.6338494899517437</v>
      </c>
    </row>
    <row r="58" spans="1:22" ht="15.75" thickBot="1" x14ac:dyDescent="0.3">
      <c r="A58" s="47">
        <v>42826</v>
      </c>
      <c r="B58" s="5">
        <v>115.129997</v>
      </c>
      <c r="C58" s="5">
        <v>145.240005</v>
      </c>
      <c r="D58" s="5">
        <v>113.400002</v>
      </c>
      <c r="E58" s="5">
        <v>134.61999499999999</v>
      </c>
      <c r="F58" s="5">
        <v>134.61999499999999</v>
      </c>
      <c r="G58" s="6">
        <f t="shared" si="0"/>
        <v>0.17356809496615891</v>
      </c>
      <c r="H58" s="6">
        <f t="shared" si="1"/>
        <v>0.28077603561241554</v>
      </c>
      <c r="J58" s="52"/>
      <c r="K58" s="53"/>
      <c r="L58" s="52"/>
      <c r="M58" s="53"/>
      <c r="N58" s="52"/>
      <c r="O58" s="42"/>
    </row>
    <row r="59" spans="1:22" x14ac:dyDescent="0.25">
      <c r="A59" s="47">
        <v>42795</v>
      </c>
      <c r="B59" s="5">
        <v>103.769997</v>
      </c>
      <c r="C59" s="5">
        <v>115.199997</v>
      </c>
      <c r="D59" s="5">
        <v>102.019997</v>
      </c>
      <c r="E59" s="5">
        <v>114.709999</v>
      </c>
      <c r="F59" s="5">
        <v>114.709999</v>
      </c>
      <c r="G59" s="6">
        <f t="shared" si="0"/>
        <v>0.11629035390637688</v>
      </c>
      <c r="H59" s="6">
        <f t="shared" si="1"/>
        <v>0.12919035863135728</v>
      </c>
      <c r="J59" s="73" t="s">
        <v>44</v>
      </c>
      <c r="K59" s="79">
        <v>0.09</v>
      </c>
      <c r="L59" s="52"/>
      <c r="M59" s="53"/>
      <c r="N59" s="52"/>
      <c r="O59" s="54"/>
    </row>
    <row r="60" spans="1:22" ht="15.75" thickBot="1" x14ac:dyDescent="0.3">
      <c r="A60" s="47">
        <v>42767</v>
      </c>
      <c r="B60" s="5">
        <v>97</v>
      </c>
      <c r="C60" s="5">
        <v>103.83000199999999</v>
      </c>
      <c r="D60" s="5">
        <v>92.610000999999997</v>
      </c>
      <c r="E60" s="5">
        <v>102.760002</v>
      </c>
      <c r="F60" s="5">
        <v>102.760002</v>
      </c>
      <c r="G60" s="6">
        <f t="shared" si="0"/>
        <v>0.12073290171811744</v>
      </c>
      <c r="H60" s="6">
        <f t="shared" si="1"/>
        <v>0.1211532326838005</v>
      </c>
      <c r="J60" s="75" t="s">
        <v>45</v>
      </c>
      <c r="K60" s="80">
        <v>0.27</v>
      </c>
      <c r="L60" s="52"/>
      <c r="M60" s="53"/>
      <c r="N60" s="52"/>
      <c r="O60" s="54"/>
    </row>
    <row r="61" spans="1:22" ht="15.75" thickBot="1" x14ac:dyDescent="0.3">
      <c r="A61" s="47">
        <v>42736</v>
      </c>
      <c r="B61" s="5">
        <v>96.489998</v>
      </c>
      <c r="C61" s="5">
        <v>98.82</v>
      </c>
      <c r="D61" s="5">
        <v>88.559997999999993</v>
      </c>
      <c r="E61" s="5">
        <v>91.690002000000007</v>
      </c>
      <c r="F61" s="5">
        <v>91.690002000000007</v>
      </c>
      <c r="G61" s="6">
        <f t="shared" si="0"/>
        <v>-4.6187403917218428E-2</v>
      </c>
      <c r="H61" s="6">
        <f t="shared" si="1"/>
        <v>0.11585368373653307</v>
      </c>
      <c r="J61" s="52"/>
      <c r="K61" s="53"/>
      <c r="L61" s="52"/>
      <c r="M61" s="53"/>
      <c r="N61" s="52"/>
      <c r="O61" s="54"/>
    </row>
    <row r="62" spans="1:22" x14ac:dyDescent="0.25">
      <c r="A62" s="47">
        <v>42705</v>
      </c>
      <c r="B62" s="5">
        <v>93.120002999999997</v>
      </c>
      <c r="C62" s="5">
        <v>102.099998</v>
      </c>
      <c r="D62" s="5">
        <v>91.459998999999996</v>
      </c>
      <c r="E62" s="5">
        <v>96.129997000000003</v>
      </c>
      <c r="F62" s="5">
        <v>96.129997000000003</v>
      </c>
      <c r="G62" s="6">
        <f t="shared" si="0"/>
        <v>3.3100418062318594E-2</v>
      </c>
      <c r="H62" s="6">
        <f t="shared" si="1"/>
        <v>0.11633500017860271</v>
      </c>
      <c r="J62" s="73" t="s">
        <v>43</v>
      </c>
      <c r="K62" s="81">
        <v>645.89</v>
      </c>
      <c r="L62" s="52"/>
      <c r="M62" s="53"/>
      <c r="N62" s="52"/>
      <c r="O62" s="54"/>
    </row>
    <row r="63" spans="1:22" x14ac:dyDescent="0.25">
      <c r="A63" s="47">
        <v>42675</v>
      </c>
      <c r="B63" s="5">
        <v>85.860000999999997</v>
      </c>
      <c r="C63" s="5">
        <v>98.620002999999997</v>
      </c>
      <c r="D63" s="5">
        <v>83.769997000000004</v>
      </c>
      <c r="E63" s="5">
        <v>93.050003000000004</v>
      </c>
      <c r="F63" s="5">
        <v>93.050003000000004</v>
      </c>
      <c r="G63" s="6">
        <f t="shared" si="0"/>
        <v>8.2984231447491383E-2</v>
      </c>
      <c r="H63" s="6">
        <f t="shared" si="1"/>
        <v>0.17727117741212278</v>
      </c>
      <c r="J63" s="74" t="s">
        <v>46</v>
      </c>
      <c r="K63" s="77">
        <f>K62*(1-K59)</f>
        <v>587.75990000000002</v>
      </c>
      <c r="L63" s="52"/>
      <c r="M63" s="53"/>
      <c r="N63" s="52"/>
      <c r="O63" s="54"/>
    </row>
    <row r="64" spans="1:22" ht="15.75" thickBot="1" x14ac:dyDescent="0.3">
      <c r="A64" s="47">
        <v>42644</v>
      </c>
      <c r="B64" s="5">
        <v>92.040001000000004</v>
      </c>
      <c r="C64" s="5">
        <v>92.300003000000004</v>
      </c>
      <c r="D64" s="5">
        <v>83.269997000000004</v>
      </c>
      <c r="E64" s="5">
        <v>85.919998000000007</v>
      </c>
      <c r="F64" s="5">
        <v>85.919998000000007</v>
      </c>
      <c r="G64" s="6">
        <f t="shared" si="0"/>
        <v>-8.3520021333333264E-2</v>
      </c>
      <c r="H64" s="6">
        <f t="shared" si="1"/>
        <v>0.1084424921980002</v>
      </c>
      <c r="J64" s="75" t="s">
        <v>47</v>
      </c>
      <c r="K64" s="78">
        <f>K62*(1+K60)</f>
        <v>820.28030000000001</v>
      </c>
      <c r="L64" s="52"/>
      <c r="M64" s="53"/>
      <c r="N64" s="52"/>
      <c r="O64" s="54"/>
    </row>
    <row r="65" spans="1:15" x14ac:dyDescent="0.25">
      <c r="A65" s="47">
        <v>42614</v>
      </c>
      <c r="B65" s="5">
        <v>93.199996999999996</v>
      </c>
      <c r="C65" s="5">
        <v>96.900002000000001</v>
      </c>
      <c r="D65" s="5">
        <v>91.019997000000004</v>
      </c>
      <c r="E65" s="5">
        <v>93.75</v>
      </c>
      <c r="F65" s="5">
        <v>93.75</v>
      </c>
      <c r="G65" s="6">
        <f t="shared" si="0"/>
        <v>9.1496015253045883E-3</v>
      </c>
      <c r="H65" s="6">
        <f t="shared" si="1"/>
        <v>6.4601243614631154E-2</v>
      </c>
      <c r="L65" s="52"/>
      <c r="M65" s="53"/>
      <c r="N65" s="52"/>
      <c r="O65" s="54"/>
    </row>
    <row r="66" spans="1:15" x14ac:dyDescent="0.25">
      <c r="A66" s="47">
        <v>42583</v>
      </c>
      <c r="B66" s="5">
        <v>89.489998</v>
      </c>
      <c r="C66" s="5">
        <v>96.129997000000003</v>
      </c>
      <c r="D66" s="5">
        <v>88.650002000000001</v>
      </c>
      <c r="E66" s="5">
        <v>92.900002000000001</v>
      </c>
      <c r="F66" s="5">
        <v>92.900002000000001</v>
      </c>
      <c r="G66" s="6">
        <f t="shared" si="0"/>
        <v>4.2063936240853923E-2</v>
      </c>
      <c r="H66" s="6">
        <f t="shared" si="1"/>
        <v>8.4376704244180409E-2</v>
      </c>
      <c r="J66" s="52"/>
      <c r="K66" s="53"/>
      <c r="L66" s="52"/>
      <c r="M66" s="53"/>
      <c r="N66" s="52"/>
      <c r="O66" s="54"/>
    </row>
    <row r="67" spans="1:15" x14ac:dyDescent="0.25">
      <c r="A67" s="47">
        <v>42552</v>
      </c>
      <c r="B67" s="5">
        <v>80.739998</v>
      </c>
      <c r="C67" s="5">
        <v>89.580001999999993</v>
      </c>
      <c r="D67" s="5">
        <v>80.300003000000004</v>
      </c>
      <c r="E67" s="5">
        <v>89.150002000000001</v>
      </c>
      <c r="F67" s="5">
        <v>89.150002000000001</v>
      </c>
      <c r="G67" s="6">
        <f t="shared" ref="G67:G130" si="23">(F67-F68)/F68</f>
        <v>0.10676596746992047</v>
      </c>
      <c r="H67" s="6">
        <f t="shared" ref="H67:H130" si="24">(C67-D67)/D67</f>
        <v>0.11556660838480902</v>
      </c>
      <c r="J67" s="52"/>
      <c r="K67" s="53"/>
      <c r="L67" s="52"/>
      <c r="M67" s="53"/>
      <c r="N67" s="52"/>
      <c r="O67" s="54"/>
    </row>
    <row r="68" spans="1:15" x14ac:dyDescent="0.25">
      <c r="A68" s="47">
        <v>42522</v>
      </c>
      <c r="B68" s="5">
        <v>78.919998000000007</v>
      </c>
      <c r="C68" s="5">
        <v>81.980002999999996</v>
      </c>
      <c r="D68" s="5">
        <v>77.069999999999993</v>
      </c>
      <c r="E68" s="5">
        <v>80.550003000000004</v>
      </c>
      <c r="F68" s="5">
        <v>80.550003000000004</v>
      </c>
      <c r="G68" s="6">
        <f t="shared" si="23"/>
        <v>2.1819116533829477E-2</v>
      </c>
      <c r="H68" s="6">
        <f t="shared" si="24"/>
        <v>6.3708356039963721E-2</v>
      </c>
      <c r="J68" s="54"/>
      <c r="K68" s="54"/>
      <c r="L68" s="54"/>
      <c r="M68" s="54"/>
      <c r="N68" s="54"/>
      <c r="O68" s="54"/>
    </row>
    <row r="69" spans="1:15" x14ac:dyDescent="0.25">
      <c r="A69" s="47">
        <v>42491</v>
      </c>
      <c r="B69" s="5">
        <v>72.559997999999993</v>
      </c>
      <c r="C69" s="5">
        <v>79.790001000000004</v>
      </c>
      <c r="D69" s="5">
        <v>72.389999000000003</v>
      </c>
      <c r="E69" s="5">
        <v>78.830001999999993</v>
      </c>
      <c r="F69" s="5">
        <v>78.830001999999993</v>
      </c>
      <c r="G69" s="6">
        <f t="shared" si="23"/>
        <v>9.1979495997243296E-2</v>
      </c>
      <c r="H69" s="6">
        <f t="shared" si="24"/>
        <v>0.10222409313750647</v>
      </c>
      <c r="J69" s="54"/>
      <c r="K69" s="54"/>
      <c r="L69" s="54"/>
      <c r="M69" s="54"/>
      <c r="N69" s="54"/>
      <c r="O69" s="54"/>
    </row>
    <row r="70" spans="1:15" x14ac:dyDescent="0.25">
      <c r="A70" s="47">
        <v>42461</v>
      </c>
      <c r="B70" s="5">
        <v>72.569999999999993</v>
      </c>
      <c r="C70" s="5">
        <v>75.739998</v>
      </c>
      <c r="D70" s="5">
        <v>70.029999000000004</v>
      </c>
      <c r="E70" s="5">
        <v>72.190002000000007</v>
      </c>
      <c r="F70" s="5">
        <v>72.190002000000007</v>
      </c>
      <c r="G70" s="6">
        <f t="shared" si="23"/>
        <v>-6.8785250549312123E-3</v>
      </c>
      <c r="H70" s="6">
        <f t="shared" si="24"/>
        <v>8.1536471248557299E-2</v>
      </c>
    </row>
    <row r="71" spans="1:15" x14ac:dyDescent="0.25">
      <c r="A71" s="47">
        <v>42430</v>
      </c>
      <c r="B71" s="5">
        <v>66.260002</v>
      </c>
      <c r="C71" s="5">
        <v>73.550003000000004</v>
      </c>
      <c r="D71" s="5">
        <v>65.769997000000004</v>
      </c>
      <c r="E71" s="5">
        <v>72.690002000000007</v>
      </c>
      <c r="F71" s="5">
        <v>72.690002000000007</v>
      </c>
      <c r="G71" s="6">
        <f t="shared" si="23"/>
        <v>0.10086329094144016</v>
      </c>
      <c r="H71" s="6">
        <f t="shared" si="24"/>
        <v>0.11829111076286046</v>
      </c>
    </row>
    <row r="72" spans="1:15" x14ac:dyDescent="0.25">
      <c r="A72" s="47">
        <v>42401</v>
      </c>
      <c r="B72" s="5">
        <v>66.110000999999997</v>
      </c>
      <c r="C72" s="5">
        <v>68.029999000000004</v>
      </c>
      <c r="D72" s="5">
        <v>57.509998000000003</v>
      </c>
      <c r="E72" s="5">
        <v>66.029999000000004</v>
      </c>
      <c r="F72" s="5">
        <v>66.029999000000004</v>
      </c>
      <c r="G72" s="6">
        <f t="shared" si="23"/>
        <v>-1.6631388216380141E-3</v>
      </c>
      <c r="H72" s="6">
        <f t="shared" si="24"/>
        <v>0.18292473249607832</v>
      </c>
    </row>
    <row r="73" spans="1:15" x14ac:dyDescent="0.25">
      <c r="A73" s="47">
        <v>42370</v>
      </c>
      <c r="B73" s="5">
        <v>64.989998</v>
      </c>
      <c r="C73" s="5">
        <v>69.360000999999997</v>
      </c>
      <c r="D73" s="5">
        <v>57.310001</v>
      </c>
      <c r="E73" s="5">
        <v>66.139999000000003</v>
      </c>
      <c r="F73" s="5">
        <v>66.139999000000003</v>
      </c>
      <c r="G73" s="6">
        <f t="shared" si="23"/>
        <v>4.4039636872882475E-3</v>
      </c>
      <c r="H73" s="6">
        <f t="shared" si="24"/>
        <v>0.21025998586180442</v>
      </c>
    </row>
    <row r="74" spans="1:15" x14ac:dyDescent="0.25">
      <c r="A74" s="47">
        <v>42339</v>
      </c>
      <c r="B74" s="5">
        <v>66.860000999999997</v>
      </c>
      <c r="C74" s="5">
        <v>68.419998000000007</v>
      </c>
      <c r="D74" s="5">
        <v>63.189999</v>
      </c>
      <c r="E74" s="5">
        <v>65.849997999999999</v>
      </c>
      <c r="F74" s="5">
        <v>65.849997999999999</v>
      </c>
      <c r="G74" s="6">
        <f t="shared" si="23"/>
        <v>-1.3335331535371047E-2</v>
      </c>
      <c r="H74" s="6">
        <f t="shared" si="24"/>
        <v>8.2766245968764876E-2</v>
      </c>
    </row>
    <row r="75" spans="1:15" x14ac:dyDescent="0.25">
      <c r="A75" s="47">
        <v>42309</v>
      </c>
      <c r="B75" s="5">
        <v>65.760002</v>
      </c>
      <c r="C75" s="5">
        <v>68</v>
      </c>
      <c r="D75" s="5">
        <v>63.049999</v>
      </c>
      <c r="E75" s="5">
        <v>66.739998</v>
      </c>
      <c r="F75" s="5">
        <v>66.739998</v>
      </c>
      <c r="G75" s="6">
        <f t="shared" si="23"/>
        <v>1.9553911083927816E-2</v>
      </c>
      <c r="H75" s="6">
        <f t="shared" si="24"/>
        <v>7.8509136851849917E-2</v>
      </c>
    </row>
    <row r="76" spans="1:15" x14ac:dyDescent="0.25">
      <c r="A76" s="47">
        <v>42278</v>
      </c>
      <c r="B76" s="5">
        <v>56.580002</v>
      </c>
      <c r="C76" s="5">
        <v>68.480002999999996</v>
      </c>
      <c r="D76" s="5">
        <v>54.689999</v>
      </c>
      <c r="E76" s="5">
        <v>65.459998999999996</v>
      </c>
      <c r="F76" s="5">
        <v>65.459998999999996</v>
      </c>
      <c r="G76" s="6">
        <f t="shared" si="23"/>
        <v>0.15327697862145789</v>
      </c>
      <c r="H76" s="6">
        <f t="shared" si="24"/>
        <v>0.2521485509626723</v>
      </c>
    </row>
    <row r="77" spans="1:15" x14ac:dyDescent="0.25">
      <c r="A77" s="47">
        <v>42248</v>
      </c>
      <c r="B77" s="5">
        <v>55.619999</v>
      </c>
      <c r="C77" s="5">
        <v>59.470001000000003</v>
      </c>
      <c r="D77" s="5">
        <v>53.57</v>
      </c>
      <c r="E77" s="5">
        <v>56.759998000000003</v>
      </c>
      <c r="F77" s="5">
        <v>56.759998000000003</v>
      </c>
      <c r="G77" s="6">
        <f t="shared" si="23"/>
        <v>2.8268552235638541E-3</v>
      </c>
      <c r="H77" s="6">
        <f t="shared" si="24"/>
        <v>0.11013628896770586</v>
      </c>
    </row>
    <row r="78" spans="1:15" x14ac:dyDescent="0.25">
      <c r="A78" s="47">
        <v>42217</v>
      </c>
      <c r="B78" s="5">
        <v>62.48</v>
      </c>
      <c r="C78" s="5">
        <v>63.060001</v>
      </c>
      <c r="D78" s="5">
        <v>52.009998000000003</v>
      </c>
      <c r="E78" s="5">
        <v>56.599997999999999</v>
      </c>
      <c r="F78" s="5">
        <v>56.599997999999999</v>
      </c>
      <c r="G78" s="6">
        <f t="shared" si="23"/>
        <v>-9.7288722531280361E-2</v>
      </c>
      <c r="H78" s="6">
        <f t="shared" si="24"/>
        <v>0.21245920832375337</v>
      </c>
    </row>
    <row r="79" spans="1:15" x14ac:dyDescent="0.25">
      <c r="A79" s="47">
        <v>42186</v>
      </c>
      <c r="B79" s="5">
        <v>63.18</v>
      </c>
      <c r="C79" s="5">
        <v>66.529999000000004</v>
      </c>
      <c r="D79" s="5">
        <v>58.860000999999997</v>
      </c>
      <c r="E79" s="5">
        <v>62.700001</v>
      </c>
      <c r="F79" s="5">
        <v>62.700001</v>
      </c>
      <c r="G79" s="6">
        <f t="shared" si="23"/>
        <v>-1.5943230998940151E-4</v>
      </c>
      <c r="H79" s="6">
        <f t="shared" si="24"/>
        <v>0.13030917209804341</v>
      </c>
    </row>
    <row r="80" spans="1:15" x14ac:dyDescent="0.25">
      <c r="A80" s="47">
        <v>42156</v>
      </c>
      <c r="B80" s="5">
        <v>61.080002</v>
      </c>
      <c r="C80" s="5">
        <v>64.989998</v>
      </c>
      <c r="D80" s="5">
        <v>59.560001</v>
      </c>
      <c r="E80" s="5">
        <v>62.709999000000003</v>
      </c>
      <c r="F80" s="5">
        <v>62.709999000000003</v>
      </c>
      <c r="G80" s="6">
        <f t="shared" si="23"/>
        <v>3.3624543715989635E-2</v>
      </c>
      <c r="H80" s="6">
        <f t="shared" si="24"/>
        <v>9.1168517609662228E-2</v>
      </c>
    </row>
    <row r="81" spans="1:8" x14ac:dyDescent="0.25">
      <c r="A81" s="47">
        <v>42125</v>
      </c>
      <c r="B81" s="5">
        <v>58.740001999999997</v>
      </c>
      <c r="C81" s="5">
        <v>61.419998</v>
      </c>
      <c r="D81" s="5">
        <v>57.889999000000003</v>
      </c>
      <c r="E81" s="5">
        <v>60.669998</v>
      </c>
      <c r="F81" s="5">
        <v>60.669998</v>
      </c>
      <c r="G81" s="6">
        <f t="shared" si="23"/>
        <v>3.1101257647858534E-2</v>
      </c>
      <c r="H81" s="6">
        <f t="shared" si="24"/>
        <v>6.0977700137807851E-2</v>
      </c>
    </row>
    <row r="82" spans="1:8" x14ac:dyDescent="0.25">
      <c r="A82" s="47">
        <v>42095</v>
      </c>
      <c r="B82" s="5">
        <v>53.669998</v>
      </c>
      <c r="C82" s="5">
        <v>61.240001999999997</v>
      </c>
      <c r="D82" s="5">
        <v>51.650002000000001</v>
      </c>
      <c r="E82" s="5">
        <v>58.84</v>
      </c>
      <c r="F82" s="5">
        <v>58.84</v>
      </c>
      <c r="G82" s="6">
        <f t="shared" si="23"/>
        <v>9.3883601154794688E-2</v>
      </c>
      <c r="H82" s="6">
        <f t="shared" si="24"/>
        <v>0.18567279048701676</v>
      </c>
    </row>
    <row r="83" spans="1:8" x14ac:dyDescent="0.25">
      <c r="A83" s="47">
        <v>42064</v>
      </c>
      <c r="B83" s="5">
        <v>57.959999000000003</v>
      </c>
      <c r="C83" s="5">
        <v>58.52</v>
      </c>
      <c r="D83" s="5">
        <v>52.139999000000003</v>
      </c>
      <c r="E83" s="5">
        <v>53.790000999999997</v>
      </c>
      <c r="F83" s="5">
        <v>53.790000999999997</v>
      </c>
      <c r="G83" s="6">
        <f t="shared" si="23"/>
        <v>-6.2074928058410792E-2</v>
      </c>
      <c r="H83" s="6">
        <f t="shared" si="24"/>
        <v>0.1223628907242595</v>
      </c>
    </row>
    <row r="84" spans="1:8" x14ac:dyDescent="0.25">
      <c r="A84" s="47">
        <v>42036</v>
      </c>
      <c r="B84" s="5">
        <v>53</v>
      </c>
      <c r="C84" s="5">
        <v>58.16</v>
      </c>
      <c r="D84" s="5">
        <v>52.02</v>
      </c>
      <c r="E84" s="5">
        <v>57.349997999999999</v>
      </c>
      <c r="F84" s="5">
        <v>57.349997999999999</v>
      </c>
      <c r="G84" s="6">
        <f t="shared" si="23"/>
        <v>8.1055590594827337E-2</v>
      </c>
      <c r="H84" s="6">
        <f t="shared" si="24"/>
        <v>0.11803152633602447</v>
      </c>
    </row>
    <row r="85" spans="1:8" x14ac:dyDescent="0.25">
      <c r="A85" s="47">
        <v>42005</v>
      </c>
      <c r="B85" s="5">
        <v>57.240001999999997</v>
      </c>
      <c r="C85" s="5">
        <v>64.75</v>
      </c>
      <c r="D85" s="5">
        <v>51.77</v>
      </c>
      <c r="E85" s="5">
        <v>53.049999</v>
      </c>
      <c r="F85" s="5">
        <v>53.049999</v>
      </c>
      <c r="G85" s="6">
        <f t="shared" si="23"/>
        <v>-5.1153657664102972E-2</v>
      </c>
      <c r="H85" s="6">
        <f t="shared" si="24"/>
        <v>0.25072435773614055</v>
      </c>
    </row>
    <row r="86" spans="1:8" x14ac:dyDescent="0.25">
      <c r="A86" s="47">
        <v>41974</v>
      </c>
      <c r="B86" s="5">
        <v>56.740001999999997</v>
      </c>
      <c r="C86" s="5">
        <v>57.720001000000003</v>
      </c>
      <c r="D86" s="5">
        <v>54.009998000000003</v>
      </c>
      <c r="E86" s="5">
        <v>55.91</v>
      </c>
      <c r="F86" s="5">
        <v>55.91</v>
      </c>
      <c r="G86" s="6">
        <f t="shared" si="23"/>
        <v>-1.7398980056274937E-2</v>
      </c>
      <c r="H86" s="6">
        <f t="shared" si="24"/>
        <v>6.8691041240179274E-2</v>
      </c>
    </row>
    <row r="87" spans="1:8" x14ac:dyDescent="0.25">
      <c r="A87" s="47">
        <v>41944</v>
      </c>
      <c r="B87" s="5">
        <v>52.77</v>
      </c>
      <c r="C87" s="5">
        <v>57.709999000000003</v>
      </c>
      <c r="D87" s="5">
        <v>51.639999000000003</v>
      </c>
      <c r="E87" s="5">
        <v>56.900002000000001</v>
      </c>
      <c r="F87" s="5">
        <v>56.900002000000001</v>
      </c>
      <c r="G87" s="6">
        <f t="shared" si="23"/>
        <v>8.1337952895058033E-2</v>
      </c>
      <c r="H87" s="6">
        <f t="shared" si="24"/>
        <v>0.11754454139319406</v>
      </c>
    </row>
    <row r="88" spans="1:8" x14ac:dyDescent="0.25">
      <c r="A88" s="47">
        <v>41913</v>
      </c>
      <c r="B88" s="5">
        <v>51.810001</v>
      </c>
      <c r="C88" s="5">
        <v>53.23</v>
      </c>
      <c r="D88" s="5">
        <v>43.27</v>
      </c>
      <c r="E88" s="5">
        <v>52.619999</v>
      </c>
      <c r="F88" s="5">
        <v>52.619999</v>
      </c>
      <c r="G88" s="6">
        <f t="shared" si="23"/>
        <v>1.818883513931889E-2</v>
      </c>
      <c r="H88" s="6">
        <f t="shared" si="24"/>
        <v>0.23018257453200816</v>
      </c>
    </row>
    <row r="89" spans="1:8" x14ac:dyDescent="0.25">
      <c r="A89" s="47">
        <v>41883</v>
      </c>
      <c r="B89" s="5">
        <v>54.459999000000003</v>
      </c>
      <c r="C89" s="5">
        <v>55.91</v>
      </c>
      <c r="D89" s="5">
        <v>51.66</v>
      </c>
      <c r="E89" s="5">
        <v>51.68</v>
      </c>
      <c r="F89" s="5">
        <v>51.68</v>
      </c>
      <c r="G89" s="6">
        <f t="shared" si="23"/>
        <v>-5.1046622310808407E-2</v>
      </c>
      <c r="H89" s="6">
        <f t="shared" si="24"/>
        <v>8.2268679829655439E-2</v>
      </c>
    </row>
    <row r="90" spans="1:8" x14ac:dyDescent="0.25">
      <c r="A90" s="47">
        <v>41852</v>
      </c>
      <c r="B90" s="5">
        <v>54</v>
      </c>
      <c r="C90" s="5">
        <v>56.889999000000003</v>
      </c>
      <c r="D90" s="5">
        <v>53.099997999999999</v>
      </c>
      <c r="E90" s="5">
        <v>54.459999000000003</v>
      </c>
      <c r="F90" s="5">
        <v>54.459999000000003</v>
      </c>
      <c r="G90" s="6">
        <f t="shared" si="23"/>
        <v>4.6116953442482079E-3</v>
      </c>
      <c r="H90" s="6">
        <f t="shared" si="24"/>
        <v>7.1374786115811217E-2</v>
      </c>
    </row>
    <row r="91" spans="1:8" x14ac:dyDescent="0.25">
      <c r="A91" s="47">
        <v>41821</v>
      </c>
      <c r="B91" s="5">
        <v>56.330002</v>
      </c>
      <c r="C91" s="5">
        <v>57.790000999999997</v>
      </c>
      <c r="D91" s="5">
        <v>51.290000999999997</v>
      </c>
      <c r="E91" s="5">
        <v>54.209999000000003</v>
      </c>
      <c r="F91" s="5">
        <v>54.209999000000003</v>
      </c>
      <c r="G91" s="6">
        <f t="shared" si="23"/>
        <v>-3.2655281358756456E-2</v>
      </c>
      <c r="H91" s="6">
        <f t="shared" si="24"/>
        <v>0.12673035432383789</v>
      </c>
    </row>
    <row r="92" spans="1:8" x14ac:dyDescent="0.25">
      <c r="A92" s="47">
        <v>41791</v>
      </c>
      <c r="B92" s="5">
        <v>54.75</v>
      </c>
      <c r="C92" s="5">
        <v>56.75</v>
      </c>
      <c r="D92" s="5">
        <v>50.310001</v>
      </c>
      <c r="E92" s="5">
        <v>56.040000999999997</v>
      </c>
      <c r="F92" s="5">
        <v>56.040000999999997</v>
      </c>
      <c r="G92" s="6">
        <f t="shared" si="23"/>
        <v>2.6185679798833912E-2</v>
      </c>
      <c r="H92" s="6">
        <f t="shared" si="24"/>
        <v>0.12800633814338427</v>
      </c>
    </row>
    <row r="93" spans="1:8" x14ac:dyDescent="0.25">
      <c r="A93" s="47">
        <v>41760</v>
      </c>
      <c r="B93" s="5">
        <v>50.349997999999999</v>
      </c>
      <c r="C93" s="5">
        <v>55.419998</v>
      </c>
      <c r="D93" s="5">
        <v>47.220001000000003</v>
      </c>
      <c r="E93" s="5">
        <v>54.610000999999997</v>
      </c>
      <c r="F93" s="5">
        <v>54.610000999999997</v>
      </c>
      <c r="G93" s="6">
        <f t="shared" si="23"/>
        <v>8.374681650618794E-2</v>
      </c>
      <c r="H93" s="6">
        <f t="shared" si="24"/>
        <v>0.17365516362441405</v>
      </c>
    </row>
    <row r="94" spans="1:8" x14ac:dyDescent="0.25">
      <c r="A94" s="47">
        <v>41730</v>
      </c>
      <c r="B94" s="5">
        <v>51.880001</v>
      </c>
      <c r="C94" s="5">
        <v>57.5</v>
      </c>
      <c r="D94" s="5">
        <v>48.130001</v>
      </c>
      <c r="E94" s="5">
        <v>50.389999000000003</v>
      </c>
      <c r="F94" s="5">
        <v>50.389999000000003</v>
      </c>
      <c r="G94" s="6">
        <f t="shared" si="23"/>
        <v>-2.7032283702794167E-2</v>
      </c>
      <c r="H94" s="6">
        <f t="shared" si="24"/>
        <v>0.19468104727444324</v>
      </c>
    </row>
    <row r="95" spans="1:8" x14ac:dyDescent="0.25">
      <c r="A95" s="47">
        <v>41699</v>
      </c>
      <c r="B95" s="5">
        <v>53.290000999999997</v>
      </c>
      <c r="C95" s="5">
        <v>55.959999000000003</v>
      </c>
      <c r="D95" s="5">
        <v>50.369999</v>
      </c>
      <c r="E95" s="5">
        <v>51.790000999999997</v>
      </c>
      <c r="F95" s="5">
        <v>51.790000999999997</v>
      </c>
      <c r="G95" s="6">
        <f t="shared" si="23"/>
        <v>-1.0319147322027692E-2</v>
      </c>
      <c r="H95" s="6">
        <f t="shared" si="24"/>
        <v>0.11097875940001514</v>
      </c>
    </row>
    <row r="96" spans="1:8" x14ac:dyDescent="0.25">
      <c r="A96" s="47">
        <v>41671</v>
      </c>
      <c r="B96" s="5">
        <v>59.080002</v>
      </c>
      <c r="C96" s="5">
        <v>59.720001000000003</v>
      </c>
      <c r="D96" s="5">
        <v>51.73</v>
      </c>
      <c r="E96" s="5">
        <v>52.330002</v>
      </c>
      <c r="F96" s="5">
        <v>52.330002</v>
      </c>
      <c r="G96" s="6">
        <f t="shared" si="23"/>
        <v>-0.11932003094311783</v>
      </c>
      <c r="H96" s="6">
        <f t="shared" si="24"/>
        <v>0.15445584767059747</v>
      </c>
    </row>
    <row r="97" spans="1:8" x14ac:dyDescent="0.25">
      <c r="A97" s="47">
        <v>41640</v>
      </c>
      <c r="B97" s="5">
        <v>57.060001</v>
      </c>
      <c r="C97" s="5">
        <v>65.099997999999999</v>
      </c>
      <c r="D97" s="5">
        <v>53.759998000000003</v>
      </c>
      <c r="E97" s="5">
        <v>59.419998</v>
      </c>
      <c r="F97" s="5">
        <v>59.419998</v>
      </c>
      <c r="G97" s="6">
        <f t="shared" si="23"/>
        <v>3.9901978297199416E-2</v>
      </c>
      <c r="H97" s="6">
        <f t="shared" si="24"/>
        <v>0.21093750784737744</v>
      </c>
    </row>
    <row r="98" spans="1:8" x14ac:dyDescent="0.25">
      <c r="A98" s="47">
        <v>41609</v>
      </c>
      <c r="B98" s="5">
        <v>54.799999</v>
      </c>
      <c r="C98" s="5">
        <v>58.5</v>
      </c>
      <c r="D98" s="5">
        <v>52.740001999999997</v>
      </c>
      <c r="E98" s="5">
        <v>57.139999000000003</v>
      </c>
      <c r="F98" s="5">
        <v>57.139999000000003</v>
      </c>
      <c r="G98" s="6">
        <f t="shared" si="23"/>
        <v>4.5754027191691561E-2</v>
      </c>
      <c r="H98" s="6">
        <f t="shared" si="24"/>
        <v>0.10921497500132828</v>
      </c>
    </row>
    <row r="99" spans="1:8" x14ac:dyDescent="0.25">
      <c r="A99" s="47">
        <v>41579</v>
      </c>
      <c r="B99" s="5">
        <v>56.959999000000003</v>
      </c>
      <c r="C99" s="5">
        <v>59.799999</v>
      </c>
      <c r="D99" s="5">
        <v>51.82</v>
      </c>
      <c r="E99" s="5">
        <v>54.639999000000003</v>
      </c>
      <c r="F99" s="5">
        <v>54.639999000000003</v>
      </c>
      <c r="G99" s="6">
        <f t="shared" si="23"/>
        <v>-4.2411530977715835E-2</v>
      </c>
      <c r="H99" s="6">
        <f t="shared" si="24"/>
        <v>0.1539945773832497</v>
      </c>
    </row>
    <row r="100" spans="1:8" x14ac:dyDescent="0.25">
      <c r="A100" s="47">
        <v>41548</v>
      </c>
      <c r="B100" s="5">
        <v>48</v>
      </c>
      <c r="C100" s="5">
        <v>60</v>
      </c>
      <c r="D100" s="5">
        <v>41.830002</v>
      </c>
      <c r="E100" s="5">
        <v>57.060001</v>
      </c>
      <c r="F100" s="5">
        <v>57.060001</v>
      </c>
      <c r="G100" s="6">
        <f t="shared" si="23"/>
        <v>0.18627865639412294</v>
      </c>
      <c r="H100" s="6">
        <f t="shared" si="24"/>
        <v>0.43437717263317366</v>
      </c>
    </row>
    <row r="101" spans="1:8" x14ac:dyDescent="0.25">
      <c r="A101" s="47">
        <v>41518</v>
      </c>
      <c r="B101" s="5">
        <v>44.330002</v>
      </c>
      <c r="C101" s="5">
        <v>49.080002</v>
      </c>
      <c r="D101" s="5">
        <v>43.669998</v>
      </c>
      <c r="E101" s="5">
        <v>48.099997999999999</v>
      </c>
      <c r="F101" s="5">
        <v>48.099997999999999</v>
      </c>
      <c r="G101" s="6">
        <f t="shared" si="23"/>
        <v>0.1044775913772122</v>
      </c>
      <c r="H101" s="6">
        <f t="shared" si="24"/>
        <v>0.12388377027175501</v>
      </c>
    </row>
    <row r="102" spans="1:8" x14ac:dyDescent="0.25">
      <c r="A102" s="47">
        <v>41487</v>
      </c>
      <c r="B102" s="5">
        <v>43.23</v>
      </c>
      <c r="C102" s="5">
        <v>45</v>
      </c>
      <c r="D102" s="5">
        <v>42.34</v>
      </c>
      <c r="E102" s="5">
        <v>43.549999</v>
      </c>
      <c r="F102" s="5">
        <v>43.549999</v>
      </c>
      <c r="G102" s="6">
        <f t="shared" si="23"/>
        <v>1.1849395635469504E-2</v>
      </c>
      <c r="H102" s="6">
        <f t="shared" si="24"/>
        <v>6.2824752007557785E-2</v>
      </c>
    </row>
    <row r="103" spans="1:8" x14ac:dyDescent="0.25">
      <c r="A103" s="47">
        <v>41456</v>
      </c>
      <c r="B103" s="5">
        <v>37.009998000000003</v>
      </c>
      <c r="C103" s="5">
        <v>44.43</v>
      </c>
      <c r="D103" s="5">
        <v>36.919998</v>
      </c>
      <c r="E103" s="5">
        <v>43.040000999999997</v>
      </c>
      <c r="F103" s="5">
        <v>43.040000999999997</v>
      </c>
      <c r="G103" s="6">
        <f t="shared" si="23"/>
        <v>0.16198703666341696</v>
      </c>
      <c r="H103" s="6">
        <f t="shared" si="24"/>
        <v>0.20341284958899511</v>
      </c>
    </row>
    <row r="104" spans="1:8" x14ac:dyDescent="0.25">
      <c r="A104" s="47">
        <v>41426</v>
      </c>
      <c r="B104" s="5">
        <v>36.029998999999997</v>
      </c>
      <c r="C104" s="5">
        <v>37.380001</v>
      </c>
      <c r="D104" s="5">
        <v>33.840000000000003</v>
      </c>
      <c r="E104" s="5">
        <v>37.040000999999997</v>
      </c>
      <c r="F104" s="5">
        <v>37.040000999999997</v>
      </c>
      <c r="G104" s="6">
        <f t="shared" si="23"/>
        <v>3.6083944055943964E-2</v>
      </c>
      <c r="H104" s="6">
        <f t="shared" si="24"/>
        <v>0.1046099586288415</v>
      </c>
    </row>
    <row r="105" spans="1:8" x14ac:dyDescent="0.25">
      <c r="A105" s="47">
        <v>41395</v>
      </c>
      <c r="B105" s="5">
        <v>32.880001</v>
      </c>
      <c r="C105" s="5">
        <v>38.740001999999997</v>
      </c>
      <c r="D105" s="5">
        <v>32.150002000000001</v>
      </c>
      <c r="E105" s="5">
        <v>35.75</v>
      </c>
      <c r="F105" s="5">
        <v>35.75</v>
      </c>
      <c r="G105" s="6">
        <f t="shared" si="23"/>
        <v>7.9408245151215126E-2</v>
      </c>
      <c r="H105" s="6">
        <f t="shared" si="24"/>
        <v>0.20497665909943011</v>
      </c>
    </row>
    <row r="106" spans="1:8" x14ac:dyDescent="0.25">
      <c r="A106" s="47">
        <v>41365</v>
      </c>
      <c r="B106" s="5">
        <v>33.400002000000001</v>
      </c>
      <c r="C106" s="5">
        <v>33.840000000000003</v>
      </c>
      <c r="D106" s="5">
        <v>29.530000999999999</v>
      </c>
      <c r="E106" s="5">
        <v>33.119999</v>
      </c>
      <c r="F106" s="5">
        <v>33.119999</v>
      </c>
      <c r="G106" s="6">
        <f t="shared" si="23"/>
        <v>-1.1638287773099928E-2</v>
      </c>
      <c r="H106" s="6">
        <f t="shared" si="24"/>
        <v>0.14595322905678212</v>
      </c>
    </row>
    <row r="107" spans="1:8" x14ac:dyDescent="0.25">
      <c r="A107" s="47">
        <v>41334</v>
      </c>
      <c r="B107" s="5">
        <v>31.18</v>
      </c>
      <c r="C107" s="5">
        <v>33.700001</v>
      </c>
      <c r="D107" s="5">
        <v>30.67</v>
      </c>
      <c r="E107" s="5">
        <v>33.509998000000003</v>
      </c>
      <c r="F107" s="5">
        <v>33.509998000000003</v>
      </c>
      <c r="G107" s="6">
        <f t="shared" si="23"/>
        <v>6.583959714250659E-2</v>
      </c>
      <c r="H107" s="6">
        <f t="shared" si="24"/>
        <v>9.8793641995435222E-2</v>
      </c>
    </row>
    <row r="108" spans="1:8" x14ac:dyDescent="0.25">
      <c r="A108" s="47">
        <v>41306</v>
      </c>
      <c r="B108" s="5">
        <v>31.440000999999999</v>
      </c>
      <c r="C108" s="5">
        <v>33.159999999999997</v>
      </c>
      <c r="D108" s="5">
        <v>30.950001</v>
      </c>
      <c r="E108" s="5">
        <v>31.440000999999999</v>
      </c>
      <c r="F108" s="5">
        <v>31.440000999999999</v>
      </c>
      <c r="G108" s="6">
        <f t="shared" si="23"/>
        <v>2.5510203268168993E-3</v>
      </c>
      <c r="H108" s="6">
        <f t="shared" si="24"/>
        <v>7.1405458112909145E-2</v>
      </c>
    </row>
    <row r="109" spans="1:8" x14ac:dyDescent="0.25">
      <c r="A109" s="47">
        <v>41275</v>
      </c>
      <c r="B109" s="5">
        <v>28.57</v>
      </c>
      <c r="C109" s="5">
        <v>32.799999</v>
      </c>
      <c r="D109" s="5">
        <v>25.610001</v>
      </c>
      <c r="E109" s="5">
        <v>31.360001</v>
      </c>
      <c r="F109" s="5">
        <v>31.360001</v>
      </c>
      <c r="G109" s="6">
        <f t="shared" si="23"/>
        <v>0.13009012612612614</v>
      </c>
      <c r="H109" s="6">
        <f t="shared" si="24"/>
        <v>0.28074961808865212</v>
      </c>
    </row>
    <row r="110" spans="1:8" x14ac:dyDescent="0.25">
      <c r="A110" s="47">
        <v>41244</v>
      </c>
      <c r="B110" s="5">
        <v>27.57</v>
      </c>
      <c r="C110" s="5">
        <v>28.57</v>
      </c>
      <c r="D110" s="5">
        <v>23.450001</v>
      </c>
      <c r="E110" s="5">
        <v>27.75</v>
      </c>
      <c r="F110" s="5">
        <v>27.75</v>
      </c>
      <c r="G110" s="6">
        <f t="shared" si="23"/>
        <v>1.3143520012541821E-2</v>
      </c>
      <c r="H110" s="6">
        <f t="shared" si="24"/>
        <v>0.21833683503894094</v>
      </c>
    </row>
    <row r="111" spans="1:8" x14ac:dyDescent="0.25">
      <c r="A111" s="47">
        <v>41214</v>
      </c>
      <c r="B111" s="5">
        <v>26.549999</v>
      </c>
      <c r="C111" s="5">
        <v>27.59</v>
      </c>
      <c r="D111" s="5">
        <v>24.77</v>
      </c>
      <c r="E111" s="5">
        <v>27.389999</v>
      </c>
      <c r="F111" s="5">
        <v>27.389999</v>
      </c>
      <c r="G111" s="6">
        <f t="shared" si="23"/>
        <v>3.0861836657884806E-2</v>
      </c>
      <c r="H111" s="6">
        <f t="shared" si="24"/>
        <v>0.11384739604360114</v>
      </c>
    </row>
    <row r="112" spans="1:8" x14ac:dyDescent="0.25">
      <c r="A112" s="47">
        <v>41183</v>
      </c>
      <c r="B112" s="5">
        <v>37.169998</v>
      </c>
      <c r="C112" s="5">
        <v>39.389999000000003</v>
      </c>
      <c r="D112" s="5">
        <v>25.33</v>
      </c>
      <c r="E112" s="5">
        <v>26.57</v>
      </c>
      <c r="F112" s="5">
        <v>26.57</v>
      </c>
      <c r="G112" s="6">
        <f t="shared" si="23"/>
        <v>-0.28130918903680857</v>
      </c>
      <c r="H112" s="6">
        <f t="shared" si="24"/>
        <v>0.55507299644690111</v>
      </c>
    </row>
    <row r="113" spans="1:8" x14ac:dyDescent="0.25">
      <c r="A113" s="47">
        <v>41153</v>
      </c>
      <c r="B113" s="5">
        <v>33.919998</v>
      </c>
      <c r="C113" s="5">
        <v>39.82</v>
      </c>
      <c r="D113" s="5">
        <v>33.709999000000003</v>
      </c>
      <c r="E113" s="5">
        <v>36.970001000000003</v>
      </c>
      <c r="F113" s="5">
        <v>36.970001000000003</v>
      </c>
      <c r="G113" s="6">
        <f t="shared" si="23"/>
        <v>8.8954342004290463E-2</v>
      </c>
      <c r="H113" s="6">
        <f t="shared" si="24"/>
        <v>0.18125188909083018</v>
      </c>
    </row>
    <row r="114" spans="1:8" x14ac:dyDescent="0.25">
      <c r="A114" s="47">
        <v>41122</v>
      </c>
      <c r="B114" s="5">
        <v>34.080002</v>
      </c>
      <c r="C114" s="5">
        <v>35.770000000000003</v>
      </c>
      <c r="D114" s="5">
        <v>32.130001</v>
      </c>
      <c r="E114" s="5">
        <v>33.950001</v>
      </c>
      <c r="F114" s="5">
        <v>33.950001</v>
      </c>
      <c r="G114" s="6">
        <f t="shared" si="23"/>
        <v>-2.9440519123699203E-4</v>
      </c>
      <c r="H114" s="6">
        <f t="shared" si="24"/>
        <v>0.1132897256990438</v>
      </c>
    </row>
    <row r="115" spans="1:8" x14ac:dyDescent="0.25">
      <c r="A115" s="47">
        <v>41091</v>
      </c>
      <c r="B115" s="5">
        <v>34.25</v>
      </c>
      <c r="C115" s="5">
        <v>36.099997999999999</v>
      </c>
      <c r="D115" s="5">
        <v>30.02</v>
      </c>
      <c r="E115" s="5">
        <v>33.959999000000003</v>
      </c>
      <c r="F115" s="5">
        <v>33.959999000000003</v>
      </c>
      <c r="G115" s="6">
        <f t="shared" si="23"/>
        <v>1.4943216226635272E-2</v>
      </c>
      <c r="H115" s="6">
        <f t="shared" si="24"/>
        <v>0.20253157894736842</v>
      </c>
    </row>
    <row r="116" spans="1:8" x14ac:dyDescent="0.25">
      <c r="A116" s="47">
        <v>41061</v>
      </c>
      <c r="B116" s="5">
        <v>30.42</v>
      </c>
      <c r="C116" s="5">
        <v>35.150002000000001</v>
      </c>
      <c r="D116" s="5">
        <v>28.620000999999998</v>
      </c>
      <c r="E116" s="5">
        <v>33.459999000000003</v>
      </c>
      <c r="F116" s="5">
        <v>33.459999000000003</v>
      </c>
      <c r="G116" s="6">
        <f t="shared" si="23"/>
        <v>7.1405667627281552E-2</v>
      </c>
      <c r="H116" s="6">
        <f t="shared" si="24"/>
        <v>0.22816215135701787</v>
      </c>
    </row>
    <row r="117" spans="1:8" x14ac:dyDescent="0.25">
      <c r="A117" s="47">
        <v>41030</v>
      </c>
      <c r="B117" s="5">
        <v>31.58</v>
      </c>
      <c r="C117" s="5">
        <v>32.900002000000001</v>
      </c>
      <c r="D117" s="5">
        <v>28.860001</v>
      </c>
      <c r="E117" s="5">
        <v>31.23</v>
      </c>
      <c r="F117" s="5">
        <v>31.23</v>
      </c>
      <c r="G117" s="6">
        <f t="shared" si="23"/>
        <v>-1.5137149641663484E-2</v>
      </c>
      <c r="H117" s="6">
        <f t="shared" si="24"/>
        <v>0.13998616978564901</v>
      </c>
    </row>
    <row r="118" spans="1:8" x14ac:dyDescent="0.25">
      <c r="A118" s="47">
        <v>41000</v>
      </c>
      <c r="B118" s="5">
        <v>27.4</v>
      </c>
      <c r="C118" s="5">
        <v>34.290000999999997</v>
      </c>
      <c r="D118" s="5">
        <v>26.059999000000001</v>
      </c>
      <c r="E118" s="5">
        <v>31.709999</v>
      </c>
      <c r="F118" s="5">
        <v>31.709999</v>
      </c>
      <c r="G118" s="6">
        <f t="shared" si="23"/>
        <v>0.15099819059884539</v>
      </c>
      <c r="H118" s="6">
        <f t="shared" si="24"/>
        <v>0.3158097588568593</v>
      </c>
    </row>
    <row r="119" spans="1:8" x14ac:dyDescent="0.25">
      <c r="A119" s="47">
        <v>40969</v>
      </c>
      <c r="B119" s="5">
        <v>25.940000999999999</v>
      </c>
      <c r="C119" s="5">
        <v>28.690000999999999</v>
      </c>
      <c r="D119" s="5">
        <v>25.08</v>
      </c>
      <c r="E119" s="5">
        <v>27.549999</v>
      </c>
      <c r="F119" s="5">
        <v>27.549999</v>
      </c>
      <c r="G119" s="6">
        <f t="shared" si="23"/>
        <v>7.5751578455619709E-2</v>
      </c>
      <c r="H119" s="6">
        <f t="shared" si="24"/>
        <v>0.14393943381180227</v>
      </c>
    </row>
    <row r="120" spans="1:8" x14ac:dyDescent="0.25">
      <c r="A120" s="47">
        <v>40940</v>
      </c>
      <c r="B120" s="5">
        <v>23.58</v>
      </c>
      <c r="C120" s="5">
        <v>27.75</v>
      </c>
      <c r="D120" s="5">
        <v>23.4</v>
      </c>
      <c r="E120" s="5">
        <v>25.610001</v>
      </c>
      <c r="F120" s="5">
        <v>25.610001</v>
      </c>
      <c r="G120" s="6">
        <f t="shared" si="23"/>
        <v>8.7011973132936002E-2</v>
      </c>
      <c r="H120" s="6">
        <f t="shared" si="24"/>
        <v>0.18589743589743596</v>
      </c>
    </row>
    <row r="121" spans="1:8" x14ac:dyDescent="0.25">
      <c r="A121" s="47">
        <v>40909</v>
      </c>
      <c r="B121" s="5">
        <v>24.24</v>
      </c>
      <c r="C121" s="5">
        <v>25.75</v>
      </c>
      <c r="D121" s="5">
        <v>22.389999</v>
      </c>
      <c r="E121" s="5">
        <v>23.559999000000001</v>
      </c>
      <c r="F121" s="5">
        <v>23.559999000000001</v>
      </c>
      <c r="G121" s="6">
        <f t="shared" si="23"/>
        <v>-7.1639696586598897E-3</v>
      </c>
      <c r="H121" s="6">
        <f t="shared" si="24"/>
        <v>0.15006704555904626</v>
      </c>
    </row>
    <row r="122" spans="1:8" x14ac:dyDescent="0.25">
      <c r="A122" s="47">
        <v>40878</v>
      </c>
      <c r="B122" s="5">
        <v>24.370000999999998</v>
      </c>
      <c r="C122" s="5">
        <v>25.58</v>
      </c>
      <c r="D122" s="5">
        <v>23.129999000000002</v>
      </c>
      <c r="E122" s="5">
        <v>23.73</v>
      </c>
      <c r="F122" s="5">
        <v>23.73</v>
      </c>
      <c r="G122" s="6">
        <f t="shared" si="23"/>
        <v>-3.142857142857141E-2</v>
      </c>
      <c r="H122" s="6">
        <f t="shared" si="24"/>
        <v>0.10592309147959741</v>
      </c>
    </row>
    <row r="123" spans="1:8" x14ac:dyDescent="0.25">
      <c r="A123" s="47">
        <v>40848</v>
      </c>
      <c r="B123" s="5">
        <v>21.879999000000002</v>
      </c>
      <c r="C123" s="5">
        <v>24.99</v>
      </c>
      <c r="D123" s="5">
        <v>21.200001</v>
      </c>
      <c r="E123" s="5">
        <v>24.5</v>
      </c>
      <c r="F123" s="5">
        <v>24.5</v>
      </c>
      <c r="G123" s="6">
        <f t="shared" si="23"/>
        <v>6.3829741040827628E-2</v>
      </c>
      <c r="H123" s="6">
        <f t="shared" si="24"/>
        <v>0.17877352930313531</v>
      </c>
    </row>
    <row r="124" spans="1:8" x14ac:dyDescent="0.25">
      <c r="A124" s="47">
        <v>40817</v>
      </c>
      <c r="B124" s="5">
        <v>15</v>
      </c>
      <c r="C124" s="5">
        <v>24</v>
      </c>
      <c r="D124" s="5">
        <v>14.25</v>
      </c>
      <c r="E124" s="5">
        <v>23.030000999999999</v>
      </c>
      <c r="F124" s="5">
        <v>23.030000999999999</v>
      </c>
      <c r="G124" s="6">
        <f t="shared" si="23"/>
        <v>0.51812794990112054</v>
      </c>
      <c r="H124" s="6">
        <f t="shared" si="24"/>
        <v>0.68421052631578949</v>
      </c>
    </row>
    <row r="125" spans="1:8" x14ac:dyDescent="0.25">
      <c r="A125" s="47">
        <v>40787</v>
      </c>
      <c r="B125" s="5">
        <v>19.149999999999999</v>
      </c>
      <c r="C125" s="5">
        <v>19.350000000000001</v>
      </c>
      <c r="D125" s="5">
        <v>14.65</v>
      </c>
      <c r="E125" s="5">
        <v>15.17</v>
      </c>
      <c r="F125" s="5">
        <v>15.17</v>
      </c>
      <c r="G125" s="6">
        <f t="shared" si="23"/>
        <v>-0.20575916230366498</v>
      </c>
      <c r="H125" s="6">
        <f t="shared" si="24"/>
        <v>0.3208191126279864</v>
      </c>
    </row>
    <row r="126" spans="1:8" x14ac:dyDescent="0.25">
      <c r="A126" s="47">
        <v>40756</v>
      </c>
      <c r="B126" s="5">
        <v>22.26</v>
      </c>
      <c r="C126" s="5">
        <v>22.530000999999999</v>
      </c>
      <c r="D126" s="5">
        <v>16.239999999999998</v>
      </c>
      <c r="E126" s="5">
        <v>19.100000000000001</v>
      </c>
      <c r="F126" s="5">
        <v>19.100000000000001</v>
      </c>
      <c r="G126" s="6">
        <f t="shared" si="23"/>
        <v>-0.13142337426102763</v>
      </c>
      <c r="H126" s="6">
        <f t="shared" si="24"/>
        <v>0.38731533251231531</v>
      </c>
    </row>
    <row r="127" spans="1:8" x14ac:dyDescent="0.25">
      <c r="A127" s="47">
        <v>40725</v>
      </c>
      <c r="B127" s="5">
        <v>22.799999</v>
      </c>
      <c r="C127" s="5">
        <v>24.16</v>
      </c>
      <c r="D127" s="5">
        <v>21.52</v>
      </c>
      <c r="E127" s="5">
        <v>21.99</v>
      </c>
      <c r="F127" s="5">
        <v>21.99</v>
      </c>
      <c r="G127" s="6">
        <f t="shared" si="23"/>
        <v>-3.5526273487994503E-2</v>
      </c>
      <c r="H127" s="6">
        <f t="shared" si="24"/>
        <v>0.12267657992565059</v>
      </c>
    </row>
    <row r="128" spans="1:8" x14ac:dyDescent="0.25">
      <c r="A128" s="47">
        <v>40695</v>
      </c>
      <c r="B128" s="5">
        <v>24.42</v>
      </c>
      <c r="C128" s="5">
        <v>24.76</v>
      </c>
      <c r="D128" s="5">
        <v>21.65</v>
      </c>
      <c r="E128" s="5">
        <v>22.799999</v>
      </c>
      <c r="F128" s="5">
        <v>22.799999</v>
      </c>
      <c r="G128" s="6">
        <f t="shared" si="23"/>
        <v>-6.9387795918367356E-2</v>
      </c>
      <c r="H128" s="6">
        <f t="shared" si="24"/>
        <v>0.14364896073903016</v>
      </c>
    </row>
    <row r="129" spans="1:8" x14ac:dyDescent="0.25">
      <c r="A129" s="47">
        <v>40664</v>
      </c>
      <c r="B129" s="5">
        <v>24.139999</v>
      </c>
      <c r="C129" s="5">
        <v>24.799999</v>
      </c>
      <c r="D129" s="5">
        <v>22.360001</v>
      </c>
      <c r="E129" s="5">
        <v>24.5</v>
      </c>
      <c r="F129" s="5">
        <v>24.5</v>
      </c>
      <c r="G129" s="6">
        <f t="shared" si="23"/>
        <v>1.4913049499297844E-2</v>
      </c>
      <c r="H129" s="6">
        <f t="shared" si="24"/>
        <v>0.10912334037909924</v>
      </c>
    </row>
    <row r="130" spans="1:8" x14ac:dyDescent="0.25">
      <c r="A130" s="47">
        <v>40634</v>
      </c>
      <c r="B130" s="5">
        <v>20.58</v>
      </c>
      <c r="C130" s="5">
        <v>25.940000999999999</v>
      </c>
      <c r="D130" s="5">
        <v>20.41</v>
      </c>
      <c r="E130" s="5">
        <v>24.139999</v>
      </c>
      <c r="F130" s="5">
        <v>24.139999</v>
      </c>
      <c r="G130" s="6">
        <f t="shared" si="23"/>
        <v>0.17871088867187496</v>
      </c>
      <c r="H130" s="6">
        <f t="shared" si="24"/>
        <v>0.27094566389024982</v>
      </c>
    </row>
    <row r="131" spans="1:8" x14ac:dyDescent="0.25">
      <c r="A131" s="47">
        <v>40603</v>
      </c>
      <c r="B131" s="5">
        <v>20.83</v>
      </c>
      <c r="C131" s="5">
        <v>22.049999</v>
      </c>
      <c r="D131" s="5">
        <v>19.559999000000001</v>
      </c>
      <c r="E131" s="5">
        <v>20.48</v>
      </c>
      <c r="F131" s="5">
        <v>20.48</v>
      </c>
      <c r="G131" s="6">
        <f t="shared" ref="G131:G194" si="25">(F131-F132)/F132</f>
        <v>-1.7745803357314197E-2</v>
      </c>
      <c r="H131" s="6">
        <f t="shared" ref="H131:H194" si="26">(C131-D131)/D131</f>
        <v>0.12730062000514408</v>
      </c>
    </row>
    <row r="132" spans="1:8" x14ac:dyDescent="0.25">
      <c r="A132" s="47">
        <v>40575</v>
      </c>
      <c r="B132" s="5">
        <v>20.51</v>
      </c>
      <c r="C132" s="5">
        <v>22.24</v>
      </c>
      <c r="D132" s="5">
        <v>19.100000000000001</v>
      </c>
      <c r="E132" s="5">
        <v>20.85</v>
      </c>
      <c r="F132" s="5">
        <v>20.85</v>
      </c>
      <c r="G132" s="6">
        <f t="shared" si="25"/>
        <v>9.6015362458008291E-4</v>
      </c>
      <c r="H132" s="6">
        <f t="shared" si="26"/>
        <v>0.16439790575916213</v>
      </c>
    </row>
    <row r="133" spans="1:8" x14ac:dyDescent="0.25">
      <c r="A133" s="47">
        <v>40544</v>
      </c>
      <c r="B133" s="5">
        <v>19.75</v>
      </c>
      <c r="C133" s="5">
        <v>21.200001</v>
      </c>
      <c r="D133" s="5">
        <v>19.23</v>
      </c>
      <c r="E133" s="5">
        <v>20.83</v>
      </c>
      <c r="F133" s="5">
        <v>20.83</v>
      </c>
      <c r="G133" s="6">
        <f t="shared" si="25"/>
        <v>6.601836919046207E-2</v>
      </c>
      <c r="H133" s="6">
        <f t="shared" si="26"/>
        <v>0.10244414976599063</v>
      </c>
    </row>
    <row r="134" spans="1:8" x14ac:dyDescent="0.25">
      <c r="A134" s="47">
        <v>40513</v>
      </c>
      <c r="B134" s="5">
        <v>17.84</v>
      </c>
      <c r="C134" s="5">
        <v>20.65</v>
      </c>
      <c r="D134" s="5">
        <v>17.18</v>
      </c>
      <c r="E134" s="5">
        <v>19.540001</v>
      </c>
      <c r="F134" s="5">
        <v>19.540001</v>
      </c>
      <c r="G134" s="6">
        <f t="shared" si="25"/>
        <v>0.11720989136649525</v>
      </c>
      <c r="H134" s="6">
        <f t="shared" si="26"/>
        <v>0.20197904540162973</v>
      </c>
    </row>
    <row r="135" spans="1:8" x14ac:dyDescent="0.25">
      <c r="A135" s="47">
        <v>40483</v>
      </c>
      <c r="B135" s="5">
        <v>17.02</v>
      </c>
      <c r="C135" s="5">
        <v>18.670000000000002</v>
      </c>
      <c r="D135" s="5">
        <v>16.649999999999999</v>
      </c>
      <c r="E135" s="5">
        <v>17.489999999999998</v>
      </c>
      <c r="F135" s="5">
        <v>17.489999999999998</v>
      </c>
      <c r="G135" s="6">
        <f t="shared" si="25"/>
        <v>2.7614571092831896E-2</v>
      </c>
      <c r="H135" s="6">
        <f t="shared" si="26"/>
        <v>0.12132132132132152</v>
      </c>
    </row>
    <row r="136" spans="1:8" x14ac:dyDescent="0.25">
      <c r="A136" s="47">
        <v>40452</v>
      </c>
      <c r="B136" s="5">
        <v>19.77</v>
      </c>
      <c r="C136" s="5">
        <v>21.4</v>
      </c>
      <c r="D136" s="5">
        <v>16.25</v>
      </c>
      <c r="E136" s="5">
        <v>17.02</v>
      </c>
      <c r="F136" s="5">
        <v>17.02</v>
      </c>
      <c r="G136" s="6">
        <f t="shared" si="25"/>
        <v>-0.13074565883554642</v>
      </c>
      <c r="H136" s="6">
        <f t="shared" si="26"/>
        <v>0.31692307692307686</v>
      </c>
    </row>
    <row r="137" spans="1:8" x14ac:dyDescent="0.25">
      <c r="A137" s="47">
        <v>40422</v>
      </c>
      <c r="B137" s="5">
        <v>16.239999999999998</v>
      </c>
      <c r="C137" s="5">
        <v>19.950001</v>
      </c>
      <c r="D137" s="5">
        <v>16.170000000000002</v>
      </c>
      <c r="E137" s="5">
        <v>19.579999999999998</v>
      </c>
      <c r="F137" s="5">
        <v>19.579999999999998</v>
      </c>
      <c r="G137" s="6">
        <f t="shared" si="25"/>
        <v>0.22451532207629757</v>
      </c>
      <c r="H137" s="6">
        <f t="shared" si="26"/>
        <v>0.23376629560915263</v>
      </c>
    </row>
    <row r="138" spans="1:8" x14ac:dyDescent="0.25">
      <c r="A138" s="47">
        <v>40391</v>
      </c>
      <c r="B138" s="5">
        <v>17.469999000000001</v>
      </c>
      <c r="C138" s="5">
        <v>18.280000999999999</v>
      </c>
      <c r="D138" s="5">
        <v>15.71</v>
      </c>
      <c r="E138" s="5">
        <v>15.99</v>
      </c>
      <c r="F138" s="5">
        <v>15.99</v>
      </c>
      <c r="G138" s="6">
        <f t="shared" si="25"/>
        <v>-7.838616714697412E-2</v>
      </c>
      <c r="H138" s="6">
        <f t="shared" si="26"/>
        <v>0.16359013367281972</v>
      </c>
    </row>
    <row r="139" spans="1:8" x14ac:dyDescent="0.25">
      <c r="A139" s="47">
        <v>40360</v>
      </c>
      <c r="B139" s="5">
        <v>14.89</v>
      </c>
      <c r="C139" s="5">
        <v>18.5</v>
      </c>
      <c r="D139" s="5">
        <v>13.9</v>
      </c>
      <c r="E139" s="5">
        <v>17.350000000000001</v>
      </c>
      <c r="F139" s="5">
        <v>17.350000000000001</v>
      </c>
      <c r="G139" s="6">
        <f t="shared" si="25"/>
        <v>0.16677874915938146</v>
      </c>
      <c r="H139" s="6">
        <f t="shared" si="26"/>
        <v>0.33093525179856109</v>
      </c>
    </row>
    <row r="140" spans="1:8" x14ac:dyDescent="0.25">
      <c r="A140" s="47">
        <v>40330</v>
      </c>
      <c r="B140" s="5">
        <v>14.85</v>
      </c>
      <c r="C140" s="5">
        <v>15.37</v>
      </c>
      <c r="D140" s="5">
        <v>13.18</v>
      </c>
      <c r="E140" s="5">
        <v>14.87</v>
      </c>
      <c r="F140" s="5">
        <v>14.87</v>
      </c>
      <c r="G140" s="6">
        <f t="shared" si="25"/>
        <v>-3.3512064343164017E-3</v>
      </c>
      <c r="H140" s="6">
        <f t="shared" si="26"/>
        <v>0.16616084977238235</v>
      </c>
    </row>
    <row r="141" spans="1:8" x14ac:dyDescent="0.25">
      <c r="A141" s="47">
        <v>40299</v>
      </c>
      <c r="B141" s="5">
        <v>17</v>
      </c>
      <c r="C141" s="5">
        <v>17.91</v>
      </c>
      <c r="D141" s="5">
        <v>14.73</v>
      </c>
      <c r="E141" s="5">
        <v>14.92</v>
      </c>
      <c r="F141" s="5">
        <v>14.92</v>
      </c>
      <c r="G141" s="6">
        <f t="shared" si="25"/>
        <v>-0.12235294117647059</v>
      </c>
      <c r="H141" s="6">
        <f t="shared" si="26"/>
        <v>0.21588594704684316</v>
      </c>
    </row>
    <row r="142" spans="1:8" x14ac:dyDescent="0.25">
      <c r="A142" s="47">
        <v>40269</v>
      </c>
      <c r="B142" s="5">
        <v>19.440000999999999</v>
      </c>
      <c r="C142" s="5">
        <v>20.559999000000001</v>
      </c>
      <c r="D142" s="5">
        <v>16.420000000000002</v>
      </c>
      <c r="E142" s="5">
        <v>17</v>
      </c>
      <c r="F142" s="5">
        <v>17</v>
      </c>
      <c r="G142" s="6">
        <f t="shared" si="25"/>
        <v>-0.12099276111685625</v>
      </c>
      <c r="H142" s="6">
        <f t="shared" si="26"/>
        <v>0.25213148599269181</v>
      </c>
    </row>
    <row r="143" spans="1:8" x14ac:dyDescent="0.25">
      <c r="A143" s="47">
        <v>40238</v>
      </c>
      <c r="B143" s="5">
        <v>18.16</v>
      </c>
      <c r="C143" s="5">
        <v>20</v>
      </c>
      <c r="D143" s="5">
        <v>18.079999999999998</v>
      </c>
      <c r="E143" s="5">
        <v>19.34</v>
      </c>
      <c r="F143" s="5">
        <v>19.34</v>
      </c>
      <c r="G143" s="6">
        <f t="shared" si="25"/>
        <v>6.8508287292817591E-2</v>
      </c>
      <c r="H143" s="6">
        <f t="shared" si="26"/>
        <v>0.10619469026548684</v>
      </c>
    </row>
    <row r="144" spans="1:8" x14ac:dyDescent="0.25">
      <c r="A144" s="47">
        <v>40210</v>
      </c>
      <c r="B144" s="5">
        <v>18.73</v>
      </c>
      <c r="C144" s="5">
        <v>18.75</v>
      </c>
      <c r="D144" s="5">
        <v>16.93</v>
      </c>
      <c r="E144" s="5">
        <v>18.100000000000001</v>
      </c>
      <c r="F144" s="5">
        <v>18.100000000000001</v>
      </c>
      <c r="G144" s="6">
        <f t="shared" si="25"/>
        <v>-3.4666666666666589E-2</v>
      </c>
      <c r="H144" s="6">
        <f t="shared" si="26"/>
        <v>0.10750147666863558</v>
      </c>
    </row>
    <row r="145" spans="1:8" x14ac:dyDescent="0.25">
      <c r="A145" s="47">
        <v>40179</v>
      </c>
      <c r="B145" s="5">
        <v>18.049999</v>
      </c>
      <c r="C145" s="5">
        <v>19.25</v>
      </c>
      <c r="D145" s="5">
        <v>16.110001</v>
      </c>
      <c r="E145" s="5">
        <v>18.75</v>
      </c>
      <c r="F145" s="5">
        <v>18.75</v>
      </c>
      <c r="G145" s="6">
        <f t="shared" si="25"/>
        <v>5.2188552188552173E-2</v>
      </c>
      <c r="H145" s="6">
        <f t="shared" si="26"/>
        <v>0.19490991962073742</v>
      </c>
    </row>
    <row r="146" spans="1:8" x14ac:dyDescent="0.25">
      <c r="A146" s="47">
        <v>40148</v>
      </c>
      <c r="B146" s="5">
        <v>16.52</v>
      </c>
      <c r="C146" s="5">
        <v>18.23</v>
      </c>
      <c r="D146" s="5">
        <v>16.5</v>
      </c>
      <c r="E146" s="5">
        <v>17.82</v>
      </c>
      <c r="F146" s="5">
        <v>17.82</v>
      </c>
      <c r="G146" s="6">
        <f t="shared" si="25"/>
        <v>8.9241987210147464E-2</v>
      </c>
      <c r="H146" s="6">
        <f t="shared" si="26"/>
        <v>0.10484848484848487</v>
      </c>
    </row>
    <row r="147" spans="1:8" x14ac:dyDescent="0.25">
      <c r="A147" s="47">
        <v>40118</v>
      </c>
      <c r="B147" s="5">
        <v>15.87</v>
      </c>
      <c r="C147" s="5">
        <v>17.389999</v>
      </c>
      <c r="D147" s="5">
        <v>15.38</v>
      </c>
      <c r="E147" s="5">
        <v>16.360001</v>
      </c>
      <c r="F147" s="5">
        <v>16.360001</v>
      </c>
      <c r="G147" s="6">
        <f t="shared" si="25"/>
        <v>4.0712531806615763E-2</v>
      </c>
      <c r="H147" s="6">
        <f t="shared" si="26"/>
        <v>0.13068914174252266</v>
      </c>
    </row>
    <row r="148" spans="1:8" x14ac:dyDescent="0.25">
      <c r="A148" s="47">
        <v>40087</v>
      </c>
      <c r="B148" s="5">
        <v>14.68</v>
      </c>
      <c r="C148" s="5">
        <v>18.850000000000001</v>
      </c>
      <c r="D148" s="5">
        <v>14.18</v>
      </c>
      <c r="E148" s="5">
        <v>15.72</v>
      </c>
      <c r="F148" s="5">
        <v>15.72</v>
      </c>
      <c r="G148" s="6">
        <f t="shared" si="25"/>
        <v>0.10548523206751054</v>
      </c>
      <c r="H148" s="6">
        <f t="shared" si="26"/>
        <v>0.32933709449929494</v>
      </c>
    </row>
    <row r="149" spans="1:8" x14ac:dyDescent="0.25">
      <c r="A149" s="47">
        <v>40057</v>
      </c>
      <c r="B149" s="5">
        <v>13.26</v>
      </c>
      <c r="C149" s="5">
        <v>14.91</v>
      </c>
      <c r="D149" s="5">
        <v>12.7</v>
      </c>
      <c r="E149" s="5">
        <v>14.22</v>
      </c>
      <c r="F149" s="5">
        <v>14.22</v>
      </c>
      <c r="G149" s="6">
        <f t="shared" si="25"/>
        <v>6.119402985074629E-2</v>
      </c>
      <c r="H149" s="6">
        <f t="shared" si="26"/>
        <v>0.17401574803149614</v>
      </c>
    </row>
    <row r="150" spans="1:8" x14ac:dyDescent="0.25">
      <c r="A150" s="47">
        <v>40026</v>
      </c>
      <c r="B150" s="5">
        <v>10.88</v>
      </c>
      <c r="C150" s="5">
        <v>14</v>
      </c>
      <c r="D150" s="5">
        <v>9.75</v>
      </c>
      <c r="E150" s="5">
        <v>13.4</v>
      </c>
      <c r="F150" s="5">
        <v>13.4</v>
      </c>
      <c r="G150" s="6">
        <f t="shared" si="25"/>
        <v>0.22823098075160406</v>
      </c>
      <c r="H150" s="6">
        <f t="shared" si="26"/>
        <v>0.4358974358974359</v>
      </c>
    </row>
    <row r="151" spans="1:8" x14ac:dyDescent="0.25">
      <c r="A151" s="47">
        <v>39995</v>
      </c>
      <c r="B151" s="5">
        <v>10.72</v>
      </c>
      <c r="C151" s="5">
        <v>12.07</v>
      </c>
      <c r="D151" s="5">
        <v>9.15</v>
      </c>
      <c r="E151" s="5">
        <v>10.91</v>
      </c>
      <c r="F151" s="5">
        <v>10.91</v>
      </c>
      <c r="G151" s="6">
        <f t="shared" si="25"/>
        <v>2.9245283018867974E-2</v>
      </c>
      <c r="H151" s="6">
        <f t="shared" si="26"/>
        <v>0.31912568306010924</v>
      </c>
    </row>
    <row r="152" spans="1:8" x14ac:dyDescent="0.25">
      <c r="A152" s="47">
        <v>39965</v>
      </c>
      <c r="B152" s="5">
        <v>12.08</v>
      </c>
      <c r="C152" s="5">
        <v>12.91</v>
      </c>
      <c r="D152" s="5">
        <v>9.43</v>
      </c>
      <c r="E152" s="5">
        <v>10.6</v>
      </c>
      <c r="F152" s="5">
        <v>10.6</v>
      </c>
      <c r="G152" s="6">
        <f t="shared" si="25"/>
        <v>-0.10397295012679632</v>
      </c>
      <c r="H152" s="6">
        <f t="shared" si="26"/>
        <v>0.36903499469777312</v>
      </c>
    </row>
    <row r="153" spans="1:8" x14ac:dyDescent="0.25">
      <c r="A153" s="47">
        <v>39934</v>
      </c>
      <c r="B153" s="5">
        <v>12.57</v>
      </c>
      <c r="C153" s="5">
        <v>12.71</v>
      </c>
      <c r="D153" s="5">
        <v>11.07</v>
      </c>
      <c r="E153" s="5">
        <v>11.83</v>
      </c>
      <c r="F153" s="5">
        <v>11.83</v>
      </c>
      <c r="G153" s="6">
        <f t="shared" si="25"/>
        <v>-4.6736502820306211E-2</v>
      </c>
      <c r="H153" s="6">
        <f t="shared" si="26"/>
        <v>0.1481481481481482</v>
      </c>
    </row>
    <row r="154" spans="1:8" x14ac:dyDescent="0.25">
      <c r="A154" s="47">
        <v>39904</v>
      </c>
      <c r="B154" s="5">
        <v>7.83</v>
      </c>
      <c r="C154" s="5">
        <v>12.83</v>
      </c>
      <c r="D154" s="5">
        <v>7.62</v>
      </c>
      <c r="E154" s="5">
        <v>12.41</v>
      </c>
      <c r="F154" s="5">
        <v>12.41</v>
      </c>
      <c r="G154" s="6">
        <f t="shared" si="25"/>
        <v>0.56494325346784369</v>
      </c>
      <c r="H154" s="6">
        <f t="shared" si="26"/>
        <v>0.68372703412073488</v>
      </c>
    </row>
    <row r="155" spans="1:8" x14ac:dyDescent="0.25">
      <c r="A155" s="47">
        <v>39873</v>
      </c>
      <c r="B155" s="5">
        <v>6.81</v>
      </c>
      <c r="C155" s="5">
        <v>8.3699999999999992</v>
      </c>
      <c r="D155" s="5">
        <v>6.1</v>
      </c>
      <c r="E155" s="5">
        <v>7.93</v>
      </c>
      <c r="F155" s="5">
        <v>7.93</v>
      </c>
      <c r="G155" s="6">
        <f t="shared" si="25"/>
        <v>0.15766423357664236</v>
      </c>
      <c r="H155" s="6">
        <f t="shared" si="26"/>
        <v>0.37213114754098353</v>
      </c>
    </row>
    <row r="156" spans="1:8" x14ac:dyDescent="0.25">
      <c r="A156" s="47">
        <v>39845</v>
      </c>
      <c r="B156" s="5">
        <v>7.71</v>
      </c>
      <c r="C156" s="5">
        <v>9.19</v>
      </c>
      <c r="D156" s="5">
        <v>6.85</v>
      </c>
      <c r="E156" s="5">
        <v>6.85</v>
      </c>
      <c r="F156" s="5">
        <v>6.85</v>
      </c>
      <c r="G156" s="6">
        <f t="shared" si="25"/>
        <v>-0.13071065989847719</v>
      </c>
      <c r="H156" s="6">
        <f t="shared" si="26"/>
        <v>0.34160583941605838</v>
      </c>
    </row>
    <row r="157" spans="1:8" x14ac:dyDescent="0.25">
      <c r="A157" s="47">
        <v>39814</v>
      </c>
      <c r="B157" s="5">
        <v>8.52</v>
      </c>
      <c r="C157" s="5">
        <v>9.67</v>
      </c>
      <c r="D157" s="5">
        <v>7.48</v>
      </c>
      <c r="E157" s="5">
        <v>7.88</v>
      </c>
      <c r="F157" s="5">
        <v>7.88</v>
      </c>
      <c r="G157" s="6">
        <f t="shared" si="25"/>
        <v>-9.9428571428571436E-2</v>
      </c>
      <c r="H157" s="6">
        <f t="shared" si="26"/>
        <v>0.2927807486631015</v>
      </c>
    </row>
    <row r="158" spans="1:8" x14ac:dyDescent="0.25">
      <c r="A158" s="47">
        <v>39783</v>
      </c>
      <c r="B158" s="5">
        <v>6.79</v>
      </c>
      <c r="C158" s="5">
        <v>8.81</v>
      </c>
      <c r="D158" s="5">
        <v>6.63</v>
      </c>
      <c r="E158" s="5">
        <v>8.75</v>
      </c>
      <c r="F158" s="5">
        <v>8.75</v>
      </c>
      <c r="G158" s="6">
        <f t="shared" si="25"/>
        <v>0.25</v>
      </c>
      <c r="H158" s="6">
        <f t="shared" si="26"/>
        <v>0.32880844645550539</v>
      </c>
    </row>
    <row r="159" spans="1:8" x14ac:dyDescent="0.25">
      <c r="A159" s="47">
        <v>39753</v>
      </c>
      <c r="B159" s="5">
        <v>6.9</v>
      </c>
      <c r="C159" s="5">
        <v>7.51</v>
      </c>
      <c r="D159" s="5">
        <v>5.67</v>
      </c>
      <c r="E159" s="5">
        <v>7</v>
      </c>
      <c r="F159" s="5">
        <v>7</v>
      </c>
      <c r="G159" s="6">
        <f t="shared" si="25"/>
        <v>1.0101010101010142E-2</v>
      </c>
      <c r="H159" s="6">
        <f t="shared" si="26"/>
        <v>0.32451499118165783</v>
      </c>
    </row>
    <row r="160" spans="1:8" x14ac:dyDescent="0.25">
      <c r="A160" s="47">
        <v>39722</v>
      </c>
      <c r="B160" s="5">
        <v>10.75</v>
      </c>
      <c r="C160" s="5">
        <v>10.88</v>
      </c>
      <c r="D160" s="5">
        <v>4.88</v>
      </c>
      <c r="E160" s="5">
        <v>6.93</v>
      </c>
      <c r="F160" s="5">
        <v>6.93</v>
      </c>
      <c r="G160" s="6">
        <f t="shared" si="25"/>
        <v>-0.36011080332409973</v>
      </c>
      <c r="H160" s="6">
        <f t="shared" si="26"/>
        <v>1.2295081967213117</v>
      </c>
    </row>
    <row r="161" spans="1:8" x14ac:dyDescent="0.25">
      <c r="A161" s="47">
        <v>39692</v>
      </c>
      <c r="B161" s="5">
        <v>13.18</v>
      </c>
      <c r="C161" s="5">
        <v>13.74</v>
      </c>
      <c r="D161" s="5">
        <v>10.45</v>
      </c>
      <c r="E161" s="5">
        <v>10.83</v>
      </c>
      <c r="F161" s="5">
        <v>10.83</v>
      </c>
      <c r="G161" s="6">
        <f t="shared" si="25"/>
        <v>-0.1694785276073619</v>
      </c>
      <c r="H161" s="6">
        <f t="shared" si="26"/>
        <v>0.31483253588516757</v>
      </c>
    </row>
    <row r="162" spans="1:8" x14ac:dyDescent="0.25">
      <c r="A162" s="47">
        <v>39661</v>
      </c>
      <c r="B162" s="5">
        <v>9.94</v>
      </c>
      <c r="C162" s="5">
        <v>13.19</v>
      </c>
      <c r="D162" s="5">
        <v>9.91</v>
      </c>
      <c r="E162" s="5">
        <v>13.04</v>
      </c>
      <c r="F162" s="5">
        <v>13.04</v>
      </c>
      <c r="G162" s="6">
        <f t="shared" si="25"/>
        <v>0.30269730269730266</v>
      </c>
      <c r="H162" s="6">
        <f t="shared" si="26"/>
        <v>0.33097880928355189</v>
      </c>
    </row>
    <row r="163" spans="1:8" x14ac:dyDescent="0.25">
      <c r="A163" s="47">
        <v>39630</v>
      </c>
      <c r="B163" s="5">
        <v>10.38</v>
      </c>
      <c r="C163" s="5">
        <v>12.24</v>
      </c>
      <c r="D163" s="5">
        <v>9.02</v>
      </c>
      <c r="E163" s="5">
        <v>10.01</v>
      </c>
      <c r="F163" s="5">
        <v>10.01</v>
      </c>
      <c r="G163" s="6">
        <f t="shared" si="25"/>
        <v>-4.5757864632983834E-2</v>
      </c>
      <c r="H163" s="6">
        <f t="shared" si="26"/>
        <v>0.35698447893569851</v>
      </c>
    </row>
    <row r="164" spans="1:8" x14ac:dyDescent="0.25">
      <c r="A164" s="47">
        <v>39600</v>
      </c>
      <c r="B164" s="5">
        <v>13.2</v>
      </c>
      <c r="C164" s="5">
        <v>13.45</v>
      </c>
      <c r="D164" s="5">
        <v>10.47</v>
      </c>
      <c r="E164" s="5">
        <v>10.49</v>
      </c>
      <c r="F164" s="5">
        <v>10.49</v>
      </c>
      <c r="G164" s="6">
        <f t="shared" si="25"/>
        <v>-0.20349278663629458</v>
      </c>
      <c r="H164" s="6">
        <f t="shared" si="26"/>
        <v>0.28462273161413548</v>
      </c>
    </row>
    <row r="165" spans="1:8" x14ac:dyDescent="0.25">
      <c r="A165" s="47">
        <v>39569</v>
      </c>
      <c r="B165" s="5">
        <v>12.17</v>
      </c>
      <c r="C165" s="5">
        <v>13.42</v>
      </c>
      <c r="D165" s="5">
        <v>11.98</v>
      </c>
      <c r="E165" s="5">
        <v>13.17</v>
      </c>
      <c r="F165" s="5">
        <v>13.17</v>
      </c>
      <c r="G165" s="6">
        <f t="shared" si="25"/>
        <v>7.2475570032573336E-2</v>
      </c>
      <c r="H165" s="6">
        <f t="shared" si="26"/>
        <v>0.12020033388981631</v>
      </c>
    </row>
    <row r="166" spans="1:8" x14ac:dyDescent="0.25">
      <c r="A166" s="47">
        <v>39539</v>
      </c>
      <c r="B166" s="5">
        <v>11.23</v>
      </c>
      <c r="C166" s="5">
        <v>12.79</v>
      </c>
      <c r="D166" s="5">
        <v>9.65</v>
      </c>
      <c r="E166" s="5">
        <v>12.28</v>
      </c>
      <c r="F166" s="5">
        <v>12.28</v>
      </c>
      <c r="G166" s="6">
        <f t="shared" si="25"/>
        <v>0.10531053105310531</v>
      </c>
      <c r="H166" s="6">
        <f t="shared" si="26"/>
        <v>0.32538860103626932</v>
      </c>
    </row>
    <row r="167" spans="1:8" x14ac:dyDescent="0.25">
      <c r="A167" s="47">
        <v>39508</v>
      </c>
      <c r="B167" s="5">
        <v>12.38</v>
      </c>
      <c r="C167" s="5">
        <v>12.9</v>
      </c>
      <c r="D167" s="5">
        <v>10.34</v>
      </c>
      <c r="E167" s="5">
        <v>11.11</v>
      </c>
      <c r="F167" s="5">
        <v>11.11</v>
      </c>
      <c r="G167" s="6">
        <f t="shared" si="25"/>
        <v>-0.10040485829959517</v>
      </c>
      <c r="H167" s="6">
        <f t="shared" si="26"/>
        <v>0.2475822050290136</v>
      </c>
    </row>
    <row r="168" spans="1:8" x14ac:dyDescent="0.25">
      <c r="A168" s="47">
        <v>39479</v>
      </c>
      <c r="B168" s="5">
        <v>11.59</v>
      </c>
      <c r="C168" s="5">
        <v>13.62</v>
      </c>
      <c r="D168" s="5">
        <v>11.57</v>
      </c>
      <c r="E168" s="5">
        <v>12.35</v>
      </c>
      <c r="F168" s="5">
        <v>12.35</v>
      </c>
      <c r="G168" s="6">
        <f t="shared" si="25"/>
        <v>4.8387096774193575E-2</v>
      </c>
      <c r="H168" s="6">
        <f t="shared" si="26"/>
        <v>0.17718236819360406</v>
      </c>
    </row>
    <row r="169" spans="1:8" x14ac:dyDescent="0.25">
      <c r="A169" s="47">
        <v>39448</v>
      </c>
      <c r="B169" s="5">
        <v>16.68</v>
      </c>
      <c r="C169" s="5">
        <v>17.219999000000001</v>
      </c>
      <c r="D169" s="5">
        <v>10.8</v>
      </c>
      <c r="E169" s="5">
        <v>11.78</v>
      </c>
      <c r="F169" s="5">
        <v>11.78</v>
      </c>
      <c r="G169" s="6">
        <f t="shared" si="25"/>
        <v>-0.29376498800959233</v>
      </c>
      <c r="H169" s="6">
        <f t="shared" si="26"/>
        <v>0.59444435185185185</v>
      </c>
    </row>
    <row r="170" spans="1:8" x14ac:dyDescent="0.25">
      <c r="A170" s="47">
        <v>39417</v>
      </c>
      <c r="B170" s="5">
        <v>16.82</v>
      </c>
      <c r="C170" s="5">
        <v>19.879999000000002</v>
      </c>
      <c r="D170" s="5">
        <v>16.239999999999998</v>
      </c>
      <c r="E170" s="5">
        <v>16.68</v>
      </c>
      <c r="F170" s="5">
        <v>16.68</v>
      </c>
      <c r="G170" s="6">
        <f t="shared" si="25"/>
        <v>-1.2433334069469148E-2</v>
      </c>
      <c r="H170" s="6">
        <f t="shared" si="26"/>
        <v>0.2241378694581283</v>
      </c>
    </row>
    <row r="171" spans="1:8" x14ac:dyDescent="0.25">
      <c r="A171" s="47">
        <v>39387</v>
      </c>
      <c r="B171" s="5">
        <v>20.48</v>
      </c>
      <c r="C171" s="5">
        <v>20.690000999999999</v>
      </c>
      <c r="D171" s="5">
        <v>14.62</v>
      </c>
      <c r="E171" s="5">
        <v>16.889999</v>
      </c>
      <c r="F171" s="5">
        <v>16.889999</v>
      </c>
      <c r="G171" s="6">
        <f t="shared" si="25"/>
        <v>-0.1840580587411566</v>
      </c>
      <c r="H171" s="6">
        <f t="shared" si="26"/>
        <v>0.41518474692202462</v>
      </c>
    </row>
    <row r="172" spans="1:8" x14ac:dyDescent="0.25">
      <c r="A172" s="47">
        <v>39356</v>
      </c>
      <c r="B172" s="5">
        <v>25.219999000000001</v>
      </c>
      <c r="C172" s="5">
        <v>29.299999</v>
      </c>
      <c r="D172" s="5">
        <v>18</v>
      </c>
      <c r="E172" s="5">
        <v>20.700001</v>
      </c>
      <c r="F172" s="5">
        <v>20.700001</v>
      </c>
      <c r="G172" s="6">
        <f t="shared" si="25"/>
        <v>-0.18278716936438999</v>
      </c>
      <c r="H172" s="6">
        <f t="shared" si="26"/>
        <v>0.62777772222222217</v>
      </c>
    </row>
    <row r="173" spans="1:8" x14ac:dyDescent="0.25">
      <c r="A173" s="47">
        <v>39326</v>
      </c>
      <c r="B173" s="5">
        <v>22.65</v>
      </c>
      <c r="C173" s="5">
        <v>26.24</v>
      </c>
      <c r="D173" s="5">
        <v>22.6</v>
      </c>
      <c r="E173" s="5">
        <v>25.33</v>
      </c>
      <c r="F173" s="5">
        <v>25.33</v>
      </c>
      <c r="G173" s="6">
        <f t="shared" si="25"/>
        <v>0.11438627364716225</v>
      </c>
      <c r="H173" s="6">
        <f t="shared" si="26"/>
        <v>0.16106194690265471</v>
      </c>
    </row>
    <row r="174" spans="1:8" x14ac:dyDescent="0.25">
      <c r="A174" s="47">
        <v>39295</v>
      </c>
      <c r="B174" s="5">
        <v>25.959999</v>
      </c>
      <c r="C174" s="5">
        <v>28.34</v>
      </c>
      <c r="D174" s="5">
        <v>21.549999</v>
      </c>
      <c r="E174" s="5">
        <v>22.73</v>
      </c>
      <c r="F174" s="5">
        <v>22.73</v>
      </c>
      <c r="G174" s="6">
        <f t="shared" si="25"/>
        <v>-0.12911877394636018</v>
      </c>
      <c r="H174" s="6">
        <f t="shared" si="26"/>
        <v>0.31508126752117249</v>
      </c>
    </row>
    <row r="175" spans="1:8" x14ac:dyDescent="0.25">
      <c r="A175" s="47">
        <v>39264</v>
      </c>
      <c r="B175" s="5">
        <v>24.23</v>
      </c>
      <c r="C175" s="5">
        <v>29.709999</v>
      </c>
      <c r="D175" s="5">
        <v>24.09</v>
      </c>
      <c r="E175" s="5">
        <v>26.1</v>
      </c>
      <c r="F175" s="5">
        <v>26.1</v>
      </c>
      <c r="G175" s="6">
        <f t="shared" si="25"/>
        <v>8.0298013245033162E-2</v>
      </c>
      <c r="H175" s="6">
        <f t="shared" si="26"/>
        <v>0.23329178082191782</v>
      </c>
    </row>
    <row r="176" spans="1:8" x14ac:dyDescent="0.25">
      <c r="A176" s="47">
        <v>39234</v>
      </c>
      <c r="B176" s="5">
        <v>22.99</v>
      </c>
      <c r="C176" s="5">
        <v>25.290001</v>
      </c>
      <c r="D176" s="5">
        <v>21.790001</v>
      </c>
      <c r="E176" s="5">
        <v>24.16</v>
      </c>
      <c r="F176" s="5">
        <v>24.16</v>
      </c>
      <c r="G176" s="6">
        <f t="shared" si="25"/>
        <v>6.011403860842305E-2</v>
      </c>
      <c r="H176" s="6">
        <f t="shared" si="26"/>
        <v>0.16062413214207746</v>
      </c>
    </row>
    <row r="177" spans="1:8" x14ac:dyDescent="0.25">
      <c r="A177" s="47">
        <v>39203</v>
      </c>
      <c r="B177" s="5">
        <v>22.700001</v>
      </c>
      <c r="C177" s="5">
        <v>24.190000999999999</v>
      </c>
      <c r="D177" s="5">
        <v>21.99</v>
      </c>
      <c r="E177" s="5">
        <v>22.790001</v>
      </c>
      <c r="F177" s="5">
        <v>22.790001</v>
      </c>
      <c r="G177" s="6">
        <f t="shared" si="25"/>
        <v>5.7370255957634609E-3</v>
      </c>
      <c r="H177" s="6">
        <f t="shared" si="26"/>
        <v>0.1000455206912233</v>
      </c>
    </row>
    <row r="178" spans="1:8" x14ac:dyDescent="0.25">
      <c r="A178" s="47">
        <v>39173</v>
      </c>
      <c r="B178" s="5">
        <v>15.88</v>
      </c>
      <c r="C178" s="5">
        <v>24.280000999999999</v>
      </c>
      <c r="D178" s="5">
        <v>15.45</v>
      </c>
      <c r="E178" s="5">
        <v>22.66</v>
      </c>
      <c r="F178" s="5">
        <v>22.66</v>
      </c>
      <c r="G178" s="6">
        <f t="shared" si="25"/>
        <v>0.42875157629255994</v>
      </c>
      <c r="H178" s="6">
        <f t="shared" si="26"/>
        <v>0.57152110032362458</v>
      </c>
    </row>
    <row r="179" spans="1:8" x14ac:dyDescent="0.25">
      <c r="A179" s="47">
        <v>39142</v>
      </c>
      <c r="B179" s="5">
        <v>16.079999999999998</v>
      </c>
      <c r="C179" s="5">
        <v>16.969999000000001</v>
      </c>
      <c r="D179" s="5">
        <v>15.72</v>
      </c>
      <c r="E179" s="5">
        <v>15.86</v>
      </c>
      <c r="F179" s="5">
        <v>15.86</v>
      </c>
      <c r="G179" s="6">
        <f t="shared" si="25"/>
        <v>-3.4104750304506833E-2</v>
      </c>
      <c r="H179" s="6">
        <f t="shared" si="26"/>
        <v>7.951647582697205E-2</v>
      </c>
    </row>
    <row r="180" spans="1:8" x14ac:dyDescent="0.25">
      <c r="A180" s="47">
        <v>39114</v>
      </c>
      <c r="B180" s="5">
        <v>16.030000999999999</v>
      </c>
      <c r="C180" s="5">
        <v>17.950001</v>
      </c>
      <c r="D180" s="5">
        <v>15.9</v>
      </c>
      <c r="E180" s="5">
        <v>16.420000000000002</v>
      </c>
      <c r="F180" s="5">
        <v>16.420000000000002</v>
      </c>
      <c r="G180" s="6">
        <f t="shared" si="25"/>
        <v>-8.4540464042298265E-3</v>
      </c>
      <c r="H180" s="6">
        <f t="shared" si="26"/>
        <v>0.12893088050314466</v>
      </c>
    </row>
    <row r="181" spans="1:8" x14ac:dyDescent="0.25">
      <c r="A181" s="47">
        <v>39083</v>
      </c>
      <c r="B181" s="5">
        <v>13.97</v>
      </c>
      <c r="C181" s="5">
        <v>17.010000000000002</v>
      </c>
      <c r="D181" s="5">
        <v>13.07</v>
      </c>
      <c r="E181" s="5">
        <v>16.559999000000001</v>
      </c>
      <c r="F181" s="5">
        <v>16.559999000000001</v>
      </c>
      <c r="G181" s="6">
        <f t="shared" si="25"/>
        <v>0.18539720830350756</v>
      </c>
      <c r="H181" s="6">
        <f t="shared" si="26"/>
        <v>0.30145371078806438</v>
      </c>
    </row>
    <row r="182" spans="1:8" x14ac:dyDescent="0.25">
      <c r="A182" s="47">
        <v>39052</v>
      </c>
      <c r="B182" s="5">
        <v>13.05</v>
      </c>
      <c r="C182" s="5">
        <v>14.34</v>
      </c>
      <c r="D182" s="5">
        <v>12.78</v>
      </c>
      <c r="E182" s="5">
        <v>13.97</v>
      </c>
      <c r="F182" s="5">
        <v>13.97</v>
      </c>
      <c r="G182" s="6">
        <f t="shared" si="25"/>
        <v>6.4786585365853772E-2</v>
      </c>
      <c r="H182" s="6">
        <f t="shared" si="26"/>
        <v>0.12206572769953056</v>
      </c>
    </row>
    <row r="183" spans="1:8" x14ac:dyDescent="0.25">
      <c r="A183" s="47">
        <v>39022</v>
      </c>
      <c r="B183" s="5">
        <v>13.78</v>
      </c>
      <c r="C183" s="5">
        <v>13.85</v>
      </c>
      <c r="D183" s="5">
        <v>12.55</v>
      </c>
      <c r="E183" s="5">
        <v>13.12</v>
      </c>
      <c r="F183" s="5">
        <v>13.12</v>
      </c>
      <c r="G183" s="6">
        <f t="shared" si="25"/>
        <v>-5.3391053391053406E-2</v>
      </c>
      <c r="H183" s="6">
        <f t="shared" si="26"/>
        <v>0.10358565737051784</v>
      </c>
    </row>
    <row r="184" spans="1:8" x14ac:dyDescent="0.25">
      <c r="A184" s="47">
        <v>38991</v>
      </c>
      <c r="B184" s="5">
        <v>11.3</v>
      </c>
      <c r="C184" s="5">
        <v>15.33</v>
      </c>
      <c r="D184" s="5">
        <v>11</v>
      </c>
      <c r="E184" s="5">
        <v>13.86</v>
      </c>
      <c r="F184" s="5">
        <v>13.86</v>
      </c>
      <c r="G184" s="6">
        <f t="shared" si="25"/>
        <v>0.21792618629173977</v>
      </c>
      <c r="H184" s="6">
        <f t="shared" si="26"/>
        <v>0.39363636363636362</v>
      </c>
    </row>
    <row r="185" spans="1:8" x14ac:dyDescent="0.25">
      <c r="A185" s="47">
        <v>38961</v>
      </c>
      <c r="B185" s="5">
        <v>6.26</v>
      </c>
      <c r="C185" s="5">
        <v>13.34</v>
      </c>
      <c r="D185" s="5">
        <v>6.06</v>
      </c>
      <c r="E185" s="5">
        <v>11.38</v>
      </c>
      <c r="F185" s="5">
        <v>11.38</v>
      </c>
      <c r="G185" s="6">
        <f t="shared" si="25"/>
        <v>0.82080000000000009</v>
      </c>
      <c r="H185" s="6">
        <f t="shared" si="26"/>
        <v>1.2013201320132014</v>
      </c>
    </row>
    <row r="186" spans="1:8" x14ac:dyDescent="0.25">
      <c r="A186" s="47">
        <v>38930</v>
      </c>
      <c r="B186" s="5">
        <v>6.61</v>
      </c>
      <c r="C186" s="5">
        <v>6.88</v>
      </c>
      <c r="D186" s="5">
        <v>5.62</v>
      </c>
      <c r="E186" s="5">
        <v>6.25</v>
      </c>
      <c r="F186" s="5">
        <v>6.25</v>
      </c>
      <c r="G186" s="6">
        <f t="shared" si="25"/>
        <v>-7.544378698224849E-2</v>
      </c>
      <c r="H186" s="6">
        <f t="shared" si="26"/>
        <v>0.2241992882562277</v>
      </c>
    </row>
    <row r="187" spans="1:8" x14ac:dyDescent="0.25">
      <c r="A187" s="47">
        <v>38899</v>
      </c>
      <c r="B187" s="5">
        <v>7.42</v>
      </c>
      <c r="C187" s="5">
        <v>7.68</v>
      </c>
      <c r="D187" s="5">
        <v>6.15</v>
      </c>
      <c r="E187" s="5">
        <v>6.76</v>
      </c>
      <c r="F187" s="5">
        <v>6.76</v>
      </c>
      <c r="G187" s="6">
        <f t="shared" si="25"/>
        <v>-8.5250338294993219E-2</v>
      </c>
      <c r="H187" s="6">
        <f t="shared" si="26"/>
        <v>0.24878048780487794</v>
      </c>
    </row>
    <row r="188" spans="1:8" x14ac:dyDescent="0.25">
      <c r="A188" s="47">
        <v>38869</v>
      </c>
      <c r="B188" s="5">
        <v>7.43</v>
      </c>
      <c r="C188" s="5">
        <v>8.15</v>
      </c>
      <c r="D188" s="5">
        <v>7.02</v>
      </c>
      <c r="E188" s="5">
        <v>7.39</v>
      </c>
      <c r="F188" s="5">
        <v>7.39</v>
      </c>
      <c r="G188" s="6">
        <f t="shared" si="25"/>
        <v>0</v>
      </c>
      <c r="H188" s="6">
        <f t="shared" si="26"/>
        <v>0.16096866096866108</v>
      </c>
    </row>
    <row r="189" spans="1:8" x14ac:dyDescent="0.25">
      <c r="A189" s="47">
        <v>38838</v>
      </c>
      <c r="B189" s="5">
        <v>8.7899999999999991</v>
      </c>
      <c r="C189" s="5">
        <v>9.4</v>
      </c>
      <c r="D189" s="5">
        <v>6.98</v>
      </c>
      <c r="E189" s="5">
        <v>7.39</v>
      </c>
      <c r="F189" s="5">
        <v>7.39</v>
      </c>
      <c r="G189" s="6">
        <f t="shared" si="25"/>
        <v>-0.1592718998862343</v>
      </c>
      <c r="H189" s="6">
        <f t="shared" si="26"/>
        <v>0.34670487106017189</v>
      </c>
    </row>
    <row r="190" spans="1:8" x14ac:dyDescent="0.25">
      <c r="A190" s="47">
        <v>38808</v>
      </c>
      <c r="B190" s="5">
        <v>9.15</v>
      </c>
      <c r="C190" s="5">
        <v>9.75</v>
      </c>
      <c r="D190" s="5">
        <v>8.1999999999999993</v>
      </c>
      <c r="E190" s="5">
        <v>8.7899999999999991</v>
      </c>
      <c r="F190" s="5">
        <v>8.7899999999999991</v>
      </c>
      <c r="G190" s="6">
        <f t="shared" si="25"/>
        <v>-4.1439476553980455E-2</v>
      </c>
      <c r="H190" s="6">
        <f t="shared" si="26"/>
        <v>0.18902439024390255</v>
      </c>
    </row>
    <row r="191" spans="1:8" x14ac:dyDescent="0.25">
      <c r="A191" s="47">
        <v>38777</v>
      </c>
      <c r="B191" s="5">
        <v>8.11</v>
      </c>
      <c r="C191" s="5">
        <v>9.4499999999999993</v>
      </c>
      <c r="D191" s="5">
        <v>7.97</v>
      </c>
      <c r="E191" s="5">
        <v>9.17</v>
      </c>
      <c r="F191" s="5">
        <v>9.17</v>
      </c>
      <c r="G191" s="6">
        <f t="shared" si="25"/>
        <v>0.12377450980392155</v>
      </c>
      <c r="H191" s="6">
        <f t="shared" si="26"/>
        <v>0.1856963613550815</v>
      </c>
    </row>
    <row r="192" spans="1:8" x14ac:dyDescent="0.25">
      <c r="A192" s="47">
        <v>38749</v>
      </c>
      <c r="B192" s="5">
        <v>8.06</v>
      </c>
      <c r="C192" s="5">
        <v>8.56</v>
      </c>
      <c r="D192" s="5">
        <v>7.75</v>
      </c>
      <c r="E192" s="5">
        <v>8.16</v>
      </c>
      <c r="F192" s="5">
        <v>8.16</v>
      </c>
      <c r="G192" s="6">
        <f t="shared" si="25"/>
        <v>-2.4449877750610726E-3</v>
      </c>
      <c r="H192" s="6">
        <f t="shared" si="26"/>
        <v>0.10451612903225813</v>
      </c>
    </row>
    <row r="193" spans="1:8" x14ac:dyDescent="0.25">
      <c r="A193" s="47">
        <v>38718</v>
      </c>
      <c r="B193" s="5">
        <v>6.35</v>
      </c>
      <c r="C193" s="5">
        <v>8.69</v>
      </c>
      <c r="D193" s="5">
        <v>5.96</v>
      </c>
      <c r="E193" s="5">
        <v>8.18</v>
      </c>
      <c r="F193" s="5">
        <v>8.18</v>
      </c>
      <c r="G193" s="6">
        <f t="shared" si="25"/>
        <v>0.2642967542503864</v>
      </c>
      <c r="H193" s="6">
        <f t="shared" si="26"/>
        <v>0.45805369127516771</v>
      </c>
    </row>
    <row r="194" spans="1:8" x14ac:dyDescent="0.25">
      <c r="A194" s="47">
        <v>38687</v>
      </c>
      <c r="B194" s="5">
        <v>6.92</v>
      </c>
      <c r="C194" s="5">
        <v>7.13</v>
      </c>
      <c r="D194" s="5">
        <v>6.27</v>
      </c>
      <c r="E194" s="5">
        <v>6.47</v>
      </c>
      <c r="F194" s="5">
        <v>6.47</v>
      </c>
      <c r="G194" s="6">
        <f t="shared" si="25"/>
        <v>-6.5028901734104069E-2</v>
      </c>
      <c r="H194" s="6">
        <f t="shared" si="26"/>
        <v>0.13716108452950565</v>
      </c>
    </row>
    <row r="195" spans="1:8" x14ac:dyDescent="0.25">
      <c r="A195" s="47">
        <v>38657</v>
      </c>
      <c r="B195" s="5">
        <v>7.3</v>
      </c>
      <c r="C195" s="5">
        <v>7.3</v>
      </c>
      <c r="D195" s="5">
        <v>6.2</v>
      </c>
      <c r="E195" s="5">
        <v>6.92</v>
      </c>
      <c r="F195" s="5">
        <v>6.92</v>
      </c>
      <c r="G195" s="6">
        <f t="shared" ref="G195:G252" si="27">(F195-F196)/F196</f>
        <v>-6.2330623306233061E-2</v>
      </c>
      <c r="H195" s="6">
        <f t="shared" ref="H195:H252" si="28">(C195-D195)/D195</f>
        <v>0.1774193548387096</v>
      </c>
    </row>
    <row r="196" spans="1:8" x14ac:dyDescent="0.25">
      <c r="A196" s="47">
        <v>38626</v>
      </c>
      <c r="B196" s="5">
        <v>6.72</v>
      </c>
      <c r="C196" s="5">
        <v>7.69</v>
      </c>
      <c r="D196" s="5">
        <v>6.31</v>
      </c>
      <c r="E196" s="5">
        <v>7.38</v>
      </c>
      <c r="F196" s="5">
        <v>7.38</v>
      </c>
      <c r="G196" s="6">
        <f t="shared" si="27"/>
        <v>9.821428571428574E-2</v>
      </c>
      <c r="H196" s="6">
        <f t="shared" si="28"/>
        <v>0.21870047543581631</v>
      </c>
    </row>
    <row r="197" spans="1:8" x14ac:dyDescent="0.25">
      <c r="A197" s="47">
        <v>38596</v>
      </c>
      <c r="B197" s="5">
        <v>6.83</v>
      </c>
      <c r="C197" s="5">
        <v>7.44</v>
      </c>
      <c r="D197" s="5">
        <v>6.2</v>
      </c>
      <c r="E197" s="5">
        <v>6.72</v>
      </c>
      <c r="F197" s="5">
        <v>6.72</v>
      </c>
      <c r="G197" s="6">
        <f t="shared" si="27"/>
        <v>-1.3215859030836984E-2</v>
      </c>
      <c r="H197" s="6">
        <f t="shared" si="28"/>
        <v>0.20000000000000004</v>
      </c>
    </row>
    <row r="198" spans="1:8" x14ac:dyDescent="0.25">
      <c r="A198" s="47">
        <v>38565</v>
      </c>
      <c r="B198" s="5">
        <v>6.53</v>
      </c>
      <c r="C198" s="5">
        <v>6.96</v>
      </c>
      <c r="D198" s="5">
        <v>6.06</v>
      </c>
      <c r="E198" s="5">
        <v>6.81</v>
      </c>
      <c r="F198" s="5">
        <v>6.81</v>
      </c>
      <c r="G198" s="6">
        <f t="shared" si="27"/>
        <v>4.447852760736197E-2</v>
      </c>
      <c r="H198" s="6">
        <f t="shared" si="28"/>
        <v>0.14851485148514859</v>
      </c>
    </row>
    <row r="199" spans="1:8" x14ac:dyDescent="0.25">
      <c r="A199" s="47">
        <v>38534</v>
      </c>
      <c r="B199" s="5">
        <v>7.35</v>
      </c>
      <c r="C199" s="5">
        <v>8.41</v>
      </c>
      <c r="D199" s="5">
        <v>5.63</v>
      </c>
      <c r="E199" s="5">
        <v>6.52</v>
      </c>
      <c r="F199" s="5">
        <v>6.52</v>
      </c>
      <c r="G199" s="6">
        <f t="shared" si="27"/>
        <v>-0.11533242876526466</v>
      </c>
      <c r="H199" s="6">
        <f t="shared" si="28"/>
        <v>0.49378330373001783</v>
      </c>
    </row>
    <row r="200" spans="1:8" x14ac:dyDescent="0.25">
      <c r="A200" s="47">
        <v>38504</v>
      </c>
      <c r="B200" s="5">
        <v>7.3</v>
      </c>
      <c r="C200" s="5">
        <v>7.76</v>
      </c>
      <c r="D200" s="5">
        <v>6.92</v>
      </c>
      <c r="E200" s="5">
        <v>7.37</v>
      </c>
      <c r="F200" s="5">
        <v>7.37</v>
      </c>
      <c r="G200" s="6">
        <f t="shared" si="27"/>
        <v>1.3755158184319194E-2</v>
      </c>
      <c r="H200" s="6">
        <f t="shared" si="28"/>
        <v>0.1213872832369942</v>
      </c>
    </row>
    <row r="201" spans="1:8" x14ac:dyDescent="0.25">
      <c r="A201" s="47">
        <v>38473</v>
      </c>
      <c r="B201" s="5">
        <v>8.42</v>
      </c>
      <c r="C201" s="5">
        <v>8.9</v>
      </c>
      <c r="D201" s="5">
        <v>6.96</v>
      </c>
      <c r="E201" s="5">
        <v>7.27</v>
      </c>
      <c r="F201" s="5">
        <v>7.27</v>
      </c>
      <c r="G201" s="6">
        <f t="shared" si="27"/>
        <v>-0.13657957244655586</v>
      </c>
      <c r="H201" s="6">
        <f t="shared" si="28"/>
        <v>0.27873563218390812</v>
      </c>
    </row>
    <row r="202" spans="1:8" x14ac:dyDescent="0.25">
      <c r="A202" s="47">
        <v>38443</v>
      </c>
      <c r="B202" s="5">
        <v>6.26</v>
      </c>
      <c r="C202" s="5">
        <v>8.84</v>
      </c>
      <c r="D202" s="5">
        <v>5.75</v>
      </c>
      <c r="E202" s="5">
        <v>8.42</v>
      </c>
      <c r="F202" s="5">
        <v>8.42</v>
      </c>
      <c r="G202" s="6">
        <f t="shared" si="27"/>
        <v>0.34935897435897428</v>
      </c>
      <c r="H202" s="6">
        <f t="shared" si="28"/>
        <v>0.53739130434782612</v>
      </c>
    </row>
    <row r="203" spans="1:8" x14ac:dyDescent="0.25">
      <c r="A203" s="47">
        <v>38412</v>
      </c>
      <c r="B203" s="5">
        <v>7.57</v>
      </c>
      <c r="C203" s="5">
        <v>8.01</v>
      </c>
      <c r="D203" s="5">
        <v>5.84</v>
      </c>
      <c r="E203" s="5">
        <v>6.24</v>
      </c>
      <c r="F203" s="5">
        <v>6.24</v>
      </c>
      <c r="G203" s="6">
        <f t="shared" si="27"/>
        <v>-0.17569352708058125</v>
      </c>
      <c r="H203" s="6">
        <f t="shared" si="28"/>
        <v>0.37157534246575341</v>
      </c>
    </row>
    <row r="204" spans="1:8" x14ac:dyDescent="0.25">
      <c r="A204" s="47">
        <v>38384</v>
      </c>
      <c r="B204" s="5">
        <v>8.66</v>
      </c>
      <c r="C204" s="5">
        <v>8.89</v>
      </c>
      <c r="D204" s="5">
        <v>7.34</v>
      </c>
      <c r="E204" s="5">
        <v>7.57</v>
      </c>
      <c r="F204" s="5">
        <v>7.57</v>
      </c>
      <c r="G204" s="6">
        <f t="shared" si="27"/>
        <v>-0.12586605080831406</v>
      </c>
      <c r="H204" s="6">
        <f t="shared" si="28"/>
        <v>0.21117166212534069</v>
      </c>
    </row>
    <row r="205" spans="1:8" x14ac:dyDescent="0.25">
      <c r="A205" s="47">
        <v>38353</v>
      </c>
      <c r="B205" s="5">
        <v>10.87</v>
      </c>
      <c r="C205" s="5">
        <v>10.87</v>
      </c>
      <c r="D205" s="5">
        <v>7.78</v>
      </c>
      <c r="E205" s="5">
        <v>8.66</v>
      </c>
      <c r="F205" s="5">
        <v>8.66</v>
      </c>
      <c r="G205" s="6">
        <f t="shared" si="27"/>
        <v>-0.19441860465116279</v>
      </c>
      <c r="H205" s="6">
        <f t="shared" si="28"/>
        <v>0.39717223650385591</v>
      </c>
    </row>
    <row r="206" spans="1:8" x14ac:dyDescent="0.25">
      <c r="A206" s="47">
        <v>38322</v>
      </c>
      <c r="B206" s="5">
        <v>11.06</v>
      </c>
      <c r="C206" s="5">
        <v>12</v>
      </c>
      <c r="D206" s="5">
        <v>10.25</v>
      </c>
      <c r="E206" s="5">
        <v>10.75</v>
      </c>
      <c r="F206" s="5">
        <v>10.75</v>
      </c>
      <c r="G206" s="6">
        <f t="shared" si="27"/>
        <v>1.7029328287606407E-2</v>
      </c>
      <c r="H206" s="6">
        <f t="shared" si="28"/>
        <v>0.17073170731707318</v>
      </c>
    </row>
    <row r="207" spans="1:8" x14ac:dyDescent="0.25">
      <c r="A207" s="47">
        <v>38292</v>
      </c>
      <c r="B207" s="5">
        <v>10.53</v>
      </c>
      <c r="C207" s="5">
        <v>11.49</v>
      </c>
      <c r="D207" s="5">
        <v>10.1</v>
      </c>
      <c r="E207" s="5">
        <v>10.57</v>
      </c>
      <c r="F207" s="5">
        <v>10.57</v>
      </c>
      <c r="G207" s="6">
        <f t="shared" si="27"/>
        <v>1.8304431599229239E-2</v>
      </c>
      <c r="H207" s="6">
        <f t="shared" si="28"/>
        <v>0.13762376237623769</v>
      </c>
    </row>
    <row r="208" spans="1:8" x14ac:dyDescent="0.25">
      <c r="A208" s="47">
        <v>38261</v>
      </c>
      <c r="B208" s="5">
        <v>15.43</v>
      </c>
      <c r="C208" s="5">
        <v>16.34</v>
      </c>
      <c r="D208" s="5">
        <v>8.85</v>
      </c>
      <c r="E208" s="5">
        <v>10.38</v>
      </c>
      <c r="F208" s="5">
        <v>10.38</v>
      </c>
      <c r="G208" s="6">
        <f t="shared" si="27"/>
        <v>-0.32068062827225124</v>
      </c>
      <c r="H208" s="6">
        <f t="shared" si="28"/>
        <v>0.84632768361581923</v>
      </c>
    </row>
    <row r="209" spans="1:8" x14ac:dyDescent="0.25">
      <c r="A209" s="47">
        <v>38231</v>
      </c>
      <c r="B209" s="5">
        <v>15.2</v>
      </c>
      <c r="C209" s="5">
        <v>16.75</v>
      </c>
      <c r="D209" s="5">
        <v>14.54</v>
      </c>
      <c r="E209" s="5">
        <v>15.28</v>
      </c>
      <c r="F209" s="5">
        <v>15.28</v>
      </c>
      <c r="G209" s="6">
        <f t="shared" si="27"/>
        <v>-2.6109660574413136E-3</v>
      </c>
      <c r="H209" s="6">
        <f t="shared" si="28"/>
        <v>0.15199449793672634</v>
      </c>
    </row>
    <row r="210" spans="1:8" x14ac:dyDescent="0.25">
      <c r="A210" s="47">
        <v>38200</v>
      </c>
      <c r="B210" s="5">
        <v>17.34</v>
      </c>
      <c r="C210" s="5">
        <v>17.350000000000001</v>
      </c>
      <c r="D210" s="5">
        <v>13.6</v>
      </c>
      <c r="E210" s="5">
        <v>15.32</v>
      </c>
      <c r="F210" s="5">
        <v>15.32</v>
      </c>
      <c r="G210" s="6">
        <f t="shared" si="27"/>
        <v>-0.10826542491268915</v>
      </c>
      <c r="H210" s="6">
        <f t="shared" si="28"/>
        <v>0.27573529411764719</v>
      </c>
    </row>
    <row r="211" spans="1:8" x14ac:dyDescent="0.25">
      <c r="A211" s="47">
        <v>38169</v>
      </c>
      <c r="B211" s="5">
        <v>18.91</v>
      </c>
      <c r="C211" s="5">
        <v>19.149999999999999</v>
      </c>
      <c r="D211" s="5">
        <v>15.23</v>
      </c>
      <c r="E211" s="5">
        <v>17.18</v>
      </c>
      <c r="F211" s="5">
        <v>17.18</v>
      </c>
      <c r="G211" s="6">
        <f t="shared" si="27"/>
        <v>-9.5789473684210535E-2</v>
      </c>
      <c r="H211" s="6">
        <f t="shared" si="28"/>
        <v>0.2573867367038738</v>
      </c>
    </row>
    <row r="212" spans="1:8" x14ac:dyDescent="0.25">
      <c r="A212" s="47">
        <v>38139</v>
      </c>
      <c r="B212" s="5">
        <v>19</v>
      </c>
      <c r="C212" s="5">
        <v>19.299999</v>
      </c>
      <c r="D212" s="5">
        <v>17.299999</v>
      </c>
      <c r="E212" s="5">
        <v>19</v>
      </c>
      <c r="F212" s="5">
        <v>19</v>
      </c>
      <c r="G212" s="6">
        <f t="shared" si="27"/>
        <v>-3.1479015292708696E-3</v>
      </c>
      <c r="H212" s="6">
        <f t="shared" si="28"/>
        <v>0.11560694309866723</v>
      </c>
    </row>
    <row r="213" spans="1:8" x14ac:dyDescent="0.25">
      <c r="A213" s="47">
        <v>38108</v>
      </c>
      <c r="B213" s="5">
        <v>17.670000000000002</v>
      </c>
      <c r="C213" s="5">
        <v>20.190000999999999</v>
      </c>
      <c r="D213" s="5">
        <v>17.25</v>
      </c>
      <c r="E213" s="5">
        <v>19.059999000000001</v>
      </c>
      <c r="F213" s="5">
        <v>19.059999000000001</v>
      </c>
      <c r="G213" s="6">
        <f t="shared" si="27"/>
        <v>9.7926146432825711E-2</v>
      </c>
      <c r="H213" s="6">
        <f t="shared" si="28"/>
        <v>0.17043484057971006</v>
      </c>
    </row>
    <row r="214" spans="1:8" x14ac:dyDescent="0.25">
      <c r="A214" s="47">
        <v>38078</v>
      </c>
      <c r="B214" s="5">
        <v>19.219999000000001</v>
      </c>
      <c r="C214" s="5">
        <v>22.809999000000001</v>
      </c>
      <c r="D214" s="5">
        <v>17.32</v>
      </c>
      <c r="E214" s="5">
        <v>17.360001</v>
      </c>
      <c r="F214" s="5">
        <v>17.360001</v>
      </c>
      <c r="G214" s="6">
        <f t="shared" si="27"/>
        <v>-8.6796370331404568E-2</v>
      </c>
      <c r="H214" s="6">
        <f t="shared" si="28"/>
        <v>0.3169745381062356</v>
      </c>
    </row>
    <row r="215" spans="1:8" x14ac:dyDescent="0.25">
      <c r="A215" s="47">
        <v>38047</v>
      </c>
      <c r="B215" s="5">
        <v>19.620000999999998</v>
      </c>
      <c r="C215" s="5">
        <v>20.23</v>
      </c>
      <c r="D215" s="5">
        <v>17.450001</v>
      </c>
      <c r="E215" s="5">
        <v>19.010000000000002</v>
      </c>
      <c r="F215" s="5">
        <v>19.010000000000002</v>
      </c>
      <c r="G215" s="6">
        <f t="shared" si="27"/>
        <v>-3.3553634977122528E-2</v>
      </c>
      <c r="H215" s="6">
        <f t="shared" si="28"/>
        <v>0.1593122544806731</v>
      </c>
    </row>
    <row r="216" spans="1:8" x14ac:dyDescent="0.25">
      <c r="A216" s="47">
        <v>38018</v>
      </c>
      <c r="B216" s="5">
        <v>21</v>
      </c>
      <c r="C216" s="5">
        <v>21.799999</v>
      </c>
      <c r="D216" s="5">
        <v>19.120000999999998</v>
      </c>
      <c r="E216" s="5">
        <v>19.670000000000002</v>
      </c>
      <c r="F216" s="5">
        <v>19.670000000000002</v>
      </c>
      <c r="G216" s="6">
        <f t="shared" si="27"/>
        <v>-5.2048192771084252E-2</v>
      </c>
      <c r="H216" s="6">
        <f t="shared" si="28"/>
        <v>0.1401672520833028</v>
      </c>
    </row>
    <row r="217" spans="1:8" x14ac:dyDescent="0.25">
      <c r="A217" s="47">
        <v>37987</v>
      </c>
      <c r="B217" s="5">
        <v>16.739999999999998</v>
      </c>
      <c r="C217" s="5">
        <v>21.9</v>
      </c>
      <c r="D217" s="5">
        <v>16.469999000000001</v>
      </c>
      <c r="E217" s="5">
        <v>20.75</v>
      </c>
      <c r="F217" s="5">
        <v>20.75</v>
      </c>
      <c r="G217" s="6">
        <f t="shared" si="27"/>
        <v>0.25681405208964253</v>
      </c>
      <c r="H217" s="6">
        <f t="shared" si="28"/>
        <v>0.32969042681787636</v>
      </c>
    </row>
    <row r="218" spans="1:8" x14ac:dyDescent="0.25">
      <c r="A218" s="47">
        <v>37956</v>
      </c>
      <c r="B218" s="5">
        <v>18.040001</v>
      </c>
      <c r="C218" s="5">
        <v>18.969999000000001</v>
      </c>
      <c r="D218" s="5">
        <v>15.52</v>
      </c>
      <c r="E218" s="5">
        <v>16.510000000000002</v>
      </c>
      <c r="F218" s="5">
        <v>16.510000000000002</v>
      </c>
      <c r="G218" s="6">
        <f t="shared" si="27"/>
        <v>-7.9710196225741423E-2</v>
      </c>
      <c r="H218" s="6">
        <f t="shared" si="28"/>
        <v>0.22229375000000012</v>
      </c>
    </row>
    <row r="219" spans="1:8" x14ac:dyDescent="0.25">
      <c r="A219" s="47">
        <v>37926</v>
      </c>
      <c r="B219" s="5">
        <v>15.22</v>
      </c>
      <c r="C219" s="5">
        <v>18.010000000000002</v>
      </c>
      <c r="D219" s="5">
        <v>15.1</v>
      </c>
      <c r="E219" s="5">
        <v>17.940000999999999</v>
      </c>
      <c r="F219" s="5">
        <v>17.940000999999999</v>
      </c>
      <c r="G219" s="6">
        <f t="shared" si="27"/>
        <v>0.16417916937053853</v>
      </c>
      <c r="H219" s="6">
        <f t="shared" si="28"/>
        <v>0.19271523178807959</v>
      </c>
    </row>
    <row r="220" spans="1:8" x14ac:dyDescent="0.25">
      <c r="A220" s="47">
        <v>37895</v>
      </c>
      <c r="B220" s="5">
        <v>12.5</v>
      </c>
      <c r="C220" s="5">
        <v>16.27</v>
      </c>
      <c r="D220" s="5">
        <v>12.49</v>
      </c>
      <c r="E220" s="5">
        <v>15.41</v>
      </c>
      <c r="F220" s="5">
        <v>15.41</v>
      </c>
      <c r="G220" s="6">
        <f t="shared" si="27"/>
        <v>0.23181454836131099</v>
      </c>
      <c r="H220" s="6">
        <f t="shared" si="28"/>
        <v>0.30264211369095273</v>
      </c>
    </row>
    <row r="221" spans="1:8" x14ac:dyDescent="0.25">
      <c r="A221" s="47">
        <v>37865</v>
      </c>
      <c r="B221" s="5">
        <v>11</v>
      </c>
      <c r="C221" s="5">
        <v>14.25</v>
      </c>
      <c r="D221" s="5">
        <v>10.85</v>
      </c>
      <c r="E221" s="5">
        <v>12.51</v>
      </c>
      <c r="F221" s="5">
        <v>12.51</v>
      </c>
      <c r="G221" s="6">
        <f t="shared" si="27"/>
        <v>0.13008130081300809</v>
      </c>
      <c r="H221" s="6">
        <f t="shared" si="28"/>
        <v>0.3133640552995392</v>
      </c>
    </row>
    <row r="222" spans="1:8" x14ac:dyDescent="0.25">
      <c r="A222" s="47">
        <v>37834</v>
      </c>
      <c r="B222" s="5">
        <v>12.84</v>
      </c>
      <c r="C222" s="5">
        <v>13</v>
      </c>
      <c r="D222" s="5">
        <v>10.15</v>
      </c>
      <c r="E222" s="5">
        <v>11.07</v>
      </c>
      <c r="F222" s="5">
        <v>11.07</v>
      </c>
      <c r="G222" s="6">
        <f t="shared" si="27"/>
        <v>-0.14846153846153845</v>
      </c>
      <c r="H222" s="6">
        <f t="shared" si="28"/>
        <v>0.28078817733990141</v>
      </c>
    </row>
    <row r="223" spans="1:8" x14ac:dyDescent="0.25">
      <c r="A223" s="47">
        <v>37803</v>
      </c>
      <c r="B223" s="5">
        <v>13.04</v>
      </c>
      <c r="C223" s="5">
        <v>14.77</v>
      </c>
      <c r="D223" s="5">
        <v>9.94</v>
      </c>
      <c r="E223" s="5">
        <v>13</v>
      </c>
      <c r="F223" s="5">
        <v>13</v>
      </c>
      <c r="G223" s="6">
        <f t="shared" si="27"/>
        <v>3.1746031746031772E-2</v>
      </c>
      <c r="H223" s="6">
        <f t="shared" si="28"/>
        <v>0.4859154929577465</v>
      </c>
    </row>
    <row r="224" spans="1:8" x14ac:dyDescent="0.25">
      <c r="A224" s="47">
        <v>37773</v>
      </c>
      <c r="B224" s="5">
        <v>10.17</v>
      </c>
      <c r="C224" s="5">
        <v>12.69</v>
      </c>
      <c r="D224" s="5">
        <v>9.25</v>
      </c>
      <c r="E224" s="5">
        <v>12.6</v>
      </c>
      <c r="F224" s="5">
        <v>12.6</v>
      </c>
      <c r="G224" s="6">
        <f t="shared" si="27"/>
        <v>0.24383020730503441</v>
      </c>
      <c r="H224" s="6">
        <f t="shared" si="28"/>
        <v>0.37189189189189181</v>
      </c>
    </row>
    <row r="225" spans="1:8" x14ac:dyDescent="0.25">
      <c r="A225" s="47">
        <v>37742</v>
      </c>
      <c r="B225" s="5">
        <v>7.66</v>
      </c>
      <c r="C225" s="5">
        <v>11.4</v>
      </c>
      <c r="D225" s="5">
        <v>6.8</v>
      </c>
      <c r="E225" s="5">
        <v>10.130000000000001</v>
      </c>
      <c r="F225" s="5">
        <v>10.130000000000001</v>
      </c>
      <c r="G225" s="6">
        <f t="shared" si="27"/>
        <v>0.34707446808510656</v>
      </c>
      <c r="H225" s="6">
        <f t="shared" si="28"/>
        <v>0.67647058823529427</v>
      </c>
    </row>
    <row r="226" spans="1:8" x14ac:dyDescent="0.25">
      <c r="A226" s="47">
        <v>37712</v>
      </c>
      <c r="B226" s="5">
        <v>6.13</v>
      </c>
      <c r="C226" s="5">
        <v>7.66</v>
      </c>
      <c r="D226" s="5">
        <v>5.53</v>
      </c>
      <c r="E226" s="5">
        <v>7.52</v>
      </c>
      <c r="F226" s="5">
        <v>7.52</v>
      </c>
      <c r="G226" s="6">
        <f t="shared" si="27"/>
        <v>0.24297520661157021</v>
      </c>
      <c r="H226" s="6">
        <f t="shared" si="28"/>
        <v>0.38517179023508136</v>
      </c>
    </row>
    <row r="227" spans="1:8" x14ac:dyDescent="0.25">
      <c r="A227" s="47">
        <v>37681</v>
      </c>
      <c r="B227" s="5">
        <v>4.6500000000000004</v>
      </c>
      <c r="C227" s="5">
        <v>6.24</v>
      </c>
      <c r="D227" s="5">
        <v>4.0999999999999996</v>
      </c>
      <c r="E227" s="5">
        <v>6.05</v>
      </c>
      <c r="F227" s="5">
        <v>6.05</v>
      </c>
      <c r="G227" s="6">
        <f t="shared" si="27"/>
        <v>0.28450106157112526</v>
      </c>
      <c r="H227" s="6">
        <f t="shared" si="28"/>
        <v>0.52195121951219525</v>
      </c>
    </row>
    <row r="228" spans="1:8" x14ac:dyDescent="0.25">
      <c r="A228" s="47">
        <v>37653</v>
      </c>
      <c r="B228" s="5">
        <v>3.3</v>
      </c>
      <c r="C228" s="5">
        <v>4.99</v>
      </c>
      <c r="D228" s="5">
        <v>3.11</v>
      </c>
      <c r="E228" s="5">
        <v>4.71</v>
      </c>
      <c r="F228" s="5">
        <v>4.71</v>
      </c>
      <c r="G228" s="6">
        <f t="shared" si="27"/>
        <v>0.42727272727272736</v>
      </c>
      <c r="H228" s="6">
        <f t="shared" si="28"/>
        <v>0.60450160771704198</v>
      </c>
    </row>
    <row r="229" spans="1:8" x14ac:dyDescent="0.25">
      <c r="A229" s="47">
        <v>37622</v>
      </c>
      <c r="B229" s="5">
        <v>2.95</v>
      </c>
      <c r="C229" s="5">
        <v>3.35</v>
      </c>
      <c r="D229" s="5">
        <v>2.54</v>
      </c>
      <c r="E229" s="5">
        <v>3.3</v>
      </c>
      <c r="F229" s="5">
        <v>3.3</v>
      </c>
      <c r="G229" s="6">
        <f t="shared" si="27"/>
        <v>0.19565217391304351</v>
      </c>
      <c r="H229" s="6">
        <f t="shared" si="28"/>
        <v>0.31889763779527563</v>
      </c>
    </row>
    <row r="230" spans="1:8" x14ac:dyDescent="0.25">
      <c r="A230" s="47">
        <v>37591</v>
      </c>
      <c r="B230" s="5">
        <v>3.49</v>
      </c>
      <c r="C230" s="5">
        <v>3.51</v>
      </c>
      <c r="D230" s="5">
        <v>2.38</v>
      </c>
      <c r="E230" s="5">
        <v>2.76</v>
      </c>
      <c r="F230" s="5">
        <v>2.76</v>
      </c>
      <c r="G230" s="6">
        <f t="shared" si="27"/>
        <v>-0.23119777158774377</v>
      </c>
      <c r="H230" s="6">
        <f t="shared" si="28"/>
        <v>0.47478991596638653</v>
      </c>
    </row>
    <row r="231" spans="1:8" x14ac:dyDescent="0.25">
      <c r="A231" s="47">
        <v>37561</v>
      </c>
      <c r="B231" s="5">
        <v>2.02</v>
      </c>
      <c r="C231" s="5">
        <v>3.62</v>
      </c>
      <c r="D231" s="5">
        <v>1.26</v>
      </c>
      <c r="E231" s="5">
        <v>3.59</v>
      </c>
      <c r="F231" s="5">
        <v>3.59</v>
      </c>
      <c r="G231" s="6">
        <f t="shared" si="27"/>
        <v>1.0282485875706213</v>
      </c>
      <c r="H231" s="6">
        <f t="shared" si="28"/>
        <v>1.8730158730158732</v>
      </c>
    </row>
    <row r="232" spans="1:8" x14ac:dyDescent="0.25">
      <c r="A232" s="47">
        <v>37530</v>
      </c>
      <c r="B232" s="5">
        <v>2.8</v>
      </c>
      <c r="C232" s="5">
        <v>3.08</v>
      </c>
      <c r="D232" s="5">
        <v>1.66</v>
      </c>
      <c r="E232" s="5">
        <v>1.77</v>
      </c>
      <c r="F232" s="5">
        <v>1.77</v>
      </c>
      <c r="G232" s="6">
        <f t="shared" si="27"/>
        <v>-0.35636363636363638</v>
      </c>
      <c r="H232" s="6">
        <f t="shared" si="28"/>
        <v>0.85542168674698804</v>
      </c>
    </row>
    <row r="233" spans="1:8" x14ac:dyDescent="0.25">
      <c r="A233" s="47">
        <v>37500</v>
      </c>
      <c r="B233" s="5">
        <v>2.95</v>
      </c>
      <c r="C233" s="5">
        <v>3.4</v>
      </c>
      <c r="D233" s="5">
        <v>2.52</v>
      </c>
      <c r="E233" s="5">
        <v>2.75</v>
      </c>
      <c r="F233" s="5">
        <v>2.75</v>
      </c>
      <c r="G233" s="6">
        <f t="shared" si="27"/>
        <v>-8.3333333333333329E-2</v>
      </c>
      <c r="H233" s="6">
        <f t="shared" si="28"/>
        <v>0.34920634920634919</v>
      </c>
    </row>
    <row r="234" spans="1:8" x14ac:dyDescent="0.25">
      <c r="A234" s="47">
        <v>37469</v>
      </c>
      <c r="B234" s="5">
        <v>2.35</v>
      </c>
      <c r="C234" s="5">
        <v>3.74</v>
      </c>
      <c r="D234" s="5">
        <v>2.1800000000000002</v>
      </c>
      <c r="E234" s="5">
        <v>3</v>
      </c>
      <c r="F234" s="5">
        <v>3</v>
      </c>
      <c r="G234" s="6">
        <f t="shared" si="27"/>
        <v>0.27659574468085102</v>
      </c>
      <c r="H234" s="6">
        <f t="shared" si="28"/>
        <v>0.71559633027522929</v>
      </c>
    </row>
    <row r="235" spans="1:8" x14ac:dyDescent="0.25">
      <c r="A235" s="47">
        <v>37438</v>
      </c>
      <c r="B235" s="5">
        <v>3.92</v>
      </c>
      <c r="C235" s="5">
        <v>3.92</v>
      </c>
      <c r="D235" s="5">
        <v>1.53</v>
      </c>
      <c r="E235" s="5">
        <v>2.35</v>
      </c>
      <c r="F235" s="5">
        <v>2.35</v>
      </c>
      <c r="G235" s="6">
        <f t="shared" si="27"/>
        <v>-0.40051020408163263</v>
      </c>
      <c r="H235" s="6">
        <f t="shared" si="28"/>
        <v>1.5620915032679736</v>
      </c>
    </row>
    <row r="236" spans="1:8" x14ac:dyDescent="0.25">
      <c r="A236" s="47">
        <v>37408</v>
      </c>
      <c r="B236" s="5">
        <v>3.86</v>
      </c>
      <c r="C236" s="5">
        <v>4.1500000000000004</v>
      </c>
      <c r="D236" s="5">
        <v>3.09</v>
      </c>
      <c r="E236" s="5">
        <v>3.92</v>
      </c>
      <c r="F236" s="5">
        <v>3.92</v>
      </c>
      <c r="G236" s="6">
        <f t="shared" si="27"/>
        <v>1.8181818181818139E-2</v>
      </c>
      <c r="H236" s="6">
        <f t="shared" si="28"/>
        <v>0.3430420711974112</v>
      </c>
    </row>
    <row r="237" spans="1:8" x14ac:dyDescent="0.25">
      <c r="A237" s="47">
        <v>37377</v>
      </c>
      <c r="B237" s="5">
        <v>3.83</v>
      </c>
      <c r="C237" s="5">
        <v>4.08</v>
      </c>
      <c r="D237" s="5">
        <v>3.51</v>
      </c>
      <c r="E237" s="5">
        <v>3.85</v>
      </c>
      <c r="F237" s="5">
        <v>3.85</v>
      </c>
      <c r="G237" s="6">
        <f t="shared" si="27"/>
        <v>0</v>
      </c>
      <c r="H237" s="6">
        <f t="shared" si="28"/>
        <v>0.16239316239316248</v>
      </c>
    </row>
    <row r="238" spans="1:8" x14ac:dyDescent="0.25">
      <c r="A238" s="47">
        <v>37347</v>
      </c>
      <c r="B238" s="5">
        <v>5.34</v>
      </c>
      <c r="C238" s="5">
        <v>5.52</v>
      </c>
      <c r="D238" s="5">
        <v>3.33</v>
      </c>
      <c r="E238" s="5">
        <v>3.85</v>
      </c>
      <c r="F238" s="5">
        <v>3.85</v>
      </c>
      <c r="G238" s="6">
        <f t="shared" si="27"/>
        <v>-0.2735849056603773</v>
      </c>
      <c r="H238" s="6">
        <f t="shared" si="28"/>
        <v>0.65765765765765749</v>
      </c>
    </row>
    <row r="239" spans="1:8" x14ac:dyDescent="0.25">
      <c r="A239" s="47">
        <v>37316</v>
      </c>
      <c r="B239" s="5">
        <v>4.25</v>
      </c>
      <c r="C239" s="5">
        <v>5.4</v>
      </c>
      <c r="D239" s="5">
        <v>4.03</v>
      </c>
      <c r="E239" s="5">
        <v>5.3</v>
      </c>
      <c r="F239" s="5">
        <v>5.3</v>
      </c>
      <c r="G239" s="6">
        <f t="shared" si="27"/>
        <v>0.24705882352941172</v>
      </c>
      <c r="H239" s="6">
        <f t="shared" si="28"/>
        <v>0.33995037220843671</v>
      </c>
    </row>
    <row r="240" spans="1:8" x14ac:dyDescent="0.25">
      <c r="A240" s="47">
        <v>37288</v>
      </c>
      <c r="B240" s="5">
        <v>4.8899999999999997</v>
      </c>
      <c r="C240" s="5">
        <v>5.58</v>
      </c>
      <c r="D240" s="5">
        <v>4.0999999999999996</v>
      </c>
      <c r="E240" s="5">
        <v>4.25</v>
      </c>
      <c r="F240" s="5">
        <v>4.25</v>
      </c>
      <c r="G240" s="6">
        <f t="shared" si="27"/>
        <v>-0.12909836065573768</v>
      </c>
      <c r="H240" s="6">
        <f t="shared" si="28"/>
        <v>0.36097560975609772</v>
      </c>
    </row>
    <row r="241" spans="1:8" x14ac:dyDescent="0.25">
      <c r="A241" s="47">
        <v>37257</v>
      </c>
      <c r="B241" s="5">
        <v>4.5</v>
      </c>
      <c r="C241" s="5">
        <v>6.25</v>
      </c>
      <c r="D241" s="5">
        <v>4</v>
      </c>
      <c r="E241" s="5">
        <v>4.88</v>
      </c>
      <c r="F241" s="5">
        <v>4.88</v>
      </c>
      <c r="G241" s="6">
        <f t="shared" si="27"/>
        <v>8.4444444444444419E-2</v>
      </c>
      <c r="H241" s="6">
        <f t="shared" si="28"/>
        <v>0.5625</v>
      </c>
    </row>
    <row r="242" spans="1:8" x14ac:dyDescent="0.25">
      <c r="A242" s="47">
        <v>37226</v>
      </c>
      <c r="B242" s="5">
        <v>4</v>
      </c>
      <c r="C242" s="5">
        <v>5.16</v>
      </c>
      <c r="D242" s="5">
        <v>3.6</v>
      </c>
      <c r="E242" s="5">
        <v>4.5</v>
      </c>
      <c r="F242" s="5">
        <v>4.5</v>
      </c>
      <c r="G242" s="6">
        <f t="shared" si="27"/>
        <v>0.125</v>
      </c>
      <c r="H242" s="6">
        <f t="shared" si="28"/>
        <v>0.43333333333333335</v>
      </c>
    </row>
    <row r="243" spans="1:8" x14ac:dyDescent="0.25">
      <c r="A243" s="47">
        <v>37196</v>
      </c>
      <c r="B243" s="5">
        <v>4.3499999999999996</v>
      </c>
      <c r="C243" s="5">
        <v>5.5</v>
      </c>
      <c r="D243" s="5">
        <v>2.95</v>
      </c>
      <c r="E243" s="5">
        <v>4</v>
      </c>
      <c r="F243" s="5">
        <v>4</v>
      </c>
      <c r="G243" s="6">
        <f t="shared" si="27"/>
        <v>-8.2568807339449615E-2</v>
      </c>
      <c r="H243" s="6">
        <f t="shared" si="28"/>
        <v>0.86440677966101687</v>
      </c>
    </row>
    <row r="244" spans="1:8" x14ac:dyDescent="0.25">
      <c r="A244" s="47">
        <v>37165</v>
      </c>
      <c r="B244" s="5">
        <v>2.4300000000000002</v>
      </c>
      <c r="C244" s="5">
        <v>5.79</v>
      </c>
      <c r="D244" s="5">
        <v>2.14</v>
      </c>
      <c r="E244" s="5">
        <v>4.3600000000000003</v>
      </c>
      <c r="F244" s="5">
        <v>4.3600000000000003</v>
      </c>
      <c r="G244" s="6">
        <f t="shared" si="27"/>
        <v>1</v>
      </c>
      <c r="H244" s="6">
        <f t="shared" si="28"/>
        <v>1.7056074766355138</v>
      </c>
    </row>
    <row r="245" spans="1:8" x14ac:dyDescent="0.25">
      <c r="A245" s="47">
        <v>37135</v>
      </c>
      <c r="B245" s="5">
        <v>6.73</v>
      </c>
      <c r="C245" s="5">
        <v>7.25</v>
      </c>
      <c r="D245" s="5">
        <v>2.1800000000000002</v>
      </c>
      <c r="E245" s="5">
        <v>2.1800000000000002</v>
      </c>
      <c r="F245" s="5">
        <v>2.1800000000000002</v>
      </c>
      <c r="G245" s="6">
        <f t="shared" si="27"/>
        <v>-0.66969696969696968</v>
      </c>
      <c r="H245" s="6">
        <f t="shared" si="28"/>
        <v>2.3256880733944953</v>
      </c>
    </row>
    <row r="246" spans="1:8" x14ac:dyDescent="0.25">
      <c r="A246" s="47">
        <v>37104</v>
      </c>
      <c r="B246" s="5">
        <v>7.5</v>
      </c>
      <c r="C246" s="5">
        <v>8.25</v>
      </c>
      <c r="D246" s="5">
        <v>6.48</v>
      </c>
      <c r="E246" s="5">
        <v>6.6</v>
      </c>
      <c r="F246" s="5">
        <v>6.6</v>
      </c>
      <c r="G246" s="6">
        <f t="shared" si="27"/>
        <v>-0.11528150134048262</v>
      </c>
      <c r="H246" s="6">
        <f t="shared" si="28"/>
        <v>0.27314814814814808</v>
      </c>
    </row>
    <row r="247" spans="1:8" x14ac:dyDescent="0.25">
      <c r="A247" s="47">
        <v>37073</v>
      </c>
      <c r="B247" s="5">
        <v>8.02</v>
      </c>
      <c r="C247" s="5">
        <v>8.1</v>
      </c>
      <c r="D247" s="5">
        <v>6.5</v>
      </c>
      <c r="E247" s="5">
        <v>7.46</v>
      </c>
      <c r="F247" s="5">
        <v>7.46</v>
      </c>
      <c r="G247" s="6">
        <f t="shared" si="27"/>
        <v>-4.8469387755102025E-2</v>
      </c>
      <c r="H247" s="6">
        <f t="shared" si="28"/>
        <v>0.24615384615384611</v>
      </c>
    </row>
    <row r="248" spans="1:8" x14ac:dyDescent="0.25">
      <c r="A248" s="47">
        <v>37043</v>
      </c>
      <c r="B248" s="5">
        <v>10</v>
      </c>
      <c r="C248" s="5">
        <v>10.53</v>
      </c>
      <c r="D248" s="5">
        <v>7.6</v>
      </c>
      <c r="E248" s="5">
        <v>7.84</v>
      </c>
      <c r="F248" s="5">
        <v>7.84</v>
      </c>
      <c r="G248" s="6">
        <f t="shared" si="27"/>
        <v>-0.21600000000000003</v>
      </c>
      <c r="H248" s="6">
        <f t="shared" si="28"/>
        <v>0.38552631578947366</v>
      </c>
    </row>
    <row r="249" spans="1:8" x14ac:dyDescent="0.25">
      <c r="A249" s="47">
        <v>37012</v>
      </c>
      <c r="B249" s="5">
        <v>9</v>
      </c>
      <c r="C249" s="5">
        <v>12.45</v>
      </c>
      <c r="D249" s="5">
        <v>7.9</v>
      </c>
      <c r="E249" s="5">
        <v>10</v>
      </c>
      <c r="F249" s="5">
        <v>10</v>
      </c>
      <c r="G249" s="6">
        <f t="shared" si="27"/>
        <v>0.14285714285714285</v>
      </c>
      <c r="H249" s="6">
        <f t="shared" si="28"/>
        <v>0.57594936708860744</v>
      </c>
    </row>
    <row r="250" spans="1:8" x14ac:dyDescent="0.25">
      <c r="A250" s="47">
        <v>36982</v>
      </c>
      <c r="B250" s="5">
        <v>7.296875</v>
      </c>
      <c r="C250" s="5">
        <v>9.4</v>
      </c>
      <c r="D250" s="5">
        <v>5.35</v>
      </c>
      <c r="E250" s="5">
        <v>8.75</v>
      </c>
      <c r="F250" s="5">
        <v>8.75</v>
      </c>
      <c r="G250" s="6">
        <f t="shared" si="27"/>
        <v>0.20689655172413793</v>
      </c>
      <c r="H250" s="6">
        <f t="shared" si="28"/>
        <v>0.75700934579439272</v>
      </c>
    </row>
    <row r="251" spans="1:8" x14ac:dyDescent="0.25">
      <c r="A251" s="47">
        <v>36951</v>
      </c>
      <c r="B251" s="5">
        <v>7.484375</v>
      </c>
      <c r="C251" s="5">
        <v>10.5</v>
      </c>
      <c r="D251" s="5">
        <v>6.125</v>
      </c>
      <c r="E251" s="5">
        <v>7.25</v>
      </c>
      <c r="F251" s="5">
        <v>7.25</v>
      </c>
      <c r="G251" s="6">
        <f t="shared" si="27"/>
        <v>-3.3333333333333333E-2</v>
      </c>
      <c r="H251" s="6">
        <f t="shared" si="28"/>
        <v>0.7142857142857143</v>
      </c>
    </row>
    <row r="252" spans="1:8" x14ac:dyDescent="0.25">
      <c r="A252" s="47">
        <v>36923</v>
      </c>
      <c r="B252" s="5">
        <v>13.125</v>
      </c>
      <c r="C252" s="5">
        <v>14.5625</v>
      </c>
      <c r="D252" s="5">
        <v>7.125</v>
      </c>
      <c r="E252" s="5">
        <v>7.5</v>
      </c>
      <c r="F252" s="5">
        <v>7.5</v>
      </c>
      <c r="H252" s="6">
        <f t="shared" si="28"/>
        <v>1.0438596491228069</v>
      </c>
    </row>
  </sheetData>
  <mergeCells count="4">
    <mergeCell ref="J1:O1"/>
    <mergeCell ref="Q1:V1"/>
    <mergeCell ref="J42:O42"/>
    <mergeCell ref="Q42:V4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8A013-82B1-418E-843B-ABE4D204AADB}">
  <dimension ref="A1:S252"/>
  <sheetViews>
    <sheetView tabSelected="1" zoomScale="85" zoomScaleNormal="85" workbookViewId="0"/>
  </sheetViews>
  <sheetFormatPr defaultRowHeight="15" x14ac:dyDescent="0.25"/>
  <cols>
    <col min="1" max="1" width="10.7109375" style="47" bestFit="1" customWidth="1"/>
    <col min="2" max="5" width="10.7109375" style="5" customWidth="1"/>
    <col min="6" max="6" width="13.5703125" style="6" bestFit="1" customWidth="1"/>
    <col min="8" max="8" width="19.85546875" customWidth="1"/>
    <col min="9" max="9" width="17.28515625" customWidth="1"/>
    <col min="10" max="11" width="19.140625" customWidth="1"/>
    <col min="12" max="12" width="23.7109375" customWidth="1"/>
    <col min="13" max="13" width="22.42578125" bestFit="1" customWidth="1"/>
    <col min="15" max="15" width="22.28515625" customWidth="1"/>
    <col min="16" max="16" width="12.140625" customWidth="1"/>
  </cols>
  <sheetData>
    <row r="1" spans="1:19" ht="16.5" thickBot="1" x14ac:dyDescent="0.3">
      <c r="A1" s="46" t="s">
        <v>0</v>
      </c>
      <c r="B1" s="89" t="s">
        <v>48</v>
      </c>
      <c r="C1" s="90" t="s">
        <v>49</v>
      </c>
      <c r="D1" s="89" t="str">
        <f>B1&amp;" %"</f>
        <v>ZNGA %</v>
      </c>
      <c r="E1" s="90" t="str">
        <f>C1&amp;" %"</f>
        <v>ALGN %</v>
      </c>
      <c r="F1" s="3" t="s">
        <v>50</v>
      </c>
      <c r="H1" s="91" t="s">
        <v>40</v>
      </c>
      <c r="I1" s="92"/>
      <c r="J1" s="92"/>
      <c r="K1" s="92"/>
      <c r="L1" s="92"/>
      <c r="M1" s="93"/>
    </row>
    <row r="2" spans="1:19" ht="15.75" thickBot="1" x14ac:dyDescent="0.3">
      <c r="A2" s="47">
        <v>44531</v>
      </c>
      <c r="B2" s="5">
        <v>6.57</v>
      </c>
      <c r="C2" s="5">
        <v>609.05999799999995</v>
      </c>
      <c r="D2" s="6">
        <f>B2/B3-1</f>
        <v>8.9552238805970186E-2</v>
      </c>
      <c r="E2" s="6">
        <f>C2/C3-1</f>
        <v>-4.0391000978956537E-3</v>
      </c>
      <c r="F2" s="6">
        <f>($P$4*D2)-($P$5*E2)</f>
        <v>4.679566945193292E-2</v>
      </c>
      <c r="H2" s="7"/>
      <c r="I2" s="8"/>
      <c r="J2" s="8"/>
      <c r="K2" s="8"/>
      <c r="L2" s="8"/>
      <c r="M2" s="9"/>
      <c r="N2" s="1"/>
      <c r="O2" s="84" t="s">
        <v>53</v>
      </c>
      <c r="P2" s="82">
        <v>17000</v>
      </c>
      <c r="R2">
        <v>3800</v>
      </c>
    </row>
    <row r="3" spans="1:19" ht="15.75" thickBot="1" x14ac:dyDescent="0.3">
      <c r="A3" s="47">
        <v>44501</v>
      </c>
      <c r="B3" s="5">
        <v>6.03</v>
      </c>
      <c r="C3" s="5">
        <v>611.53002900000001</v>
      </c>
      <c r="D3" s="6">
        <f t="shared" ref="D3:D66" si="0">B3/B4-1</f>
        <v>-0.18292682926829262</v>
      </c>
      <c r="E3" s="6">
        <f t="shared" ref="E3:E66" si="1">C3/C4-1</f>
        <v>-2.0564674956873974E-2</v>
      </c>
      <c r="F3" s="6">
        <f t="shared" ref="F3:F66" si="2">($P$4*D3)-($P$5*E3)</f>
        <v>-8.1181077155709325E-2</v>
      </c>
      <c r="H3" s="11" t="s">
        <v>6</v>
      </c>
      <c r="I3" s="12" t="s">
        <v>7</v>
      </c>
      <c r="J3" s="12" t="s">
        <v>8</v>
      </c>
      <c r="K3" s="13" t="s">
        <v>9</v>
      </c>
      <c r="L3" s="13" t="s">
        <v>23</v>
      </c>
      <c r="M3" s="14" t="s">
        <v>24</v>
      </c>
      <c r="O3" s="37" t="s">
        <v>54</v>
      </c>
      <c r="P3" s="83">
        <v>17000</v>
      </c>
      <c r="R3">
        <v>-200</v>
      </c>
    </row>
    <row r="4" spans="1:19" x14ac:dyDescent="0.25">
      <c r="A4" s="47">
        <v>44470</v>
      </c>
      <c r="B4" s="5">
        <v>7.38</v>
      </c>
      <c r="C4" s="5">
        <v>624.36999500000002</v>
      </c>
      <c r="D4" s="6">
        <f t="shared" si="0"/>
        <v>-1.9920318725099695E-2</v>
      </c>
      <c r="E4" s="6">
        <f t="shared" si="1"/>
        <v>-6.1704459420121038E-2</v>
      </c>
      <c r="F4" s="6">
        <f t="shared" si="2"/>
        <v>2.0892070347510672E-2</v>
      </c>
      <c r="H4" s="48">
        <f>$I$19-3*$I$23</f>
        <v>-0.23383728153177435</v>
      </c>
      <c r="I4" s="50">
        <f>H4</f>
        <v>-0.23383728153177435</v>
      </c>
      <c r="J4" s="15">
        <f>COUNTIF(F:F,"&lt;="&amp;H4)</f>
        <v>2</v>
      </c>
      <c r="K4" s="15" t="str">
        <f>"Less than "&amp;TEXT(H4,"0.00%")</f>
        <v>Less than -23.38%</v>
      </c>
      <c r="L4" s="16">
        <f t="shared" ref="L4:L15" si="3">J4/$I$31</f>
        <v>1.680672268907563E-2</v>
      </c>
      <c r="M4" s="17">
        <f>L4</f>
        <v>1.680672268907563E-2</v>
      </c>
      <c r="O4" s="85" t="s">
        <v>51</v>
      </c>
      <c r="P4" s="87">
        <f>P2/SUM(P2:P3)</f>
        <v>0.5</v>
      </c>
    </row>
    <row r="5" spans="1:19" ht="15.75" thickBot="1" x14ac:dyDescent="0.3">
      <c r="A5" s="47">
        <v>44440</v>
      </c>
      <c r="B5" s="5">
        <v>7.53</v>
      </c>
      <c r="C5" s="5">
        <v>665.42999299999997</v>
      </c>
      <c r="D5" s="6">
        <f t="shared" si="0"/>
        <v>-0.14915254237288134</v>
      </c>
      <c r="E5" s="6">
        <f t="shared" si="1"/>
        <v>-6.1452760225670033E-2</v>
      </c>
      <c r="F5" s="6">
        <f t="shared" si="2"/>
        <v>-4.3849891073605651E-2</v>
      </c>
      <c r="H5" s="49">
        <f>$I$19-2.4*$I$23</f>
        <v>-0.19010187910180582</v>
      </c>
      <c r="I5" s="51">
        <f>H5</f>
        <v>-0.19010187910180582</v>
      </c>
      <c r="J5" s="19">
        <f t="shared" ref="J5:J14" si="4">COUNTIFS(F:F,"&lt;="&amp;H5,F:F,"&gt;"&amp;H4)</f>
        <v>0</v>
      </c>
      <c r="K5" s="45" t="str">
        <f t="shared" ref="K5:K14" si="5">TEXT(H4,"0.00%")&amp;" to "&amp;TEXT(H5,"0.00%")</f>
        <v>-23.38% to -19.01%</v>
      </c>
      <c r="L5" s="20">
        <f t="shared" si="3"/>
        <v>0</v>
      </c>
      <c r="M5" s="21">
        <f>M4+L5</f>
        <v>1.680672268907563E-2</v>
      </c>
      <c r="O5" s="86" t="s">
        <v>52</v>
      </c>
      <c r="P5" s="88">
        <f>P3/SUM(P2:P3)</f>
        <v>0.5</v>
      </c>
    </row>
    <row r="6" spans="1:19" ht="15.75" thickBot="1" x14ac:dyDescent="0.3">
      <c r="A6" s="47">
        <v>44409</v>
      </c>
      <c r="B6" s="5">
        <v>8.85</v>
      </c>
      <c r="C6" s="5">
        <v>709</v>
      </c>
      <c r="D6" s="6">
        <f t="shared" si="0"/>
        <v>-0.12376237623762376</v>
      </c>
      <c r="E6" s="6">
        <f t="shared" si="1"/>
        <v>1.8970986242673016E-2</v>
      </c>
      <c r="F6" s="6">
        <f t="shared" si="2"/>
        <v>-7.1366681240148389E-2</v>
      </c>
      <c r="H6" s="49">
        <f>$I$19-1.8*$I$23</f>
        <v>-0.14636647667183728</v>
      </c>
      <c r="I6" s="51">
        <f t="shared" ref="I6:I14" si="6">H6</f>
        <v>-0.14636647667183728</v>
      </c>
      <c r="J6" s="19">
        <f t="shared" si="4"/>
        <v>2</v>
      </c>
      <c r="K6" s="45" t="str">
        <f t="shared" si="5"/>
        <v>-19.01% to -14.64%</v>
      </c>
      <c r="L6" s="20">
        <f t="shared" si="3"/>
        <v>1.680672268907563E-2</v>
      </c>
      <c r="M6" s="21">
        <f t="shared" ref="M6:M15" si="7">M5+L6</f>
        <v>3.3613445378151259E-2</v>
      </c>
    </row>
    <row r="7" spans="1:19" x14ac:dyDescent="0.25">
      <c r="A7" s="47">
        <v>44378</v>
      </c>
      <c r="B7" s="5">
        <v>10.1</v>
      </c>
      <c r="C7" s="5">
        <v>695.79998799999998</v>
      </c>
      <c r="D7" s="6">
        <f t="shared" si="0"/>
        <v>-4.9858889934148776E-2</v>
      </c>
      <c r="E7" s="6">
        <f t="shared" si="1"/>
        <v>0.13878885106382977</v>
      </c>
      <c r="F7" s="6">
        <f t="shared" si="2"/>
        <v>-9.4323870498989271E-2</v>
      </c>
      <c r="H7" s="49">
        <f>$I$19-1.2*$I$23</f>
        <v>-0.10263107424186874</v>
      </c>
      <c r="I7" s="51">
        <f t="shared" si="6"/>
        <v>-0.10263107424186874</v>
      </c>
      <c r="J7" s="19">
        <f t="shared" si="4"/>
        <v>8</v>
      </c>
      <c r="K7" s="45" t="str">
        <f t="shared" si="5"/>
        <v>-14.64% to -10.26%</v>
      </c>
      <c r="L7" s="20">
        <f t="shared" si="3"/>
        <v>6.7226890756302518E-2</v>
      </c>
      <c r="M7" s="21">
        <f t="shared" si="7"/>
        <v>0.10084033613445378</v>
      </c>
      <c r="O7" s="73" t="s">
        <v>44</v>
      </c>
      <c r="P7" s="79">
        <v>0.1</v>
      </c>
    </row>
    <row r="8" spans="1:19" ht="15.75" thickBot="1" x14ac:dyDescent="0.3">
      <c r="A8" s="47">
        <v>44348</v>
      </c>
      <c r="B8" s="5">
        <v>10.63</v>
      </c>
      <c r="C8" s="5">
        <v>611</v>
      </c>
      <c r="D8" s="6">
        <f t="shared" si="0"/>
        <v>-1.9372693726937174E-2</v>
      </c>
      <c r="E8" s="6">
        <f t="shared" si="1"/>
        <v>3.5329958742829737E-2</v>
      </c>
      <c r="F8" s="6">
        <f t="shared" si="2"/>
        <v>-2.7351326234883455E-2</v>
      </c>
      <c r="H8" s="49">
        <f>$I$19-0.6*$I$23</f>
        <v>-5.889567181190019E-2</v>
      </c>
      <c r="I8" s="51">
        <f t="shared" si="6"/>
        <v>-5.889567181190019E-2</v>
      </c>
      <c r="J8" s="19">
        <f t="shared" si="4"/>
        <v>13</v>
      </c>
      <c r="K8" s="45" t="str">
        <f t="shared" si="5"/>
        <v>-10.26% to -5.89%</v>
      </c>
      <c r="L8" s="20">
        <f t="shared" si="3"/>
        <v>0.1092436974789916</v>
      </c>
      <c r="M8" s="21">
        <f t="shared" si="7"/>
        <v>0.21008403361344538</v>
      </c>
      <c r="O8" s="75" t="s">
        <v>45</v>
      </c>
      <c r="P8" s="80">
        <v>0.18</v>
      </c>
    </row>
    <row r="9" spans="1:19" ht="15.75" thickBot="1" x14ac:dyDescent="0.3">
      <c r="A9" s="47">
        <v>44317</v>
      </c>
      <c r="B9" s="5">
        <v>10.84</v>
      </c>
      <c r="C9" s="5">
        <v>590.15002400000003</v>
      </c>
      <c r="D9" s="6">
        <f t="shared" si="0"/>
        <v>1.848428835489857E-3</v>
      </c>
      <c r="E9" s="6">
        <f t="shared" si="1"/>
        <v>-9.0339776972018226E-3</v>
      </c>
      <c r="F9" s="6">
        <f t="shared" si="2"/>
        <v>5.4412032663458398E-3</v>
      </c>
      <c r="H9" s="49">
        <f>$I$19</f>
        <v>-1.5160269381931641E-2</v>
      </c>
      <c r="I9" s="51">
        <f t="shared" si="6"/>
        <v>-1.5160269381931641E-2</v>
      </c>
      <c r="J9" s="19">
        <f t="shared" si="4"/>
        <v>43</v>
      </c>
      <c r="K9" s="45" t="str">
        <f t="shared" si="5"/>
        <v>-5.89% to -1.52%</v>
      </c>
      <c r="L9" s="20">
        <f t="shared" si="3"/>
        <v>0.36134453781512604</v>
      </c>
      <c r="M9" s="21">
        <f t="shared" si="7"/>
        <v>0.5714285714285714</v>
      </c>
      <c r="O9" s="52"/>
      <c r="P9" s="53"/>
    </row>
    <row r="10" spans="1:19" x14ac:dyDescent="0.25">
      <c r="A10" s="47">
        <v>44287</v>
      </c>
      <c r="B10" s="5">
        <v>10.82</v>
      </c>
      <c r="C10" s="5">
        <v>595.53002900000001</v>
      </c>
      <c r="D10" s="6">
        <f t="shared" si="0"/>
        <v>5.974534769833495E-2</v>
      </c>
      <c r="E10" s="6">
        <f t="shared" si="1"/>
        <v>9.9717461836266841E-2</v>
      </c>
      <c r="F10" s="6">
        <f t="shared" si="2"/>
        <v>-1.9986057068965946E-2</v>
      </c>
      <c r="H10" s="49">
        <f>$I$19+0.6*$I$23</f>
        <v>2.8575133048036903E-2</v>
      </c>
      <c r="I10" s="51">
        <f t="shared" si="6"/>
        <v>2.8575133048036903E-2</v>
      </c>
      <c r="J10" s="19">
        <f t="shared" si="4"/>
        <v>25</v>
      </c>
      <c r="K10" s="45" t="str">
        <f t="shared" si="5"/>
        <v>-1.52% to 2.86%</v>
      </c>
      <c r="L10" s="20">
        <f t="shared" si="3"/>
        <v>0.21008403361344538</v>
      </c>
      <c r="M10" s="21">
        <f t="shared" si="7"/>
        <v>0.78151260504201681</v>
      </c>
      <c r="O10" s="73" t="s">
        <v>55</v>
      </c>
      <c r="P10" s="76">
        <f>-P7*SUM(P2:P3)</f>
        <v>-3400</v>
      </c>
      <c r="R10">
        <v>3600</v>
      </c>
      <c r="S10" s="100">
        <f>R10+P10</f>
        <v>200</v>
      </c>
    </row>
    <row r="11" spans="1:19" ht="15.75" thickBot="1" x14ac:dyDescent="0.3">
      <c r="A11" s="47">
        <v>44256</v>
      </c>
      <c r="B11" s="5">
        <v>10.210000000000001</v>
      </c>
      <c r="C11" s="5">
        <v>541.53002900000001</v>
      </c>
      <c r="D11" s="6">
        <f t="shared" si="0"/>
        <v>-8.4304932735425941E-2</v>
      </c>
      <c r="E11" s="6">
        <f t="shared" si="1"/>
        <v>-4.5105811353330361E-2</v>
      </c>
      <c r="F11" s="6">
        <f t="shared" si="2"/>
        <v>-1.959956069104779E-2</v>
      </c>
      <c r="H11" s="49">
        <f>$I$19+1.2*$I$23</f>
        <v>7.231053547800545E-2</v>
      </c>
      <c r="I11" s="51">
        <f t="shared" si="6"/>
        <v>7.231053547800545E-2</v>
      </c>
      <c r="J11" s="19">
        <f t="shared" si="4"/>
        <v>13</v>
      </c>
      <c r="K11" s="45" t="str">
        <f t="shared" si="5"/>
        <v>2.86% to 7.23%</v>
      </c>
      <c r="L11" s="20">
        <f t="shared" si="3"/>
        <v>0.1092436974789916</v>
      </c>
      <c r="M11" s="21">
        <f t="shared" si="7"/>
        <v>0.89075630252100835</v>
      </c>
      <c r="O11" s="75" t="s">
        <v>56</v>
      </c>
      <c r="P11" s="78">
        <f>P8*SUM(P2:P3)</f>
        <v>6120</v>
      </c>
    </row>
    <row r="12" spans="1:19" x14ac:dyDescent="0.25">
      <c r="A12" s="47">
        <v>44228</v>
      </c>
      <c r="B12" s="5">
        <v>11.15</v>
      </c>
      <c r="C12" s="5">
        <v>567.10998500000005</v>
      </c>
      <c r="D12" s="6">
        <f t="shared" si="0"/>
        <v>0.12512613521695259</v>
      </c>
      <c r="E12" s="6">
        <f t="shared" si="1"/>
        <v>7.9428184557575721E-2</v>
      </c>
      <c r="F12" s="6">
        <f t="shared" si="2"/>
        <v>2.2848975329688437E-2</v>
      </c>
      <c r="H12" s="49">
        <f>$I$19+1.8*$I$23</f>
        <v>0.116045937907974</v>
      </c>
      <c r="I12" s="51">
        <f t="shared" si="6"/>
        <v>0.116045937907974</v>
      </c>
      <c r="J12" s="19">
        <f t="shared" si="4"/>
        <v>5</v>
      </c>
      <c r="K12" s="45" t="str">
        <f t="shared" si="5"/>
        <v>7.23% to 11.60%</v>
      </c>
      <c r="L12" s="20">
        <f t="shared" si="3"/>
        <v>4.2016806722689079E-2</v>
      </c>
      <c r="M12" s="21">
        <f t="shared" si="7"/>
        <v>0.93277310924369738</v>
      </c>
    </row>
    <row r="13" spans="1:19" x14ac:dyDescent="0.25">
      <c r="A13" s="47">
        <v>44197</v>
      </c>
      <c r="B13" s="5">
        <v>9.91</v>
      </c>
      <c r="C13" s="5">
        <v>525.38000499999998</v>
      </c>
      <c r="D13" s="6">
        <f t="shared" si="0"/>
        <v>4.0526849037487711E-3</v>
      </c>
      <c r="E13" s="6">
        <f t="shared" si="1"/>
        <v>-1.6841947520098599E-2</v>
      </c>
      <c r="F13" s="6">
        <f t="shared" si="2"/>
        <v>1.0447316211923685E-2</v>
      </c>
      <c r="H13" s="49">
        <f>$I$19+2.4*$I$23</f>
        <v>0.15978134033794256</v>
      </c>
      <c r="I13" s="51">
        <f t="shared" si="6"/>
        <v>0.15978134033794256</v>
      </c>
      <c r="J13" s="19">
        <f t="shared" si="4"/>
        <v>7</v>
      </c>
      <c r="K13" s="45" t="str">
        <f t="shared" si="5"/>
        <v>11.60% to 15.98%</v>
      </c>
      <c r="L13" s="20">
        <f t="shared" si="3"/>
        <v>5.8823529411764705E-2</v>
      </c>
      <c r="M13" s="21">
        <f t="shared" si="7"/>
        <v>0.9915966386554621</v>
      </c>
    </row>
    <row r="14" spans="1:19" x14ac:dyDescent="0.25">
      <c r="A14" s="47">
        <v>44166</v>
      </c>
      <c r="B14" s="5">
        <v>9.8699999999999992</v>
      </c>
      <c r="C14" s="5">
        <v>534.38000499999998</v>
      </c>
      <c r="D14" s="6">
        <f t="shared" si="0"/>
        <v>0.1963636363636363</v>
      </c>
      <c r="E14" s="6">
        <f t="shared" si="1"/>
        <v>0.11030770430973136</v>
      </c>
      <c r="F14" s="6">
        <f t="shared" si="2"/>
        <v>4.3027966026952469E-2</v>
      </c>
      <c r="H14" s="49">
        <f>$I$19+3*$I$23</f>
        <v>0.2035167427679111</v>
      </c>
      <c r="I14" s="51">
        <f t="shared" si="6"/>
        <v>0.2035167427679111</v>
      </c>
      <c r="J14" s="19">
        <f t="shared" si="4"/>
        <v>1</v>
      </c>
      <c r="K14" s="45" t="str">
        <f t="shared" si="5"/>
        <v>15.98% to 20.35%</v>
      </c>
      <c r="L14" s="20">
        <f t="shared" si="3"/>
        <v>8.4033613445378148E-3</v>
      </c>
      <c r="M14" s="21">
        <f t="shared" si="7"/>
        <v>0.99999999999999989</v>
      </c>
    </row>
    <row r="15" spans="1:19" ht="15.75" thickBot="1" x14ac:dyDescent="0.3">
      <c r="A15" s="47">
        <v>44136</v>
      </c>
      <c r="B15" s="5">
        <v>8.25</v>
      </c>
      <c r="C15" s="5">
        <v>481.290009</v>
      </c>
      <c r="D15" s="6">
        <f t="shared" si="0"/>
        <v>-8.2313681868743105E-2</v>
      </c>
      <c r="E15" s="6">
        <f t="shared" si="1"/>
        <v>0.12957666091930298</v>
      </c>
      <c r="F15" s="6">
        <f t="shared" si="2"/>
        <v>-0.10594517139402304</v>
      </c>
      <c r="H15" s="22"/>
      <c r="I15" s="23" t="s">
        <v>10</v>
      </c>
      <c r="J15" s="23">
        <f>COUNTIF(F:F,"&gt;"&amp;H14)</f>
        <v>0</v>
      </c>
      <c r="K15" s="23" t="str">
        <f>"Greater than "&amp;TEXT(H14,"0.00%")</f>
        <v>Greater than 20.35%</v>
      </c>
      <c r="L15" s="24">
        <f t="shared" si="3"/>
        <v>0</v>
      </c>
      <c r="M15" s="25">
        <f t="shared" si="7"/>
        <v>0.99999999999999989</v>
      </c>
    </row>
    <row r="16" spans="1:19" ht="15.75" thickBot="1" x14ac:dyDescent="0.3">
      <c r="A16" s="47">
        <v>44105</v>
      </c>
      <c r="B16" s="5">
        <v>8.99</v>
      </c>
      <c r="C16" s="5">
        <v>426.07998700000002</v>
      </c>
      <c r="D16" s="6">
        <f t="shared" si="0"/>
        <v>-1.4254385964912131E-2</v>
      </c>
      <c r="E16" s="6">
        <f t="shared" si="1"/>
        <v>0.30156404729796171</v>
      </c>
      <c r="F16" s="6">
        <f t="shared" si="2"/>
        <v>-0.15790921663143692</v>
      </c>
      <c r="H16" s="26"/>
      <c r="I16" s="27"/>
      <c r="J16" s="27"/>
      <c r="K16" s="27"/>
      <c r="L16" s="27"/>
      <c r="M16" s="28"/>
    </row>
    <row r="17" spans="1:13" x14ac:dyDescent="0.25">
      <c r="A17" s="47">
        <v>44075</v>
      </c>
      <c r="B17" s="5">
        <v>9.1199999999999992</v>
      </c>
      <c r="C17" s="5">
        <v>327.35998499999999</v>
      </c>
      <c r="D17" s="6">
        <f t="shared" si="0"/>
        <v>6.6225165562912025E-3</v>
      </c>
      <c r="E17" s="6">
        <f t="shared" si="1"/>
        <v>0.10229635960246508</v>
      </c>
      <c r="F17" s="6">
        <f t="shared" si="2"/>
        <v>-4.7836921523086939E-2</v>
      </c>
      <c r="H17" s="29" t="s">
        <v>37</v>
      </c>
      <c r="I17" s="30"/>
      <c r="J17" s="27"/>
      <c r="K17" s="27"/>
      <c r="L17" s="27"/>
      <c r="M17" s="28"/>
    </row>
    <row r="18" spans="1:13" x14ac:dyDescent="0.25">
      <c r="A18" s="47">
        <v>44044</v>
      </c>
      <c r="B18" s="5">
        <v>9.06</v>
      </c>
      <c r="C18" s="5">
        <v>296.98001099999999</v>
      </c>
      <c r="D18" s="6">
        <f t="shared" si="0"/>
        <v>-7.8331637843336632E-2</v>
      </c>
      <c r="E18" s="6">
        <f t="shared" si="1"/>
        <v>1.0754897300101263E-2</v>
      </c>
      <c r="F18" s="6">
        <f t="shared" si="2"/>
        <v>-4.4543267571718947E-2</v>
      </c>
      <c r="H18" s="26"/>
      <c r="I18" s="27"/>
      <c r="J18" s="27"/>
      <c r="K18" s="27"/>
      <c r="L18" s="27"/>
      <c r="M18" s="28"/>
    </row>
    <row r="19" spans="1:13" x14ac:dyDescent="0.25">
      <c r="A19" s="47">
        <v>44013</v>
      </c>
      <c r="B19" s="5">
        <v>9.83</v>
      </c>
      <c r="C19" s="5">
        <v>293.82000699999998</v>
      </c>
      <c r="D19" s="6">
        <f t="shared" si="0"/>
        <v>3.039832285115307E-2</v>
      </c>
      <c r="E19" s="6">
        <f t="shared" si="1"/>
        <v>7.0616545907181472E-2</v>
      </c>
      <c r="F19" s="6">
        <f t="shared" si="2"/>
        <v>-2.0109111528014201E-2</v>
      </c>
      <c r="H19" s="26" t="s">
        <v>11</v>
      </c>
      <c r="I19" s="31">
        <f>AVERAGE(F:F)</f>
        <v>-1.5160269381931641E-2</v>
      </c>
      <c r="J19" s="27"/>
      <c r="K19" s="27"/>
      <c r="L19" s="27"/>
      <c r="M19" s="28"/>
    </row>
    <row r="20" spans="1:13" x14ac:dyDescent="0.25">
      <c r="A20" s="47">
        <v>43983</v>
      </c>
      <c r="B20" s="5">
        <v>9.5399999999999991</v>
      </c>
      <c r="C20" s="5">
        <v>274.44000199999999</v>
      </c>
      <c r="D20" s="6">
        <f t="shared" si="0"/>
        <v>4.2622950819672045E-2</v>
      </c>
      <c r="E20" s="6">
        <f t="shared" si="1"/>
        <v>0.11733575273462571</v>
      </c>
      <c r="F20" s="6">
        <f t="shared" si="2"/>
        <v>-3.7356400957476832E-2</v>
      </c>
      <c r="H20" s="26" t="s">
        <v>12</v>
      </c>
      <c r="I20" s="31">
        <f>_xlfn.STDEV.S(F:F)/SQRT(COUNT(F:F))</f>
        <v>6.6820296124126917E-3</v>
      </c>
      <c r="J20" s="32"/>
      <c r="K20" s="27"/>
      <c r="L20" s="27"/>
      <c r="M20" s="28"/>
    </row>
    <row r="21" spans="1:13" x14ac:dyDescent="0.25">
      <c r="A21" s="47">
        <v>43952</v>
      </c>
      <c r="B21" s="5">
        <v>9.15</v>
      </c>
      <c r="C21" s="5">
        <v>245.61999499999999</v>
      </c>
      <c r="D21" s="6">
        <f t="shared" si="0"/>
        <v>0.21352785145888609</v>
      </c>
      <c r="E21" s="6">
        <f t="shared" si="1"/>
        <v>0.14321614214895573</v>
      </c>
      <c r="F21" s="6">
        <f t="shared" si="2"/>
        <v>3.515585465496518E-2</v>
      </c>
      <c r="H21" s="26" t="s">
        <v>13</v>
      </c>
      <c r="I21" s="31">
        <f>MEDIAN(F:F)</f>
        <v>-2.2390114677309669E-2</v>
      </c>
      <c r="J21" s="27"/>
      <c r="K21" s="27"/>
      <c r="L21" s="27"/>
      <c r="M21" s="28"/>
    </row>
    <row r="22" spans="1:13" x14ac:dyDescent="0.25">
      <c r="A22" s="47">
        <v>43922</v>
      </c>
      <c r="B22" s="5">
        <v>7.54</v>
      </c>
      <c r="C22" s="5">
        <v>214.85000600000001</v>
      </c>
      <c r="D22" s="6">
        <f t="shared" si="0"/>
        <v>0.10072992700729944</v>
      </c>
      <c r="E22" s="6">
        <f t="shared" si="1"/>
        <v>0.23512509172391649</v>
      </c>
      <c r="F22" s="6">
        <f t="shared" si="2"/>
        <v>-6.7197582358308527E-2</v>
      </c>
      <c r="H22" s="26" t="s">
        <v>14</v>
      </c>
      <c r="I22" s="31" t="e">
        <f>MODE(F:F)</f>
        <v>#N/A</v>
      </c>
      <c r="J22" s="27"/>
      <c r="K22" s="27"/>
      <c r="L22" s="27"/>
      <c r="M22" s="28"/>
    </row>
    <row r="23" spans="1:13" x14ac:dyDescent="0.25">
      <c r="A23" s="47">
        <v>43891</v>
      </c>
      <c r="B23" s="5">
        <v>6.85</v>
      </c>
      <c r="C23" s="5">
        <v>173.949997</v>
      </c>
      <c r="D23" s="6">
        <f t="shared" si="0"/>
        <v>2.0864381520119268E-2</v>
      </c>
      <c r="E23" s="6">
        <f t="shared" si="1"/>
        <v>-0.20334329187057598</v>
      </c>
      <c r="F23" s="6">
        <f t="shared" si="2"/>
        <v>0.11210383669534763</v>
      </c>
      <c r="H23" s="26" t="s">
        <v>15</v>
      </c>
      <c r="I23" s="31">
        <f>_xlfn.STDEV.S(F:F)</f>
        <v>7.2892337383280909E-2</v>
      </c>
      <c r="J23" s="27"/>
      <c r="K23" s="27"/>
      <c r="L23" s="27"/>
      <c r="M23" s="28"/>
    </row>
    <row r="24" spans="1:13" x14ac:dyDescent="0.25">
      <c r="A24" s="47">
        <v>43862</v>
      </c>
      <c r="B24" s="5">
        <v>6.71</v>
      </c>
      <c r="C24" s="5">
        <v>218.35000600000001</v>
      </c>
      <c r="D24" s="6">
        <f t="shared" si="0"/>
        <v>0.11461794019933569</v>
      </c>
      <c r="E24" s="6">
        <f t="shared" si="1"/>
        <v>-0.15071956085446381</v>
      </c>
      <c r="F24" s="6">
        <f t="shared" si="2"/>
        <v>0.13266875052689975</v>
      </c>
      <c r="H24" s="26" t="s">
        <v>16</v>
      </c>
      <c r="I24" s="31">
        <f>_xlfn.VAR.S(F:F)</f>
        <v>5.313292849198052E-3</v>
      </c>
      <c r="J24" s="27"/>
      <c r="K24" s="27"/>
      <c r="L24" s="27"/>
      <c r="M24" s="28"/>
    </row>
    <row r="25" spans="1:13" x14ac:dyDescent="0.25">
      <c r="A25" s="47">
        <v>43831</v>
      </c>
      <c r="B25" s="5">
        <v>6.02</v>
      </c>
      <c r="C25" s="5">
        <v>257.10000600000001</v>
      </c>
      <c r="D25" s="6">
        <f t="shared" si="0"/>
        <v>-1.6339869281045805E-2</v>
      </c>
      <c r="E25" s="6">
        <f t="shared" si="1"/>
        <v>-7.8626728398650481E-2</v>
      </c>
      <c r="F25" s="6">
        <f t="shared" si="2"/>
        <v>3.1143429558802338E-2</v>
      </c>
      <c r="H25" s="26" t="s">
        <v>17</v>
      </c>
      <c r="I25" s="33">
        <f>KURT(F:F)</f>
        <v>1.2341627753160211</v>
      </c>
      <c r="J25" s="27"/>
      <c r="K25" s="27"/>
      <c r="L25" s="27"/>
      <c r="M25" s="28"/>
    </row>
    <row r="26" spans="1:13" x14ac:dyDescent="0.25">
      <c r="A26" s="47">
        <v>43800</v>
      </c>
      <c r="B26" s="5">
        <v>6.12</v>
      </c>
      <c r="C26" s="5">
        <v>279.040009</v>
      </c>
      <c r="D26" s="6">
        <f t="shared" si="0"/>
        <v>-1.7656500802568309E-2</v>
      </c>
      <c r="E26" s="6">
        <f t="shared" si="1"/>
        <v>6.1297073069837005E-3</v>
      </c>
      <c r="F26" s="6">
        <f t="shared" si="2"/>
        <v>-1.1893104054776005E-2</v>
      </c>
      <c r="H26" s="26" t="s">
        <v>18</v>
      </c>
      <c r="I26" s="33">
        <f>SKEW(F:F)</f>
        <v>-0.10166564002765108</v>
      </c>
      <c r="J26" s="27"/>
      <c r="K26" s="27"/>
      <c r="L26" s="27"/>
      <c r="M26" s="28"/>
    </row>
    <row r="27" spans="1:13" x14ac:dyDescent="0.25">
      <c r="A27" s="47">
        <v>43770</v>
      </c>
      <c r="B27" s="5">
        <v>6.23</v>
      </c>
      <c r="C27" s="5">
        <v>277.33999599999999</v>
      </c>
      <c r="D27" s="6">
        <f t="shared" si="0"/>
        <v>9.7244732576986515E-3</v>
      </c>
      <c r="E27" s="6">
        <f t="shared" si="1"/>
        <v>9.9290513674872516E-2</v>
      </c>
      <c r="F27" s="6">
        <f t="shared" si="2"/>
        <v>-4.4783020208586932E-2</v>
      </c>
      <c r="H27" s="26" t="s">
        <v>9</v>
      </c>
      <c r="I27" s="31">
        <f>I29-I28</f>
        <v>0.4295487871944958</v>
      </c>
      <c r="J27" s="27"/>
      <c r="K27" s="27"/>
      <c r="L27" s="27"/>
      <c r="M27" s="28"/>
    </row>
    <row r="28" spans="1:13" x14ac:dyDescent="0.25">
      <c r="A28" s="47">
        <v>43739</v>
      </c>
      <c r="B28" s="5">
        <v>6.17</v>
      </c>
      <c r="C28" s="5">
        <v>252.28999300000001</v>
      </c>
      <c r="D28" s="6">
        <f t="shared" si="0"/>
        <v>6.0137457044673548E-2</v>
      </c>
      <c r="E28" s="6">
        <f t="shared" si="1"/>
        <v>0.39448372644797414</v>
      </c>
      <c r="F28" s="6">
        <f t="shared" si="2"/>
        <v>-0.16717313470165029</v>
      </c>
      <c r="H28" s="26" t="s">
        <v>19</v>
      </c>
      <c r="I28" s="31">
        <f>MIN(F:F)</f>
        <v>-0.25838882913972688</v>
      </c>
      <c r="J28" s="27"/>
      <c r="K28" s="27"/>
      <c r="L28" s="27"/>
      <c r="M28" s="28"/>
    </row>
    <row r="29" spans="1:13" x14ac:dyDescent="0.25">
      <c r="A29" s="47">
        <v>43709</v>
      </c>
      <c r="B29" s="5">
        <v>5.82</v>
      </c>
      <c r="C29" s="5">
        <v>180.91999799999999</v>
      </c>
      <c r="D29" s="6">
        <f t="shared" si="0"/>
        <v>1.9264448336252293E-2</v>
      </c>
      <c r="E29" s="6">
        <f t="shared" si="1"/>
        <v>-1.1960040347550494E-2</v>
      </c>
      <c r="F29" s="6">
        <f t="shared" si="2"/>
        <v>1.5612244341901393E-2</v>
      </c>
      <c r="H29" s="26" t="s">
        <v>20</v>
      </c>
      <c r="I29" s="31">
        <f>MAX(F:F)</f>
        <v>0.17115995805476891</v>
      </c>
      <c r="J29" s="27"/>
      <c r="K29" s="27"/>
      <c r="L29" s="27"/>
      <c r="M29" s="28"/>
    </row>
    <row r="30" spans="1:13" x14ac:dyDescent="0.25">
      <c r="A30" s="47">
        <v>43678</v>
      </c>
      <c r="B30" s="5">
        <v>5.71</v>
      </c>
      <c r="C30" s="5">
        <v>183.11000100000001</v>
      </c>
      <c r="D30" s="6">
        <f t="shared" si="0"/>
        <v>-0.10501567398119116</v>
      </c>
      <c r="E30" s="6">
        <f t="shared" si="1"/>
        <v>-0.12421083198573912</v>
      </c>
      <c r="F30" s="6">
        <f t="shared" si="2"/>
        <v>9.5975790022739815E-3</v>
      </c>
      <c r="H30" s="26" t="s">
        <v>21</v>
      </c>
      <c r="I30" s="33">
        <f>SUM(F:F)</f>
        <v>-1.8040720564498653</v>
      </c>
      <c r="J30" s="27"/>
      <c r="K30" s="27"/>
      <c r="L30" s="27"/>
      <c r="M30" s="28"/>
    </row>
    <row r="31" spans="1:13" ht="15.75" thickBot="1" x14ac:dyDescent="0.3">
      <c r="A31" s="47">
        <v>43647</v>
      </c>
      <c r="B31" s="5">
        <v>6.38</v>
      </c>
      <c r="C31" s="5">
        <v>209.08000200000001</v>
      </c>
      <c r="D31" s="6">
        <f t="shared" si="0"/>
        <v>4.0783034257748874E-2</v>
      </c>
      <c r="E31" s="6">
        <f t="shared" si="1"/>
        <v>-0.23609794361280478</v>
      </c>
      <c r="F31" s="6">
        <f t="shared" si="2"/>
        <v>0.13844048893527683</v>
      </c>
      <c r="H31" s="7" t="s">
        <v>22</v>
      </c>
      <c r="I31" s="8">
        <f>COUNT(F:F)</f>
        <v>119</v>
      </c>
      <c r="J31" s="27"/>
      <c r="K31" s="27"/>
      <c r="L31" s="27"/>
      <c r="M31" s="28"/>
    </row>
    <row r="32" spans="1:13" ht="15.75" thickBot="1" x14ac:dyDescent="0.3">
      <c r="A32" s="47">
        <v>43617</v>
      </c>
      <c r="B32" s="5">
        <v>6.13</v>
      </c>
      <c r="C32" s="5">
        <v>273.70001200000002</v>
      </c>
      <c r="D32" s="6">
        <f t="shared" si="0"/>
        <v>-2.5437201907790197E-2</v>
      </c>
      <c r="E32" s="6">
        <f t="shared" si="1"/>
        <v>-3.7453820204948363E-2</v>
      </c>
      <c r="F32" s="6">
        <f t="shared" si="2"/>
        <v>6.0083091485790829E-3</v>
      </c>
      <c r="H32" s="26"/>
      <c r="I32" s="27"/>
      <c r="J32" s="27"/>
      <c r="K32" s="27"/>
      <c r="L32" s="27"/>
      <c r="M32" s="28"/>
    </row>
    <row r="33" spans="1:13" x14ac:dyDescent="0.25">
      <c r="A33" s="47">
        <v>43586</v>
      </c>
      <c r="B33" s="5">
        <v>6.29</v>
      </c>
      <c r="C33" s="5">
        <v>284.35000600000001</v>
      </c>
      <c r="D33" s="6">
        <f t="shared" si="0"/>
        <v>0.11130742049469955</v>
      </c>
      <c r="E33" s="6">
        <f t="shared" si="1"/>
        <v>-0.12421457394820146</v>
      </c>
      <c r="F33" s="6">
        <f t="shared" si="2"/>
        <v>0.1177609972214505</v>
      </c>
      <c r="H33" s="34"/>
      <c r="I33" s="35" t="s">
        <v>29</v>
      </c>
      <c r="J33" s="35" t="s">
        <v>22</v>
      </c>
      <c r="K33" s="35" t="s">
        <v>28</v>
      </c>
      <c r="L33" s="36" t="s">
        <v>30</v>
      </c>
      <c r="M33" s="28"/>
    </row>
    <row r="34" spans="1:13" x14ac:dyDescent="0.25">
      <c r="A34" s="47">
        <v>43556</v>
      </c>
      <c r="B34" s="5">
        <v>5.66</v>
      </c>
      <c r="C34" s="5">
        <v>324.67999300000002</v>
      </c>
      <c r="D34" s="6">
        <f t="shared" si="0"/>
        <v>6.1913696060037493E-2</v>
      </c>
      <c r="E34" s="6">
        <f t="shared" si="1"/>
        <v>0.14191259397483114</v>
      </c>
      <c r="F34" s="6">
        <f t="shared" si="2"/>
        <v>-3.9999448957396821E-2</v>
      </c>
      <c r="H34" s="37" t="s">
        <v>26</v>
      </c>
      <c r="I34" s="20">
        <f>AVERAGEIF(F:F,"&gt;0")</f>
        <v>5.5891256634347235E-2</v>
      </c>
      <c r="J34" s="19">
        <f>COUNTIF(F:F,"&gt;0")</f>
        <v>44</v>
      </c>
      <c r="K34" s="20">
        <f>J34/$I$31</f>
        <v>0.36974789915966388</v>
      </c>
      <c r="L34" s="21">
        <f>K34*I34</f>
        <v>2.0665674721943517E-2</v>
      </c>
      <c r="M34" s="28"/>
    </row>
    <row r="35" spans="1:13" x14ac:dyDescent="0.25">
      <c r="A35" s="47">
        <v>43525</v>
      </c>
      <c r="B35" s="5">
        <v>5.33</v>
      </c>
      <c r="C35" s="5">
        <v>284.32998700000002</v>
      </c>
      <c r="D35" s="6">
        <f t="shared" si="0"/>
        <v>2.1072796934865856E-2</v>
      </c>
      <c r="E35" s="6">
        <f t="shared" si="1"/>
        <v>9.7926346302944944E-2</v>
      </c>
      <c r="F35" s="6">
        <f t="shared" si="2"/>
        <v>-3.8426774684039544E-2</v>
      </c>
      <c r="H35" s="37" t="s">
        <v>27</v>
      </c>
      <c r="I35" s="20">
        <f>AVERAGEIF(F:F,"&lt;0")</f>
        <v>-5.6843831311481928E-2</v>
      </c>
      <c r="J35" s="19">
        <f>COUNTIF(F:F,"&lt;0")</f>
        <v>75</v>
      </c>
      <c r="K35" s="20">
        <f>J35/$I$31</f>
        <v>0.63025210084033612</v>
      </c>
      <c r="L35" s="21">
        <f t="shared" ref="L35:L36" si="8">K35*I35</f>
        <v>-3.5825944103875164E-2</v>
      </c>
      <c r="M35" s="28"/>
    </row>
    <row r="36" spans="1:13" ht="15.75" thickBot="1" x14ac:dyDescent="0.3">
      <c r="A36" s="47">
        <v>43497</v>
      </c>
      <c r="B36" s="5">
        <v>5.22</v>
      </c>
      <c r="C36" s="5">
        <v>258.97000100000002</v>
      </c>
      <c r="D36" s="6">
        <f t="shared" si="0"/>
        <v>0.16517857142857117</v>
      </c>
      <c r="E36" s="6">
        <f t="shared" si="1"/>
        <v>4.0249062545680614E-2</v>
      </c>
      <c r="F36" s="6">
        <f t="shared" si="2"/>
        <v>6.246475444144528E-2</v>
      </c>
      <c r="H36" s="38" t="s">
        <v>31</v>
      </c>
      <c r="I36" s="23">
        <v>0</v>
      </c>
      <c r="J36" s="23">
        <f>COUNTIF(F:F,"0")</f>
        <v>0</v>
      </c>
      <c r="K36" s="24">
        <f>J36/$I$31</f>
        <v>0</v>
      </c>
      <c r="L36" s="25">
        <f t="shared" si="8"/>
        <v>0</v>
      </c>
      <c r="M36" s="28"/>
    </row>
    <row r="37" spans="1:13" ht="15.75" thickBot="1" x14ac:dyDescent="0.3">
      <c r="A37" s="47">
        <v>43466</v>
      </c>
      <c r="B37" s="5">
        <v>4.4800000000000004</v>
      </c>
      <c r="C37" s="5">
        <v>248.949997</v>
      </c>
      <c r="D37" s="6">
        <f t="shared" si="0"/>
        <v>0.13994910941475824</v>
      </c>
      <c r="E37" s="6">
        <f t="shared" si="1"/>
        <v>0.18870269455626643</v>
      </c>
      <c r="F37" s="6">
        <f t="shared" si="2"/>
        <v>-2.4376792570754091E-2</v>
      </c>
      <c r="H37" s="26"/>
      <c r="I37" s="27"/>
      <c r="J37" s="27"/>
      <c r="K37" s="27"/>
      <c r="L37" s="27"/>
      <c r="M37" s="28"/>
    </row>
    <row r="38" spans="1:13" x14ac:dyDescent="0.25">
      <c r="A38" s="47">
        <v>43435</v>
      </c>
      <c r="B38" s="5">
        <v>3.93</v>
      </c>
      <c r="C38" s="5">
        <v>209.429993</v>
      </c>
      <c r="D38" s="6">
        <f t="shared" si="0"/>
        <v>8.5635359116022158E-2</v>
      </c>
      <c r="E38" s="6">
        <f t="shared" si="1"/>
        <v>-8.8999113006216435E-2</v>
      </c>
      <c r="F38" s="6">
        <f t="shared" si="2"/>
        <v>8.7317236061119297E-2</v>
      </c>
      <c r="H38" s="39" t="s">
        <v>25</v>
      </c>
      <c r="I38" s="35" t="s">
        <v>32</v>
      </c>
      <c r="J38" s="35" t="s">
        <v>33</v>
      </c>
      <c r="K38" s="35" t="s">
        <v>34</v>
      </c>
      <c r="L38" s="35" t="s">
        <v>35</v>
      </c>
      <c r="M38" s="36" t="s">
        <v>36</v>
      </c>
    </row>
    <row r="39" spans="1:13" x14ac:dyDescent="0.25">
      <c r="A39" s="47">
        <v>43405</v>
      </c>
      <c r="B39" s="5">
        <v>3.62</v>
      </c>
      <c r="C39" s="5">
        <v>229.88999899999999</v>
      </c>
      <c r="D39" s="6">
        <f t="shared" si="0"/>
        <v>-5.494505494505475E-3</v>
      </c>
      <c r="E39" s="6">
        <f t="shared" si="1"/>
        <v>3.9285723860113864E-2</v>
      </c>
      <c r="F39" s="6">
        <f t="shared" si="2"/>
        <v>-2.2390114677309669E-2</v>
      </c>
      <c r="H39" s="40">
        <v>1</v>
      </c>
      <c r="I39" s="20">
        <f>$I$19+($H39*$I$23)</f>
        <v>5.7732068001349265E-2</v>
      </c>
      <c r="J39" s="20">
        <f>$I$19-($H39*$I$23)</f>
        <v>-8.8052606765212552E-2</v>
      </c>
      <c r="K39" s="19">
        <f>COUNTIFS(F:F,"&lt;"&amp;I39,F:F,"&gt;"&amp;J39)</f>
        <v>86</v>
      </c>
      <c r="L39" s="20">
        <f>K39/$I$31</f>
        <v>0.72268907563025209</v>
      </c>
      <c r="M39" s="21">
        <v>0.68269999999999997</v>
      </c>
    </row>
    <row r="40" spans="1:13" x14ac:dyDescent="0.25">
      <c r="A40" s="47">
        <v>43374</v>
      </c>
      <c r="B40" s="5">
        <v>3.64</v>
      </c>
      <c r="C40" s="5">
        <v>221.199997</v>
      </c>
      <c r="D40" s="6">
        <f t="shared" si="0"/>
        <v>-9.2269326683291686E-2</v>
      </c>
      <c r="E40" s="6">
        <f t="shared" si="1"/>
        <v>-0.43458924279282951</v>
      </c>
      <c r="F40" s="6">
        <f t="shared" si="2"/>
        <v>0.17115995805476891</v>
      </c>
      <c r="H40" s="40">
        <v>2</v>
      </c>
      <c r="I40" s="20">
        <f>$I$19+($H40*$I$23)</f>
        <v>0.13062440538463019</v>
      </c>
      <c r="J40" s="20">
        <f>$I$19-($H40*$I$23)</f>
        <v>-0.16094494414849345</v>
      </c>
      <c r="K40" s="19">
        <f>COUNTIFS(F:F,"&lt;"&amp;I40,F:F,"&gt;"&amp;J40)</f>
        <v>111</v>
      </c>
      <c r="L40" s="20">
        <f>K40/$I$31</f>
        <v>0.9327731092436975</v>
      </c>
      <c r="M40" s="21">
        <v>0.95450000000000002</v>
      </c>
    </row>
    <row r="41" spans="1:13" ht="15.75" thickBot="1" x14ac:dyDescent="0.3">
      <c r="A41" s="47">
        <v>43344</v>
      </c>
      <c r="B41" s="5">
        <v>4.01</v>
      </c>
      <c r="C41" s="5">
        <v>391.22000100000002</v>
      </c>
      <c r="D41" s="6">
        <f t="shared" si="0"/>
        <v>-3.6057692307692402E-2</v>
      </c>
      <c r="E41" s="6">
        <f t="shared" si="1"/>
        <v>1.2238379058665982E-2</v>
      </c>
      <c r="F41" s="6">
        <f t="shared" si="2"/>
        <v>-2.4148035683179192E-2</v>
      </c>
      <c r="H41" s="55">
        <v>3</v>
      </c>
      <c r="I41" s="56">
        <f>$I$19+($H41*$I$23)</f>
        <v>0.2035167427679111</v>
      </c>
      <c r="J41" s="56">
        <f>$I$19-($H41*$I$23)</f>
        <v>-0.23383728153177435</v>
      </c>
      <c r="K41" s="57">
        <f>COUNTIFS(F:F,"&lt;"&amp;I41,F:F,"&gt;"&amp;J41)</f>
        <v>117</v>
      </c>
      <c r="L41" s="56">
        <f>K41/$I$31</f>
        <v>0.98319327731092432</v>
      </c>
      <c r="M41" s="58">
        <v>0.99729999999999996</v>
      </c>
    </row>
    <row r="42" spans="1:13" ht="15.75" thickBot="1" x14ac:dyDescent="0.3">
      <c r="A42" s="47">
        <v>43313</v>
      </c>
      <c r="B42" s="5">
        <v>4.16</v>
      </c>
      <c r="C42" s="5">
        <v>386.48998999999998</v>
      </c>
      <c r="D42" s="6">
        <f t="shared" si="0"/>
        <v>9.7625329815303363E-2</v>
      </c>
      <c r="E42" s="6">
        <f t="shared" si="1"/>
        <v>8.3667451288391037E-2</v>
      </c>
      <c r="F42" s="6">
        <f t="shared" si="2"/>
        <v>6.9789392634561631E-3</v>
      </c>
      <c r="H42" s="97" t="s">
        <v>42</v>
      </c>
      <c r="I42" s="98"/>
      <c r="J42" s="98"/>
      <c r="K42" s="98"/>
      <c r="L42" s="98"/>
      <c r="M42" s="99"/>
    </row>
    <row r="43" spans="1:13" x14ac:dyDescent="0.25">
      <c r="A43" s="47">
        <v>43282</v>
      </c>
      <c r="B43" s="5">
        <v>3.79</v>
      </c>
      <c r="C43" s="5">
        <v>356.64999399999999</v>
      </c>
      <c r="D43" s="6">
        <f t="shared" si="0"/>
        <v>-6.879606879606881E-2</v>
      </c>
      <c r="E43" s="6">
        <f t="shared" si="1"/>
        <v>4.2409476716717798E-2</v>
      </c>
      <c r="F43" s="6">
        <f t="shared" si="2"/>
        <v>-5.5602772756393304E-2</v>
      </c>
      <c r="H43" s="69">
        <v>0.01</v>
      </c>
      <c r="I43" s="70">
        <f t="shared" ref="I43:I57" si="9">_xlfn.PERCENTILE.INC(F:F,H43)</f>
        <v>-0.22388332407568812</v>
      </c>
      <c r="J43" s="71">
        <v>0.2</v>
      </c>
      <c r="K43" s="70">
        <f t="shared" ref="K43:K55" si="10">_xlfn.PERCENTILE.INC(F:F,J43)</f>
        <v>-6.3206716604494728E-2</v>
      </c>
      <c r="L43" s="71">
        <v>0.85</v>
      </c>
      <c r="M43" s="72">
        <f t="shared" ref="M43:M57" si="11">_xlfn.PERCENTILE.INC(F:F,L43)</f>
        <v>5.3034204780952554E-2</v>
      </c>
    </row>
    <row r="44" spans="1:13" x14ac:dyDescent="0.25">
      <c r="A44" s="47">
        <v>43252</v>
      </c>
      <c r="B44" s="5">
        <v>4.07</v>
      </c>
      <c r="C44" s="5">
        <v>342.14001500000001</v>
      </c>
      <c r="D44" s="6">
        <f t="shared" si="0"/>
        <v>-7.4999999999999956E-2</v>
      </c>
      <c r="E44" s="6">
        <f t="shared" si="1"/>
        <v>3.0697402113665229E-2</v>
      </c>
      <c r="F44" s="6">
        <f t="shared" si="2"/>
        <v>-5.2848701056832592E-2</v>
      </c>
      <c r="H44" s="59">
        <v>0.02</v>
      </c>
      <c r="I44" s="60">
        <f t="shared" si="9"/>
        <v>-0.16383812419637347</v>
      </c>
      <c r="J44" s="61">
        <v>0.25</v>
      </c>
      <c r="K44" s="60">
        <f t="shared" si="10"/>
        <v>-4.7856185059078071E-2</v>
      </c>
      <c r="L44" s="61">
        <v>0.86</v>
      </c>
      <c r="M44" s="62">
        <f t="shared" si="11"/>
        <v>5.8855265392781249E-2</v>
      </c>
    </row>
    <row r="45" spans="1:13" x14ac:dyDescent="0.25">
      <c r="A45" s="47">
        <v>43221</v>
      </c>
      <c r="B45" s="5">
        <v>4.4000000000000004</v>
      </c>
      <c r="C45" s="5">
        <v>331.95001200000002</v>
      </c>
      <c r="D45" s="6">
        <f t="shared" si="0"/>
        <v>0.27536231884057982</v>
      </c>
      <c r="E45" s="6">
        <f t="shared" si="1"/>
        <v>0.32859717441831893</v>
      </c>
      <c r="F45" s="6">
        <f t="shared" si="2"/>
        <v>-2.6617427788869552E-2</v>
      </c>
      <c r="H45" s="59">
        <v>0.03</v>
      </c>
      <c r="I45" s="60">
        <f t="shared" si="9"/>
        <v>-0.14936440132851886</v>
      </c>
      <c r="J45" s="61">
        <v>0.3</v>
      </c>
      <c r="K45" s="60">
        <f t="shared" si="10"/>
        <v>-4.3608637829382256E-2</v>
      </c>
      <c r="L45" s="61">
        <v>0.87</v>
      </c>
      <c r="M45" s="62">
        <f t="shared" si="11"/>
        <v>6.0950883685986466E-2</v>
      </c>
    </row>
    <row r="46" spans="1:13" x14ac:dyDescent="0.25">
      <c r="A46" s="47">
        <v>43191</v>
      </c>
      <c r="B46" s="5">
        <v>3.45</v>
      </c>
      <c r="C46" s="5">
        <v>249.85000600000001</v>
      </c>
      <c r="D46" s="6">
        <f t="shared" si="0"/>
        <v>-5.7377049180327822E-2</v>
      </c>
      <c r="E46" s="6">
        <f t="shared" si="1"/>
        <v>-5.0969576494851454E-3</v>
      </c>
      <c r="F46" s="6">
        <f t="shared" si="2"/>
        <v>-2.6140045765421338E-2</v>
      </c>
      <c r="H46" s="59">
        <v>0.04</v>
      </c>
      <c r="I46" s="60">
        <f t="shared" si="9"/>
        <v>-0.13022682349569981</v>
      </c>
      <c r="J46" s="61">
        <v>0.35</v>
      </c>
      <c r="K46" s="60">
        <f t="shared" si="10"/>
        <v>-3.7195678305732859E-2</v>
      </c>
      <c r="L46" s="61">
        <v>0.88</v>
      </c>
      <c r="M46" s="62">
        <f t="shared" si="11"/>
        <v>6.2383633666172215E-2</v>
      </c>
    </row>
    <row r="47" spans="1:13" x14ac:dyDescent="0.25">
      <c r="A47" s="47">
        <v>43160</v>
      </c>
      <c r="B47" s="5">
        <v>3.66</v>
      </c>
      <c r="C47" s="5">
        <v>251.13000500000001</v>
      </c>
      <c r="D47" s="6">
        <f t="shared" si="0"/>
        <v>5.7803468208092568E-2</v>
      </c>
      <c r="E47" s="6">
        <f t="shared" si="1"/>
        <v>-4.3387111371545828E-2</v>
      </c>
      <c r="F47" s="6">
        <f t="shared" si="2"/>
        <v>5.0595289789819198E-2</v>
      </c>
      <c r="H47" s="59">
        <v>0.05</v>
      </c>
      <c r="I47" s="60">
        <f t="shared" si="9"/>
        <v>-0.11798001068453136</v>
      </c>
      <c r="J47" s="61">
        <v>0.4</v>
      </c>
      <c r="K47" s="60">
        <f t="shared" si="10"/>
        <v>-3.1046997417887544E-2</v>
      </c>
      <c r="L47" s="61">
        <v>0.89</v>
      </c>
      <c r="M47" s="62">
        <f t="shared" si="11"/>
        <v>6.9991415002547908E-2</v>
      </c>
    </row>
    <row r="48" spans="1:13" x14ac:dyDescent="0.25">
      <c r="A48" s="47">
        <v>43132</v>
      </c>
      <c r="B48" s="5">
        <v>3.46</v>
      </c>
      <c r="C48" s="5">
        <v>262.51998900000001</v>
      </c>
      <c r="D48" s="6">
        <f t="shared" si="0"/>
        <v>-3.3519553072625774E-2</v>
      </c>
      <c r="E48" s="6">
        <f t="shared" si="1"/>
        <v>1.9846908396947693E-3</v>
      </c>
      <c r="F48" s="6">
        <f t="shared" si="2"/>
        <v>-1.7752121956160272E-2</v>
      </c>
      <c r="H48" s="59">
        <v>0.06</v>
      </c>
      <c r="I48" s="60">
        <f t="shared" si="9"/>
        <v>-0.11702365862615095</v>
      </c>
      <c r="J48" s="61">
        <v>0.45</v>
      </c>
      <c r="K48" s="60">
        <f t="shared" si="10"/>
        <v>-2.6440389117932676E-2</v>
      </c>
      <c r="L48" s="61">
        <v>0.9</v>
      </c>
      <c r="M48" s="62">
        <f t="shared" si="11"/>
        <v>8.4685812594343005E-2</v>
      </c>
    </row>
    <row r="49" spans="1:13" x14ac:dyDescent="0.25">
      <c r="A49" s="47">
        <v>43101</v>
      </c>
      <c r="B49" s="5">
        <v>3.58</v>
      </c>
      <c r="C49" s="5">
        <v>262</v>
      </c>
      <c r="D49" s="6">
        <f t="shared" si="0"/>
        <v>-0.10499999999999998</v>
      </c>
      <c r="E49" s="6">
        <f t="shared" si="1"/>
        <v>0.17917096917799213</v>
      </c>
      <c r="F49" s="6">
        <f t="shared" si="2"/>
        <v>-0.14208548458899606</v>
      </c>
      <c r="H49" s="59">
        <v>7.0000000000000007E-2</v>
      </c>
      <c r="I49" s="60">
        <f t="shared" si="9"/>
        <v>-0.11419793200231816</v>
      </c>
      <c r="J49" s="61">
        <v>0.5</v>
      </c>
      <c r="K49" s="60">
        <f t="shared" si="10"/>
        <v>-2.2390114677309669E-2</v>
      </c>
      <c r="L49" s="61">
        <v>0.91</v>
      </c>
      <c r="M49" s="62">
        <f t="shared" si="11"/>
        <v>8.6804465954838206E-2</v>
      </c>
    </row>
    <row r="50" spans="1:13" x14ac:dyDescent="0.25">
      <c r="A50" s="47">
        <v>43070</v>
      </c>
      <c r="B50" s="5">
        <v>4</v>
      </c>
      <c r="C50" s="5">
        <v>222.19000199999999</v>
      </c>
      <c r="D50" s="6">
        <f t="shared" si="0"/>
        <v>-2.4390243902438935E-2</v>
      </c>
      <c r="E50" s="6">
        <f t="shared" si="1"/>
        <v>-0.14830574309441613</v>
      </c>
      <c r="F50" s="6">
        <f t="shared" si="2"/>
        <v>6.1957749595988598E-2</v>
      </c>
      <c r="H50" s="59">
        <v>0.08</v>
      </c>
      <c r="I50" s="60">
        <f t="shared" si="9"/>
        <v>-0.10777820327844621</v>
      </c>
      <c r="J50" s="61">
        <v>0.55000000000000004</v>
      </c>
      <c r="K50" s="60">
        <f t="shared" si="10"/>
        <v>-1.9490583714066916E-2</v>
      </c>
      <c r="L50" s="61">
        <v>0.92</v>
      </c>
      <c r="M50" s="62">
        <f t="shared" si="11"/>
        <v>9.2275398917315454E-2</v>
      </c>
    </row>
    <row r="51" spans="1:13" x14ac:dyDescent="0.25">
      <c r="A51" s="47">
        <v>43040</v>
      </c>
      <c r="B51" s="5">
        <v>4.0999999999999996</v>
      </c>
      <c r="C51" s="5">
        <v>260.88000499999998</v>
      </c>
      <c r="D51" s="6">
        <f t="shared" si="0"/>
        <v>5.1282051282051322E-2</v>
      </c>
      <c r="E51" s="6">
        <f t="shared" si="1"/>
        <v>9.1639506931785242E-2</v>
      </c>
      <c r="F51" s="6">
        <f t="shared" si="2"/>
        <v>-2.017872782486696E-2</v>
      </c>
      <c r="H51" s="59">
        <v>0.09</v>
      </c>
      <c r="I51" s="60">
        <f t="shared" si="9"/>
        <v>-0.10560772844841912</v>
      </c>
      <c r="J51" s="61">
        <v>0.6</v>
      </c>
      <c r="K51" s="60">
        <f t="shared" si="10"/>
        <v>-8.9762258346050231E-3</v>
      </c>
      <c r="L51" s="61">
        <v>0.93</v>
      </c>
      <c r="M51" s="62">
        <f t="shared" si="11"/>
        <v>0.10796132471368233</v>
      </c>
    </row>
    <row r="52" spans="1:13" x14ac:dyDescent="0.25">
      <c r="A52" s="47">
        <v>43009</v>
      </c>
      <c r="B52" s="5">
        <v>3.9</v>
      </c>
      <c r="C52" s="5">
        <v>238.979996</v>
      </c>
      <c r="D52" s="6">
        <f t="shared" si="0"/>
        <v>3.1746031746031855E-2</v>
      </c>
      <c r="E52" s="6">
        <f t="shared" si="1"/>
        <v>0.28297627566486772</v>
      </c>
      <c r="F52" s="6">
        <f t="shared" si="2"/>
        <v>-0.12561512195941793</v>
      </c>
      <c r="H52" s="59">
        <v>0.1</v>
      </c>
      <c r="I52" s="60">
        <f t="shared" si="9"/>
        <v>-0.10203861490080449</v>
      </c>
      <c r="J52" s="61">
        <v>0.65</v>
      </c>
      <c r="K52" s="60">
        <f t="shared" si="10"/>
        <v>5.8381773839091119E-3</v>
      </c>
      <c r="L52" s="61">
        <v>0.94</v>
      </c>
      <c r="M52" s="62">
        <f t="shared" si="11"/>
        <v>0.1173084243793622</v>
      </c>
    </row>
    <row r="53" spans="1:13" x14ac:dyDescent="0.25">
      <c r="A53" s="47">
        <v>42979</v>
      </c>
      <c r="B53" s="5">
        <v>3.78</v>
      </c>
      <c r="C53" s="5">
        <v>186.270004</v>
      </c>
      <c r="D53" s="6">
        <f t="shared" si="0"/>
        <v>8.0000000000000071E-3</v>
      </c>
      <c r="E53" s="6">
        <f t="shared" si="1"/>
        <v>5.3921006735288879E-2</v>
      </c>
      <c r="F53" s="6">
        <f t="shared" si="2"/>
        <v>-2.2960503367644436E-2</v>
      </c>
      <c r="H53" s="59">
        <v>0.11</v>
      </c>
      <c r="I53" s="60">
        <f t="shared" si="9"/>
        <v>-9.4461353918636928E-2</v>
      </c>
      <c r="J53" s="61">
        <v>0.7</v>
      </c>
      <c r="K53" s="60">
        <f t="shared" si="10"/>
        <v>1.2198571784448626E-2</v>
      </c>
      <c r="L53" s="61">
        <v>0.95</v>
      </c>
      <c r="M53" s="62">
        <f t="shared" si="11"/>
        <v>0.1229814198920777</v>
      </c>
    </row>
    <row r="54" spans="1:13" x14ac:dyDescent="0.25">
      <c r="A54" s="47">
        <v>42948</v>
      </c>
      <c r="B54" s="5">
        <v>3.75</v>
      </c>
      <c r="C54" s="5">
        <v>176.740005</v>
      </c>
      <c r="D54" s="6">
        <f t="shared" si="0"/>
        <v>3.8781163434903121E-2</v>
      </c>
      <c r="E54" s="6">
        <f t="shared" si="1"/>
        <v>5.6867842058669904E-2</v>
      </c>
      <c r="F54" s="6">
        <f t="shared" si="2"/>
        <v>-9.0433393118833916E-3</v>
      </c>
      <c r="H54" s="59">
        <v>0.12</v>
      </c>
      <c r="I54" s="60">
        <f t="shared" si="9"/>
        <v>-9.0474862753898502E-2</v>
      </c>
      <c r="J54" s="61">
        <v>0.75</v>
      </c>
      <c r="K54" s="60">
        <f t="shared" si="10"/>
        <v>2.3750058615524039E-2</v>
      </c>
      <c r="L54" s="61">
        <v>0.96</v>
      </c>
      <c r="M54" s="62">
        <f t="shared" si="11"/>
        <v>0.12984556889727497</v>
      </c>
    </row>
    <row r="55" spans="1:13" x14ac:dyDescent="0.25">
      <c r="A55" s="47">
        <v>42917</v>
      </c>
      <c r="B55" s="5">
        <v>3.61</v>
      </c>
      <c r="C55" s="5">
        <v>167.229996</v>
      </c>
      <c r="D55" s="6">
        <f t="shared" si="0"/>
        <v>-8.2417582417583235E-3</v>
      </c>
      <c r="E55" s="6">
        <f t="shared" si="1"/>
        <v>0.11397549673512852</v>
      </c>
      <c r="F55" s="6">
        <f t="shared" si="2"/>
        <v>-6.1108627488443423E-2</v>
      </c>
      <c r="H55" s="59">
        <v>0.13</v>
      </c>
      <c r="I55" s="60">
        <f t="shared" si="9"/>
        <v>-8.4424533137233873E-2</v>
      </c>
      <c r="J55" s="61">
        <v>0.8</v>
      </c>
      <c r="K55" s="60">
        <f t="shared" si="10"/>
        <v>3.4016471487476468E-2</v>
      </c>
      <c r="L55" s="61">
        <v>0.97</v>
      </c>
      <c r="M55" s="62">
        <f t="shared" si="11"/>
        <v>0.13358473240144292</v>
      </c>
    </row>
    <row r="56" spans="1:13" x14ac:dyDescent="0.25">
      <c r="A56" s="47">
        <v>42887</v>
      </c>
      <c r="B56" s="5">
        <v>3.64</v>
      </c>
      <c r="C56" s="5">
        <v>150.11999499999999</v>
      </c>
      <c r="D56" s="6">
        <f t="shared" si="0"/>
        <v>3.4090909090909172E-2</v>
      </c>
      <c r="E56" s="6">
        <f t="shared" si="1"/>
        <v>3.388428444664493E-2</v>
      </c>
      <c r="F56" s="6">
        <f t="shared" si="2"/>
        <v>1.0331232213212083E-4</v>
      </c>
      <c r="H56" s="59">
        <v>0.14000000000000001</v>
      </c>
      <c r="I56" s="60">
        <f t="shared" si="9"/>
        <v>-8.0445498918924219E-2</v>
      </c>
      <c r="J56" s="61"/>
      <c r="K56" s="60"/>
      <c r="L56" s="61">
        <v>0.98</v>
      </c>
      <c r="M56" s="62">
        <f t="shared" si="11"/>
        <v>0.13707951848833835</v>
      </c>
    </row>
    <row r="57" spans="1:13" ht="15.75" thickBot="1" x14ac:dyDescent="0.3">
      <c r="A57" s="47">
        <v>42856</v>
      </c>
      <c r="B57" s="5">
        <v>3.52</v>
      </c>
      <c r="C57" s="5">
        <v>145.199997</v>
      </c>
      <c r="D57" s="6">
        <f t="shared" si="0"/>
        <v>0.2179930795847751</v>
      </c>
      <c r="E57" s="6">
        <f t="shared" si="1"/>
        <v>7.8591608921096734E-2</v>
      </c>
      <c r="F57" s="6">
        <f t="shared" si="2"/>
        <v>6.9700735331839181E-2</v>
      </c>
      <c r="H57" s="63">
        <v>0.15</v>
      </c>
      <c r="I57" s="64">
        <f t="shared" si="9"/>
        <v>-7.3886627955132969E-2</v>
      </c>
      <c r="J57" s="65"/>
      <c r="K57" s="66"/>
      <c r="L57" s="67">
        <v>0.99</v>
      </c>
      <c r="M57" s="68">
        <f t="shared" si="11"/>
        <v>0.14841348677316779</v>
      </c>
    </row>
    <row r="58" spans="1:13" x14ac:dyDescent="0.25">
      <c r="A58" s="47">
        <v>42826</v>
      </c>
      <c r="B58" s="5">
        <v>2.89</v>
      </c>
      <c r="C58" s="5">
        <v>134.61999499999999</v>
      </c>
      <c r="D58" s="6">
        <f t="shared" si="0"/>
        <v>1.4035087719298289E-2</v>
      </c>
      <c r="E58" s="6">
        <f t="shared" si="1"/>
        <v>0.17356809496615888</v>
      </c>
      <c r="F58" s="6">
        <f t="shared" si="2"/>
        <v>-7.9766503623430296E-2</v>
      </c>
      <c r="H58" s="52"/>
      <c r="I58" s="53"/>
      <c r="J58" s="52"/>
      <c r="K58" s="53"/>
      <c r="L58" s="52"/>
      <c r="M58" s="42"/>
    </row>
    <row r="59" spans="1:13" x14ac:dyDescent="0.25">
      <c r="A59" s="47">
        <v>42795</v>
      </c>
      <c r="B59" s="5">
        <v>2.85</v>
      </c>
      <c r="C59" s="5">
        <v>114.709999</v>
      </c>
      <c r="D59" s="6">
        <f t="shared" si="0"/>
        <v>7.547169811320753E-2</v>
      </c>
      <c r="E59" s="6">
        <f t="shared" si="1"/>
        <v>0.11629035390637688</v>
      </c>
      <c r="F59" s="6">
        <f t="shared" si="2"/>
        <v>-2.0409327896584673E-2</v>
      </c>
      <c r="J59" s="52"/>
      <c r="K59" s="53"/>
      <c r="L59" s="52"/>
      <c r="M59" s="54"/>
    </row>
    <row r="60" spans="1:13" x14ac:dyDescent="0.25">
      <c r="A60" s="47">
        <v>42767</v>
      </c>
      <c r="B60" s="5">
        <v>2.65</v>
      </c>
      <c r="C60" s="5">
        <v>102.760002</v>
      </c>
      <c r="D60" s="6">
        <f t="shared" si="0"/>
        <v>5.1587301587301626E-2</v>
      </c>
      <c r="E60" s="6">
        <f t="shared" si="1"/>
        <v>0.12073290171811735</v>
      </c>
      <c r="F60" s="6">
        <f t="shared" si="2"/>
        <v>-3.457280006540786E-2</v>
      </c>
      <c r="J60" s="52"/>
      <c r="K60" s="53"/>
      <c r="L60" s="52"/>
      <c r="M60" s="54"/>
    </row>
    <row r="61" spans="1:13" x14ac:dyDescent="0.25">
      <c r="A61" s="47">
        <v>42736</v>
      </c>
      <c r="B61" s="5">
        <v>2.52</v>
      </c>
      <c r="C61" s="5">
        <v>91.690002000000007</v>
      </c>
      <c r="D61" s="6">
        <f t="shared" si="0"/>
        <v>-1.9455252918287869E-2</v>
      </c>
      <c r="E61" s="6">
        <f t="shared" si="1"/>
        <v>-4.6187403917218428E-2</v>
      </c>
      <c r="F61" s="6">
        <f t="shared" si="2"/>
        <v>1.336607549946528E-2</v>
      </c>
      <c r="J61" s="52"/>
      <c r="K61" s="53"/>
      <c r="L61" s="52"/>
      <c r="M61" s="54"/>
    </row>
    <row r="62" spans="1:13" x14ac:dyDescent="0.25">
      <c r="A62" s="47">
        <v>42705</v>
      </c>
      <c r="B62" s="5">
        <v>2.57</v>
      </c>
      <c r="C62" s="5">
        <v>96.129997000000003</v>
      </c>
      <c r="D62" s="6">
        <f t="shared" si="0"/>
        <v>-0.10139860139860146</v>
      </c>
      <c r="E62" s="6">
        <f t="shared" si="1"/>
        <v>3.3100418062318671E-2</v>
      </c>
      <c r="F62" s="6">
        <f t="shared" si="2"/>
        <v>-6.7249509730460066E-2</v>
      </c>
      <c r="J62" s="52"/>
      <c r="K62" s="53"/>
      <c r="L62" s="52"/>
      <c r="M62" s="54"/>
    </row>
    <row r="63" spans="1:13" x14ac:dyDescent="0.25">
      <c r="A63" s="47">
        <v>42675</v>
      </c>
      <c r="B63" s="5">
        <v>2.86</v>
      </c>
      <c r="C63" s="5">
        <v>93.050003000000004</v>
      </c>
      <c r="D63" s="6">
        <f t="shared" si="0"/>
        <v>1.7793594306049654E-2</v>
      </c>
      <c r="E63" s="6">
        <f t="shared" si="1"/>
        <v>8.2984231447491341E-2</v>
      </c>
      <c r="F63" s="6">
        <f t="shared" si="2"/>
        <v>-3.2595318570720844E-2</v>
      </c>
      <c r="J63" s="52"/>
      <c r="K63" s="53"/>
      <c r="L63" s="52"/>
      <c r="M63" s="54"/>
    </row>
    <row r="64" spans="1:13" x14ac:dyDescent="0.25">
      <c r="A64" s="47">
        <v>42644</v>
      </c>
      <c r="B64" s="5">
        <v>2.81</v>
      </c>
      <c r="C64" s="5">
        <v>85.919998000000007</v>
      </c>
      <c r="D64" s="6">
        <f t="shared" si="0"/>
        <v>-3.4364261168384869E-2</v>
      </c>
      <c r="E64" s="6">
        <f t="shared" si="1"/>
        <v>-8.352002133333325E-2</v>
      </c>
      <c r="F64" s="6">
        <f t="shared" si="2"/>
        <v>2.4577880082474191E-2</v>
      </c>
      <c r="J64" s="52"/>
      <c r="K64" s="53"/>
      <c r="L64" s="52"/>
      <c r="M64" s="54"/>
    </row>
    <row r="65" spans="1:13" x14ac:dyDescent="0.25">
      <c r="A65" s="47">
        <v>42614</v>
      </c>
      <c r="B65" s="5">
        <v>2.91</v>
      </c>
      <c r="C65" s="5">
        <v>93.75</v>
      </c>
      <c r="D65" s="6">
        <f t="shared" si="0"/>
        <v>6.5934065934065922E-2</v>
      </c>
      <c r="E65" s="6">
        <f t="shared" si="1"/>
        <v>9.1496015253045293E-3</v>
      </c>
      <c r="F65" s="6">
        <f t="shared" si="2"/>
        <v>2.8392232204380696E-2</v>
      </c>
      <c r="J65" s="52"/>
      <c r="K65" s="53"/>
      <c r="L65" s="52"/>
      <c r="M65" s="54"/>
    </row>
    <row r="66" spans="1:13" x14ac:dyDescent="0.25">
      <c r="A66" s="47">
        <v>42583</v>
      </c>
      <c r="B66" s="5">
        <v>2.73</v>
      </c>
      <c r="C66" s="5">
        <v>92.900002000000001</v>
      </c>
      <c r="D66" s="6">
        <f t="shared" si="0"/>
        <v>-4.8780487804878092E-2</v>
      </c>
      <c r="E66" s="6">
        <f t="shared" si="1"/>
        <v>4.2063936240853916E-2</v>
      </c>
      <c r="F66" s="6">
        <f t="shared" si="2"/>
        <v>-4.5422212022866004E-2</v>
      </c>
      <c r="H66" s="52"/>
      <c r="I66" s="53"/>
      <c r="J66" s="52"/>
      <c r="K66" s="53"/>
      <c r="L66" s="52"/>
      <c r="M66" s="54"/>
    </row>
    <row r="67" spans="1:13" x14ac:dyDescent="0.25">
      <c r="A67" s="47">
        <v>42552</v>
      </c>
      <c r="B67" s="5">
        <v>2.87</v>
      </c>
      <c r="C67" s="5">
        <v>89.150002000000001</v>
      </c>
      <c r="D67" s="6">
        <f t="shared" ref="D67:D120" si="12">B67/B68-1</f>
        <v>0.15261044176706817</v>
      </c>
      <c r="E67" s="6">
        <f t="shared" ref="E67:E120" si="13">C67/C68-1</f>
        <v>0.1067659674699204</v>
      </c>
      <c r="F67" s="6">
        <f t="shared" ref="F67:F120" si="14">($P$4*D67)-($P$5*E67)</f>
        <v>2.2922237148573887E-2</v>
      </c>
      <c r="H67" s="52"/>
      <c r="I67" s="53"/>
      <c r="J67" s="52"/>
      <c r="K67" s="53"/>
      <c r="L67" s="52"/>
      <c r="M67" s="54"/>
    </row>
    <row r="68" spans="1:13" x14ac:dyDescent="0.25">
      <c r="A68" s="47">
        <v>42522</v>
      </c>
      <c r="B68" s="5">
        <v>2.4900000000000002</v>
      </c>
      <c r="C68" s="5">
        <v>80.550003000000004</v>
      </c>
      <c r="D68" s="6">
        <f t="shared" si="12"/>
        <v>-3.112840466926059E-2</v>
      </c>
      <c r="E68" s="6">
        <f t="shared" si="13"/>
        <v>2.1819116533829508E-2</v>
      </c>
      <c r="F68" s="6">
        <f t="shared" si="14"/>
        <v>-2.6473760601545049E-2</v>
      </c>
      <c r="H68" s="54"/>
      <c r="I68" s="54"/>
      <c r="J68" s="54"/>
      <c r="K68" s="54"/>
      <c r="L68" s="54"/>
      <c r="M68" s="54"/>
    </row>
    <row r="69" spans="1:13" x14ac:dyDescent="0.25">
      <c r="A69" s="47">
        <v>42491</v>
      </c>
      <c r="B69" s="5">
        <v>2.57</v>
      </c>
      <c r="C69" s="5">
        <v>78.830001999999993</v>
      </c>
      <c r="D69" s="6">
        <f t="shared" si="12"/>
        <v>7.9831932773109182E-2</v>
      </c>
      <c r="E69" s="6">
        <f t="shared" si="13"/>
        <v>9.197949599724331E-2</v>
      </c>
      <c r="F69" s="6">
        <f t="shared" si="14"/>
        <v>-6.073781612067064E-3</v>
      </c>
      <c r="H69" s="54"/>
      <c r="I69" s="54"/>
      <c r="J69" s="54"/>
      <c r="K69" s="54"/>
      <c r="L69" s="54"/>
      <c r="M69" s="54"/>
    </row>
    <row r="70" spans="1:13" x14ac:dyDescent="0.25">
      <c r="A70" s="47">
        <v>42461</v>
      </c>
      <c r="B70" s="5">
        <v>2.38</v>
      </c>
      <c r="C70" s="5">
        <v>72.190002000000007</v>
      </c>
      <c r="D70" s="6">
        <f t="shared" si="12"/>
        <v>4.3859649122807154E-2</v>
      </c>
      <c r="E70" s="6">
        <f t="shared" si="13"/>
        <v>-6.8785250549312504E-3</v>
      </c>
      <c r="F70" s="6">
        <f t="shared" si="14"/>
        <v>2.5369087088869202E-2</v>
      </c>
    </row>
    <row r="71" spans="1:13" x14ac:dyDescent="0.25">
      <c r="A71" s="47">
        <v>42430</v>
      </c>
      <c r="B71" s="5">
        <v>2.2799999999999998</v>
      </c>
      <c r="C71" s="5">
        <v>72.690002000000007</v>
      </c>
      <c r="D71" s="6">
        <f t="shared" si="12"/>
        <v>8.0568720379146974E-2</v>
      </c>
      <c r="E71" s="6">
        <f t="shared" si="13"/>
        <v>0.1008632909414402</v>
      </c>
      <c r="F71" s="6">
        <f t="shared" si="14"/>
        <v>-1.0147285281146612E-2</v>
      </c>
    </row>
    <row r="72" spans="1:13" x14ac:dyDescent="0.25">
      <c r="A72" s="47">
        <v>42401</v>
      </c>
      <c r="B72" s="5">
        <v>2.11</v>
      </c>
      <c r="C72" s="5">
        <v>66.029999000000004</v>
      </c>
      <c r="D72" s="6">
        <f t="shared" si="12"/>
        <v>-0.14227642276422769</v>
      </c>
      <c r="E72" s="6">
        <f t="shared" si="13"/>
        <v>-1.6631388216380438E-3</v>
      </c>
      <c r="F72" s="6">
        <f t="shared" si="14"/>
        <v>-7.0306641971294825E-2</v>
      </c>
    </row>
    <row r="73" spans="1:13" x14ac:dyDescent="0.25">
      <c r="A73" s="47">
        <v>42370</v>
      </c>
      <c r="B73" s="5">
        <v>2.46</v>
      </c>
      <c r="C73" s="5">
        <v>66.139999000000003</v>
      </c>
      <c r="D73" s="6">
        <f t="shared" si="12"/>
        <v>-8.2089552238805985E-2</v>
      </c>
      <c r="E73" s="6">
        <f t="shared" si="13"/>
        <v>4.4039636872883481E-3</v>
      </c>
      <c r="F73" s="6">
        <f t="shared" si="14"/>
        <v>-4.3246757963047167E-2</v>
      </c>
    </row>
    <row r="74" spans="1:13" x14ac:dyDescent="0.25">
      <c r="A74" s="47">
        <v>42339</v>
      </c>
      <c r="B74" s="5">
        <v>2.68</v>
      </c>
      <c r="C74" s="5">
        <v>65.849997999999999</v>
      </c>
      <c r="D74" s="6">
        <f t="shared" si="12"/>
        <v>3.8759689922480689E-2</v>
      </c>
      <c r="E74" s="6">
        <f t="shared" si="13"/>
        <v>-1.3335331535371031E-2</v>
      </c>
      <c r="F74" s="6">
        <f t="shared" si="14"/>
        <v>2.604751072892586E-2</v>
      </c>
    </row>
    <row r="75" spans="1:13" x14ac:dyDescent="0.25">
      <c r="A75" s="47">
        <v>42309</v>
      </c>
      <c r="B75" s="5">
        <v>2.58</v>
      </c>
      <c r="C75" s="5">
        <v>66.739998</v>
      </c>
      <c r="D75" s="6">
        <f t="shared" si="12"/>
        <v>8.8607594936708889E-2</v>
      </c>
      <c r="E75" s="6">
        <f t="shared" si="13"/>
        <v>1.9553911083927789E-2</v>
      </c>
      <c r="F75" s="6">
        <f t="shared" si="14"/>
        <v>3.452684192639055E-2</v>
      </c>
    </row>
    <row r="76" spans="1:13" x14ac:dyDescent="0.25">
      <c r="A76" s="47">
        <v>42278</v>
      </c>
      <c r="B76" s="5">
        <v>2.37</v>
      </c>
      <c r="C76" s="5">
        <v>65.459998999999996</v>
      </c>
      <c r="D76" s="6">
        <f t="shared" si="12"/>
        <v>3.947368421052655E-2</v>
      </c>
      <c r="E76" s="6">
        <f t="shared" si="13"/>
        <v>0.15327697862145784</v>
      </c>
      <c r="F76" s="6">
        <f t="shared" si="14"/>
        <v>-5.6901647205465644E-2</v>
      </c>
    </row>
    <row r="77" spans="1:13" x14ac:dyDescent="0.25">
      <c r="A77" s="47">
        <v>42248</v>
      </c>
      <c r="B77" s="5">
        <v>2.2799999999999998</v>
      </c>
      <c r="C77" s="5">
        <v>56.759998000000003</v>
      </c>
      <c r="D77" s="6">
        <f t="shared" si="12"/>
        <v>-9.8814229249011842E-2</v>
      </c>
      <c r="E77" s="6">
        <f t="shared" si="13"/>
        <v>2.8268552235639621E-3</v>
      </c>
      <c r="F77" s="6">
        <f t="shared" si="14"/>
        <v>-5.0820542236287902E-2</v>
      </c>
    </row>
    <row r="78" spans="1:13" x14ac:dyDescent="0.25">
      <c r="A78" s="47">
        <v>42217</v>
      </c>
      <c r="B78" s="5">
        <v>2.5299999999999998</v>
      </c>
      <c r="C78" s="5">
        <v>56.599997999999999</v>
      </c>
      <c r="D78" s="6">
        <f t="shared" si="12"/>
        <v>2.0161290322580516E-2</v>
      </c>
      <c r="E78" s="6">
        <f t="shared" si="13"/>
        <v>-9.7288722531280403E-2</v>
      </c>
      <c r="F78" s="6">
        <f t="shared" si="14"/>
        <v>5.8725006426930459E-2</v>
      </c>
    </row>
    <row r="79" spans="1:13" x14ac:dyDescent="0.25">
      <c r="A79" s="47">
        <v>42186</v>
      </c>
      <c r="B79" s="5">
        <v>2.48</v>
      </c>
      <c r="C79" s="5">
        <v>62.700001</v>
      </c>
      <c r="D79" s="6">
        <f t="shared" si="12"/>
        <v>-0.13286713286713281</v>
      </c>
      <c r="E79" s="6">
        <f t="shared" si="13"/>
        <v>-1.594323099893824E-4</v>
      </c>
      <c r="F79" s="6">
        <f t="shared" si="14"/>
        <v>-6.6353850278571713E-2</v>
      </c>
    </row>
    <row r="80" spans="1:13" x14ac:dyDescent="0.25">
      <c r="A80" s="47">
        <v>42156</v>
      </c>
      <c r="B80" s="5">
        <v>2.86</v>
      </c>
      <c r="C80" s="5">
        <v>62.709999000000003</v>
      </c>
      <c r="D80" s="6">
        <f t="shared" si="12"/>
        <v>-3.0508474576271261E-2</v>
      </c>
      <c r="E80" s="6">
        <f t="shared" si="13"/>
        <v>3.3624543715989663E-2</v>
      </c>
      <c r="F80" s="6">
        <f t="shared" si="14"/>
        <v>-3.2066509146130462E-2</v>
      </c>
    </row>
    <row r="81" spans="1:6" x14ac:dyDescent="0.25">
      <c r="A81" s="47">
        <v>42125</v>
      </c>
      <c r="B81" s="5">
        <v>2.95</v>
      </c>
      <c r="C81" s="5">
        <v>60.669998</v>
      </c>
      <c r="D81" s="6">
        <f t="shared" si="12"/>
        <v>0.20408163265306123</v>
      </c>
      <c r="E81" s="6">
        <f t="shared" si="13"/>
        <v>3.1101257647858427E-2</v>
      </c>
      <c r="F81" s="6">
        <f t="shared" si="14"/>
        <v>8.6490187502601401E-2</v>
      </c>
    </row>
    <row r="82" spans="1:6" x14ac:dyDescent="0.25">
      <c r="A82" s="47">
        <v>42095</v>
      </c>
      <c r="B82" s="5">
        <v>2.4500000000000002</v>
      </c>
      <c r="C82" s="5">
        <v>58.84</v>
      </c>
      <c r="D82" s="6">
        <f t="shared" si="12"/>
        <v>-0.14035087719298245</v>
      </c>
      <c r="E82" s="6">
        <f t="shared" si="13"/>
        <v>9.3883601154794771E-2</v>
      </c>
      <c r="F82" s="6">
        <f t="shared" si="14"/>
        <v>-0.11711723917388861</v>
      </c>
    </row>
    <row r="83" spans="1:6" x14ac:dyDescent="0.25">
      <c r="A83" s="47">
        <v>42064</v>
      </c>
      <c r="B83" s="5">
        <v>2.85</v>
      </c>
      <c r="C83" s="5">
        <v>53.790000999999997</v>
      </c>
      <c r="D83" s="6">
        <f t="shared" si="12"/>
        <v>0.23913043478260887</v>
      </c>
      <c r="E83" s="6">
        <f t="shared" si="13"/>
        <v>-6.207492805841075E-2</v>
      </c>
      <c r="F83" s="6">
        <f t="shared" si="14"/>
        <v>0.15060268142050981</v>
      </c>
    </row>
    <row r="84" spans="1:6" x14ac:dyDescent="0.25">
      <c r="A84" s="47">
        <v>42036</v>
      </c>
      <c r="B84" s="5">
        <v>2.2999999999999998</v>
      </c>
      <c r="C84" s="5">
        <v>57.349997999999999</v>
      </c>
      <c r="D84" s="6">
        <f t="shared" si="12"/>
        <v>-0.10156250000000011</v>
      </c>
      <c r="E84" s="6">
        <f t="shared" si="13"/>
        <v>8.1055590594827365E-2</v>
      </c>
      <c r="F84" s="6">
        <f t="shared" si="14"/>
        <v>-9.1309045297413738E-2</v>
      </c>
    </row>
    <row r="85" spans="1:6" x14ac:dyDescent="0.25">
      <c r="A85" s="47">
        <v>42005</v>
      </c>
      <c r="B85" s="5">
        <v>2.56</v>
      </c>
      <c r="C85" s="5">
        <v>53.049999</v>
      </c>
      <c r="D85" s="6">
        <f t="shared" si="12"/>
        <v>-3.7593984962406068E-2</v>
      </c>
      <c r="E85" s="6">
        <f t="shared" si="13"/>
        <v>-5.1153657664102958E-2</v>
      </c>
      <c r="F85" s="6">
        <f t="shared" si="14"/>
        <v>6.7798363508484449E-3</v>
      </c>
    </row>
    <row r="86" spans="1:6" x14ac:dyDescent="0.25">
      <c r="A86" s="47">
        <v>41974</v>
      </c>
      <c r="B86" s="5">
        <v>2.66</v>
      </c>
      <c r="C86" s="5">
        <v>55.91</v>
      </c>
      <c r="D86" s="6">
        <f t="shared" si="12"/>
        <v>2.3076923076922995E-2</v>
      </c>
      <c r="E86" s="6">
        <f t="shared" si="13"/>
        <v>-1.7398980056274937E-2</v>
      </c>
      <c r="F86" s="6">
        <f t="shared" si="14"/>
        <v>2.0237951566598966E-2</v>
      </c>
    </row>
    <row r="87" spans="1:6" x14ac:dyDescent="0.25">
      <c r="A87" s="47">
        <v>41944</v>
      </c>
      <c r="B87" s="5">
        <v>2.6</v>
      </c>
      <c r="C87" s="5">
        <v>56.900002000000001</v>
      </c>
      <c r="D87" s="6">
        <f t="shared" si="12"/>
        <v>1.9607843137255054E-2</v>
      </c>
      <c r="E87" s="6">
        <f t="shared" si="13"/>
        <v>8.1337952895057963E-2</v>
      </c>
      <c r="F87" s="6">
        <f t="shared" si="14"/>
        <v>-3.0865054878901454E-2</v>
      </c>
    </row>
    <row r="88" spans="1:6" x14ac:dyDescent="0.25">
      <c r="A88" s="47">
        <v>41913</v>
      </c>
      <c r="B88" s="5">
        <v>2.5499999999999998</v>
      </c>
      <c r="C88" s="5">
        <v>52.619999</v>
      </c>
      <c r="D88" s="6">
        <f t="shared" si="12"/>
        <v>-5.5555555555555691E-2</v>
      </c>
      <c r="E88" s="6">
        <f t="shared" si="13"/>
        <v>1.8188835139318904E-2</v>
      </c>
      <c r="F88" s="6">
        <f t="shared" si="14"/>
        <v>-3.6872195347437298E-2</v>
      </c>
    </row>
    <row r="89" spans="1:6" x14ac:dyDescent="0.25">
      <c r="A89" s="47">
        <v>41883</v>
      </c>
      <c r="B89" s="5">
        <v>2.7</v>
      </c>
      <c r="C89" s="5">
        <v>51.68</v>
      </c>
      <c r="D89" s="6">
        <f t="shared" si="12"/>
        <v>-6.8965517241379226E-2</v>
      </c>
      <c r="E89" s="6">
        <f t="shared" si="13"/>
        <v>-5.1046622310808365E-2</v>
      </c>
      <c r="F89" s="6">
        <f t="shared" si="14"/>
        <v>-8.9594474652854306E-3</v>
      </c>
    </row>
    <row r="90" spans="1:6" x14ac:dyDescent="0.25">
      <c r="A90" s="47">
        <v>41852</v>
      </c>
      <c r="B90" s="5">
        <v>2.9</v>
      </c>
      <c r="C90" s="5">
        <v>54.459999000000003</v>
      </c>
      <c r="D90" s="6">
        <f t="shared" si="12"/>
        <v>-6.8493150684931781E-3</v>
      </c>
      <c r="E90" s="6">
        <f t="shared" si="13"/>
        <v>4.6116953442481012E-3</v>
      </c>
      <c r="F90" s="6">
        <f t="shared" si="14"/>
        <v>-5.7305052063706396E-3</v>
      </c>
    </row>
    <row r="91" spans="1:6" x14ac:dyDescent="0.25">
      <c r="A91" s="47">
        <v>41821</v>
      </c>
      <c r="B91" s="5">
        <v>2.92</v>
      </c>
      <c r="C91" s="5">
        <v>54.209999000000003</v>
      </c>
      <c r="D91" s="6">
        <f t="shared" si="12"/>
        <v>-9.0342679127725867E-2</v>
      </c>
      <c r="E91" s="6">
        <f t="shared" si="13"/>
        <v>-3.2655281358756505E-2</v>
      </c>
      <c r="F91" s="6">
        <f t="shared" si="14"/>
        <v>-2.8843698884484681E-2</v>
      </c>
    </row>
    <row r="92" spans="1:6" x14ac:dyDescent="0.25">
      <c r="A92" s="47">
        <v>41791</v>
      </c>
      <c r="B92" s="5">
        <v>3.21</v>
      </c>
      <c r="C92" s="5">
        <v>56.040000999999997</v>
      </c>
      <c r="D92" s="6">
        <f t="shared" si="12"/>
        <v>-6.956521739130439E-2</v>
      </c>
      <c r="E92" s="6">
        <f t="shared" si="13"/>
        <v>2.6185679798834016E-2</v>
      </c>
      <c r="F92" s="6">
        <f t="shared" si="14"/>
        <v>-4.7875448595069203E-2</v>
      </c>
    </row>
    <row r="93" spans="1:6" x14ac:dyDescent="0.25">
      <c r="A93" s="47">
        <v>41760</v>
      </c>
      <c r="B93" s="5">
        <v>3.45</v>
      </c>
      <c r="C93" s="5">
        <v>54.610000999999997</v>
      </c>
      <c r="D93" s="6">
        <f t="shared" si="12"/>
        <v>-0.14814814814814803</v>
      </c>
      <c r="E93" s="6">
        <f t="shared" si="13"/>
        <v>8.3746816506187871E-2</v>
      </c>
      <c r="F93" s="6">
        <f t="shared" si="14"/>
        <v>-0.11594748232716795</v>
      </c>
    </row>
    <row r="94" spans="1:6" x14ac:dyDescent="0.25">
      <c r="A94" s="47">
        <v>41730</v>
      </c>
      <c r="B94" s="5">
        <v>4.05</v>
      </c>
      <c r="C94" s="5">
        <v>50.389999000000003</v>
      </c>
      <c r="D94" s="6">
        <f t="shared" si="12"/>
        <v>-5.8139534883720922E-2</v>
      </c>
      <c r="E94" s="6">
        <f t="shared" si="13"/>
        <v>-2.7032283702794202E-2</v>
      </c>
      <c r="F94" s="6">
        <f t="shared" si="14"/>
        <v>-1.555362559046336E-2</v>
      </c>
    </row>
    <row r="95" spans="1:6" x14ac:dyDescent="0.25">
      <c r="A95" s="47">
        <v>41699</v>
      </c>
      <c r="B95" s="5">
        <v>4.3</v>
      </c>
      <c r="C95" s="5">
        <v>51.790000999999997</v>
      </c>
      <c r="D95" s="6">
        <f t="shared" si="12"/>
        <v>-0.15019762845849804</v>
      </c>
      <c r="E95" s="6">
        <f t="shared" si="13"/>
        <v>-1.0319147322027655E-2</v>
      </c>
      <c r="F95" s="6">
        <f t="shared" si="14"/>
        <v>-6.9939240568235195E-2</v>
      </c>
    </row>
    <row r="96" spans="1:6" x14ac:dyDescent="0.25">
      <c r="A96" s="47">
        <v>41671</v>
      </c>
      <c r="B96" s="5">
        <v>5.0599999999999996</v>
      </c>
      <c r="C96" s="5">
        <v>52.330002</v>
      </c>
      <c r="D96" s="6">
        <f t="shared" si="12"/>
        <v>0.14999999999999991</v>
      </c>
      <c r="E96" s="6">
        <f t="shared" si="13"/>
        <v>-0.11932003094311783</v>
      </c>
      <c r="F96" s="6">
        <f t="shared" si="14"/>
        <v>0.13466001547155887</v>
      </c>
    </row>
    <row r="97" spans="1:6" x14ac:dyDescent="0.25">
      <c r="A97" s="47">
        <v>41640</v>
      </c>
      <c r="B97" s="5">
        <v>4.4000000000000004</v>
      </c>
      <c r="C97" s="5">
        <v>59.419998</v>
      </c>
      <c r="D97" s="6">
        <f t="shared" si="12"/>
        <v>0.15789473684210531</v>
      </c>
      <c r="E97" s="6">
        <f t="shared" si="13"/>
        <v>3.9901978297199436E-2</v>
      </c>
      <c r="F97" s="6">
        <f t="shared" si="14"/>
        <v>5.8996379272452937E-2</v>
      </c>
    </row>
    <row r="98" spans="1:6" x14ac:dyDescent="0.25">
      <c r="A98" s="47">
        <v>41609</v>
      </c>
      <c r="B98" s="5">
        <v>3.8</v>
      </c>
      <c r="C98" s="5">
        <v>57.139999000000003</v>
      </c>
      <c r="D98" s="6">
        <f t="shared" si="12"/>
        <v>-0.12643678160919536</v>
      </c>
      <c r="E98" s="6">
        <f t="shared" si="13"/>
        <v>4.5754027191691637E-2</v>
      </c>
      <c r="F98" s="6">
        <f t="shared" si="14"/>
        <v>-8.6095404400443498E-2</v>
      </c>
    </row>
    <row r="99" spans="1:6" x14ac:dyDescent="0.25">
      <c r="A99" s="47">
        <v>41579</v>
      </c>
      <c r="B99" s="5">
        <v>4.3499999999999996</v>
      </c>
      <c r="C99" s="5">
        <v>54.639999000000003</v>
      </c>
      <c r="D99" s="6">
        <f t="shared" si="12"/>
        <v>0.21508379888268148</v>
      </c>
      <c r="E99" s="6">
        <f t="shared" si="13"/>
        <v>-4.2411530977715883E-2</v>
      </c>
      <c r="F99" s="6">
        <f t="shared" si="14"/>
        <v>0.12874766493019868</v>
      </c>
    </row>
    <row r="100" spans="1:6" x14ac:dyDescent="0.25">
      <c r="A100" s="47">
        <v>41548</v>
      </c>
      <c r="B100" s="5">
        <v>3.58</v>
      </c>
      <c r="C100" s="5">
        <v>57.060001</v>
      </c>
      <c r="D100" s="6">
        <f t="shared" si="12"/>
        <v>-2.4523160762942697E-2</v>
      </c>
      <c r="E100" s="6">
        <f t="shared" si="13"/>
        <v>0.186278656394123</v>
      </c>
      <c r="F100" s="6">
        <f t="shared" si="14"/>
        <v>-0.10540090857853285</v>
      </c>
    </row>
    <row r="101" spans="1:6" x14ac:dyDescent="0.25">
      <c r="A101" s="47">
        <v>41518</v>
      </c>
      <c r="B101" s="5">
        <v>3.67</v>
      </c>
      <c r="C101" s="5">
        <v>48.099997999999999</v>
      </c>
      <c r="D101" s="6">
        <f t="shared" si="12"/>
        <v>0.29681978798586561</v>
      </c>
      <c r="E101" s="6">
        <f t="shared" si="13"/>
        <v>0.10447759137721224</v>
      </c>
      <c r="F101" s="6">
        <f t="shared" si="14"/>
        <v>9.6171098304326685E-2</v>
      </c>
    </row>
    <row r="102" spans="1:6" x14ac:dyDescent="0.25">
      <c r="A102" s="47">
        <v>41487</v>
      </c>
      <c r="B102" s="5">
        <v>2.83</v>
      </c>
      <c r="C102" s="5">
        <v>43.549999</v>
      </c>
      <c r="D102" s="6">
        <f t="shared" si="12"/>
        <v>-5.0335570469798641E-2</v>
      </c>
      <c r="E102" s="6">
        <f t="shared" si="13"/>
        <v>1.1849395635469495E-2</v>
      </c>
      <c r="F102" s="6">
        <f t="shared" si="14"/>
        <v>-3.1092483052634068E-2</v>
      </c>
    </row>
    <row r="103" spans="1:6" x14ac:dyDescent="0.25">
      <c r="A103" s="47">
        <v>41456</v>
      </c>
      <c r="B103" s="5">
        <v>2.98</v>
      </c>
      <c r="C103" s="5">
        <v>43.040000999999997</v>
      </c>
      <c r="D103" s="6">
        <f t="shared" si="12"/>
        <v>7.1942446043165464E-2</v>
      </c>
      <c r="E103" s="6">
        <f t="shared" si="13"/>
        <v>0.16198703666341685</v>
      </c>
      <c r="F103" s="6">
        <f t="shared" si="14"/>
        <v>-4.5022295310125693E-2</v>
      </c>
    </row>
    <row r="104" spans="1:6" x14ac:dyDescent="0.25">
      <c r="A104" s="47">
        <v>41426</v>
      </c>
      <c r="B104" s="5">
        <v>2.78</v>
      </c>
      <c r="C104" s="5">
        <v>37.040000999999997</v>
      </c>
      <c r="D104" s="6">
        <f t="shared" si="12"/>
        <v>-0.18235294117647061</v>
      </c>
      <c r="E104" s="6">
        <f t="shared" si="13"/>
        <v>3.6083944055943951E-2</v>
      </c>
      <c r="F104" s="6">
        <f t="shared" si="14"/>
        <v>-0.10921844261620728</v>
      </c>
    </row>
    <row r="105" spans="1:6" x14ac:dyDescent="0.25">
      <c r="A105" s="47">
        <v>41395</v>
      </c>
      <c r="B105" s="5">
        <v>3.4</v>
      </c>
      <c r="C105" s="5">
        <v>35.75</v>
      </c>
      <c r="D105" s="6">
        <f t="shared" si="12"/>
        <v>6.5830721003134807E-2</v>
      </c>
      <c r="E105" s="6">
        <f t="shared" si="13"/>
        <v>7.9408245151215029E-2</v>
      </c>
      <c r="F105" s="6">
        <f t="shared" si="14"/>
        <v>-6.7887620740401111E-3</v>
      </c>
    </row>
    <row r="106" spans="1:6" x14ac:dyDescent="0.25">
      <c r="A106" s="47">
        <v>41365</v>
      </c>
      <c r="B106" s="5">
        <v>3.19</v>
      </c>
      <c r="C106" s="5">
        <v>33.119999</v>
      </c>
      <c r="D106" s="6">
        <f t="shared" si="12"/>
        <v>-5.0595238095238027E-2</v>
      </c>
      <c r="E106" s="6">
        <f t="shared" si="13"/>
        <v>-1.1638287773099942E-2</v>
      </c>
      <c r="F106" s="6">
        <f t="shared" si="14"/>
        <v>-1.9478475161069042E-2</v>
      </c>
    </row>
    <row r="107" spans="1:6" x14ac:dyDescent="0.25">
      <c r="A107" s="47">
        <v>41334</v>
      </c>
      <c r="B107" s="5">
        <v>3.36</v>
      </c>
      <c r="C107" s="5">
        <v>33.509998000000003</v>
      </c>
      <c r="D107" s="6">
        <f t="shared" si="12"/>
        <v>-5.9171597633136397E-3</v>
      </c>
      <c r="E107" s="6">
        <f t="shared" si="13"/>
        <v>6.5839597142506534E-2</v>
      </c>
      <c r="F107" s="6">
        <f t="shared" si="14"/>
        <v>-3.5878378452910087E-2</v>
      </c>
    </row>
    <row r="108" spans="1:6" x14ac:dyDescent="0.25">
      <c r="A108" s="47">
        <v>41306</v>
      </c>
      <c r="B108" s="5">
        <v>3.38</v>
      </c>
      <c r="C108" s="5">
        <v>31.440000999999999</v>
      </c>
      <c r="D108" s="6">
        <f t="shared" si="12"/>
        <v>0.24723247232472323</v>
      </c>
      <c r="E108" s="6">
        <f t="shared" si="13"/>
        <v>2.5510203268168663E-3</v>
      </c>
      <c r="F108" s="6">
        <f t="shared" si="14"/>
        <v>0.12234072599895318</v>
      </c>
    </row>
    <row r="109" spans="1:6" x14ac:dyDescent="0.25">
      <c r="A109" s="47">
        <v>41275</v>
      </c>
      <c r="B109" s="5">
        <v>2.71</v>
      </c>
      <c r="C109" s="5">
        <v>31.360001</v>
      </c>
      <c r="D109" s="6">
        <f t="shared" si="12"/>
        <v>0.14830508474576276</v>
      </c>
      <c r="E109" s="6">
        <f t="shared" si="13"/>
        <v>0.13009012612612625</v>
      </c>
      <c r="F109" s="6">
        <f t="shared" si="14"/>
        <v>9.107479309818256E-3</v>
      </c>
    </row>
    <row r="110" spans="1:6" x14ac:dyDescent="0.25">
      <c r="A110" s="47">
        <v>41244</v>
      </c>
      <c r="B110" s="5">
        <v>2.36</v>
      </c>
      <c r="C110" s="5">
        <v>27.75</v>
      </c>
      <c r="D110" s="6">
        <f t="shared" si="12"/>
        <v>-4.065040650406504E-2</v>
      </c>
      <c r="E110" s="6">
        <f t="shared" si="13"/>
        <v>1.3143520012541821E-2</v>
      </c>
      <c r="F110" s="6">
        <f t="shared" si="14"/>
        <v>-2.689696325830343E-2</v>
      </c>
    </row>
    <row r="111" spans="1:6" x14ac:dyDescent="0.25">
      <c r="A111" s="47">
        <v>41214</v>
      </c>
      <c r="B111" s="5">
        <v>2.46</v>
      </c>
      <c r="C111" s="5">
        <v>27.389999</v>
      </c>
      <c r="D111" s="6">
        <f t="shared" si="12"/>
        <v>9.8214285714285587E-2</v>
      </c>
      <c r="E111" s="6">
        <f t="shared" si="13"/>
        <v>3.0861836657884778E-2</v>
      </c>
      <c r="F111" s="6">
        <f t="shared" si="14"/>
        <v>3.3676224528200405E-2</v>
      </c>
    </row>
    <row r="112" spans="1:6" x14ac:dyDescent="0.25">
      <c r="A112" s="47">
        <v>41183</v>
      </c>
      <c r="B112" s="5">
        <v>2.2400000000000002</v>
      </c>
      <c r="C112" s="5">
        <v>26.57</v>
      </c>
      <c r="D112" s="6">
        <f t="shared" si="12"/>
        <v>-0.21126760563380276</v>
      </c>
      <c r="E112" s="6">
        <f t="shared" si="13"/>
        <v>-0.28130918903680857</v>
      </c>
      <c r="F112" s="6">
        <f t="shared" si="14"/>
        <v>3.5020791701502907E-2</v>
      </c>
    </row>
    <row r="113" spans="1:6" x14ac:dyDescent="0.25">
      <c r="A113" s="47">
        <v>41153</v>
      </c>
      <c r="B113" s="5">
        <v>2.84</v>
      </c>
      <c r="C113" s="5">
        <v>36.970001000000003</v>
      </c>
      <c r="D113" s="6">
        <f t="shared" si="12"/>
        <v>1.4285714285714235E-2</v>
      </c>
      <c r="E113" s="6">
        <f t="shared" si="13"/>
        <v>8.8954342004290421E-2</v>
      </c>
      <c r="F113" s="6">
        <f t="shared" si="14"/>
        <v>-3.7334313859288093E-2</v>
      </c>
    </row>
    <row r="114" spans="1:6" x14ac:dyDescent="0.25">
      <c r="A114" s="47">
        <v>41122</v>
      </c>
      <c r="B114" s="5">
        <v>2.8</v>
      </c>
      <c r="C114" s="5">
        <v>33.950001</v>
      </c>
      <c r="D114" s="6">
        <f t="shared" si="12"/>
        <v>-5.0847457627118731E-2</v>
      </c>
      <c r="E114" s="6">
        <f t="shared" si="13"/>
        <v>-2.944051912370238E-4</v>
      </c>
      <c r="F114" s="6">
        <f t="shared" si="14"/>
        <v>-2.5276526217940853E-2</v>
      </c>
    </row>
    <row r="115" spans="1:6" x14ac:dyDescent="0.25">
      <c r="A115" s="47">
        <v>41091</v>
      </c>
      <c r="B115" s="5">
        <v>2.95</v>
      </c>
      <c r="C115" s="5">
        <v>33.959999000000003</v>
      </c>
      <c r="D115" s="6">
        <f t="shared" si="12"/>
        <v>-0.45772058823529416</v>
      </c>
      <c r="E115" s="6">
        <f t="shared" si="13"/>
        <v>1.4943216226635192E-2</v>
      </c>
      <c r="F115" s="6">
        <f t="shared" si="14"/>
        <v>-0.23633190223096467</v>
      </c>
    </row>
    <row r="116" spans="1:6" x14ac:dyDescent="0.25">
      <c r="A116" s="47">
        <v>41061</v>
      </c>
      <c r="B116" s="5">
        <v>5.44</v>
      </c>
      <c r="C116" s="5">
        <v>33.459999000000003</v>
      </c>
      <c r="D116" s="6">
        <f t="shared" si="12"/>
        <v>-0.13099041533546318</v>
      </c>
      <c r="E116" s="6">
        <f t="shared" si="13"/>
        <v>7.1405667627281622E-2</v>
      </c>
      <c r="F116" s="6">
        <f t="shared" si="14"/>
        <v>-0.1011980414813724</v>
      </c>
    </row>
    <row r="117" spans="1:6" x14ac:dyDescent="0.25">
      <c r="A117" s="47">
        <v>41030</v>
      </c>
      <c r="B117" s="5">
        <v>6.26</v>
      </c>
      <c r="C117" s="5">
        <v>31.23</v>
      </c>
      <c r="D117" s="6">
        <f t="shared" si="12"/>
        <v>-0.24940047961630696</v>
      </c>
      <c r="E117" s="6">
        <f t="shared" si="13"/>
        <v>-1.5137149641663461E-2</v>
      </c>
      <c r="F117" s="6">
        <f t="shared" si="14"/>
        <v>-0.11713166498732175</v>
      </c>
    </row>
    <row r="118" spans="1:6" x14ac:dyDescent="0.25">
      <c r="A118" s="47">
        <v>41000</v>
      </c>
      <c r="B118" s="5">
        <v>8.34</v>
      </c>
      <c r="C118" s="5">
        <v>31.709999</v>
      </c>
      <c r="D118" s="6">
        <f t="shared" si="12"/>
        <v>-0.36577946768060843</v>
      </c>
      <c r="E118" s="6">
        <f t="shared" si="13"/>
        <v>0.15099819059884534</v>
      </c>
      <c r="F118" s="6">
        <f t="shared" si="14"/>
        <v>-0.25838882913972688</v>
      </c>
    </row>
    <row r="119" spans="1:6" x14ac:dyDescent="0.25">
      <c r="A119" s="47">
        <v>40969</v>
      </c>
      <c r="B119" s="5">
        <v>13.15</v>
      </c>
      <c r="C119" s="5">
        <v>27.549999</v>
      </c>
      <c r="D119" s="6">
        <f t="shared" si="12"/>
        <v>-1.5186028853454436E-3</v>
      </c>
      <c r="E119" s="6">
        <f t="shared" si="13"/>
        <v>7.575157845561975E-2</v>
      </c>
      <c r="F119" s="6">
        <f t="shared" si="14"/>
        <v>-3.8635090670482597E-2</v>
      </c>
    </row>
    <row r="120" spans="1:6" x14ac:dyDescent="0.25">
      <c r="A120" s="47">
        <v>40940</v>
      </c>
      <c r="B120" s="5">
        <v>13.17</v>
      </c>
      <c r="C120" s="5">
        <v>25.610001</v>
      </c>
      <c r="D120" s="6">
        <f t="shared" si="12"/>
        <v>0.25548141086749276</v>
      </c>
      <c r="E120" s="6">
        <f t="shared" si="13"/>
        <v>8.701197313293596E-2</v>
      </c>
      <c r="F120" s="6">
        <f t="shared" si="14"/>
        <v>8.4234718867278402E-2</v>
      </c>
    </row>
    <row r="121" spans="1:6" x14ac:dyDescent="0.25">
      <c r="A121" s="47">
        <v>40909</v>
      </c>
      <c r="B121" s="5">
        <v>10.49</v>
      </c>
      <c r="C121" s="5">
        <v>23.559999000000001</v>
      </c>
      <c r="D121" s="6"/>
      <c r="E121" s="6"/>
    </row>
    <row r="122" spans="1:6" x14ac:dyDescent="0.25">
      <c r="D122" s="6"/>
      <c r="E122" s="6"/>
    </row>
    <row r="123" spans="1:6" x14ac:dyDescent="0.25">
      <c r="D123" s="6"/>
      <c r="E123" s="6"/>
    </row>
    <row r="124" spans="1:6" x14ac:dyDescent="0.25">
      <c r="D124" s="6"/>
      <c r="E124" s="6"/>
    </row>
    <row r="125" spans="1:6" x14ac:dyDescent="0.25">
      <c r="D125" s="6"/>
      <c r="E125" s="6"/>
    </row>
    <row r="126" spans="1:6" x14ac:dyDescent="0.25">
      <c r="D126" s="6"/>
      <c r="E126" s="6"/>
    </row>
    <row r="127" spans="1:6" x14ac:dyDescent="0.25">
      <c r="D127" s="6"/>
      <c r="E127" s="6"/>
    </row>
    <row r="128" spans="1:6" x14ac:dyDescent="0.25">
      <c r="D128" s="6"/>
      <c r="E128" s="6"/>
    </row>
    <row r="129" spans="4:5" x14ac:dyDescent="0.25">
      <c r="D129" s="6"/>
      <c r="E129" s="6"/>
    </row>
    <row r="130" spans="4:5" x14ac:dyDescent="0.25">
      <c r="D130" s="6"/>
      <c r="E130" s="6"/>
    </row>
    <row r="131" spans="4:5" x14ac:dyDescent="0.25">
      <c r="D131" s="6"/>
      <c r="E131" s="6"/>
    </row>
    <row r="132" spans="4:5" x14ac:dyDescent="0.25">
      <c r="D132" s="6"/>
      <c r="E132" s="6"/>
    </row>
    <row r="133" spans="4:5" x14ac:dyDescent="0.25">
      <c r="D133" s="6"/>
      <c r="E133" s="6"/>
    </row>
    <row r="134" spans="4:5" x14ac:dyDescent="0.25">
      <c r="D134" s="6"/>
      <c r="E134" s="6"/>
    </row>
    <row r="135" spans="4:5" x14ac:dyDescent="0.25">
      <c r="D135" s="6"/>
      <c r="E135" s="6"/>
    </row>
    <row r="136" spans="4:5" x14ac:dyDescent="0.25">
      <c r="D136" s="6"/>
      <c r="E136" s="6"/>
    </row>
    <row r="137" spans="4:5" x14ac:dyDescent="0.25">
      <c r="D137" s="6"/>
      <c r="E137" s="6"/>
    </row>
    <row r="138" spans="4:5" x14ac:dyDescent="0.25">
      <c r="D138" s="6"/>
      <c r="E138" s="6"/>
    </row>
    <row r="139" spans="4:5" x14ac:dyDescent="0.25">
      <c r="D139" s="6"/>
      <c r="E139" s="6"/>
    </row>
    <row r="140" spans="4:5" x14ac:dyDescent="0.25">
      <c r="D140" s="6"/>
      <c r="E140" s="6"/>
    </row>
    <row r="141" spans="4:5" x14ac:dyDescent="0.25">
      <c r="D141" s="6"/>
      <c r="E141" s="6"/>
    </row>
    <row r="142" spans="4:5" x14ac:dyDescent="0.25">
      <c r="D142" s="6"/>
      <c r="E142" s="6"/>
    </row>
    <row r="143" spans="4:5" x14ac:dyDescent="0.25">
      <c r="D143" s="6"/>
      <c r="E143" s="6"/>
    </row>
    <row r="144" spans="4:5" x14ac:dyDescent="0.25">
      <c r="D144" s="6"/>
      <c r="E144" s="6"/>
    </row>
    <row r="145" spans="4:5" x14ac:dyDescent="0.25">
      <c r="D145" s="6"/>
      <c r="E145" s="6"/>
    </row>
    <row r="146" spans="4:5" x14ac:dyDescent="0.25">
      <c r="D146" s="6"/>
      <c r="E146" s="6"/>
    </row>
    <row r="147" spans="4:5" x14ac:dyDescent="0.25">
      <c r="D147" s="6"/>
      <c r="E147" s="6"/>
    </row>
    <row r="148" spans="4:5" x14ac:dyDescent="0.25">
      <c r="D148" s="6"/>
      <c r="E148" s="6"/>
    </row>
    <row r="149" spans="4:5" x14ac:dyDescent="0.25">
      <c r="D149" s="6"/>
      <c r="E149" s="6"/>
    </row>
    <row r="150" spans="4:5" x14ac:dyDescent="0.25">
      <c r="D150" s="6"/>
      <c r="E150" s="6"/>
    </row>
    <row r="151" spans="4:5" x14ac:dyDescent="0.25">
      <c r="D151" s="6"/>
      <c r="E151" s="6"/>
    </row>
    <row r="152" spans="4:5" x14ac:dyDescent="0.25">
      <c r="D152" s="6"/>
      <c r="E152" s="6"/>
    </row>
    <row r="153" spans="4:5" x14ac:dyDescent="0.25">
      <c r="D153" s="6"/>
      <c r="E153" s="6"/>
    </row>
    <row r="154" spans="4:5" x14ac:dyDescent="0.25">
      <c r="D154" s="6"/>
      <c r="E154" s="6"/>
    </row>
    <row r="155" spans="4:5" x14ac:dyDescent="0.25">
      <c r="D155" s="6"/>
      <c r="E155" s="6"/>
    </row>
    <row r="156" spans="4:5" x14ac:dyDescent="0.25">
      <c r="D156" s="6"/>
      <c r="E156" s="6"/>
    </row>
    <row r="157" spans="4:5" x14ac:dyDescent="0.25">
      <c r="D157" s="6"/>
      <c r="E157" s="6"/>
    </row>
    <row r="158" spans="4:5" x14ac:dyDescent="0.25">
      <c r="D158" s="6"/>
      <c r="E158" s="6"/>
    </row>
    <row r="159" spans="4:5" x14ac:dyDescent="0.25">
      <c r="D159" s="6"/>
      <c r="E159" s="6"/>
    </row>
    <row r="160" spans="4:5" x14ac:dyDescent="0.25">
      <c r="D160" s="6"/>
      <c r="E160" s="6"/>
    </row>
    <row r="161" spans="4:5" x14ac:dyDescent="0.25">
      <c r="D161" s="6"/>
      <c r="E161" s="6"/>
    </row>
    <row r="162" spans="4:5" x14ac:dyDescent="0.25">
      <c r="D162" s="6"/>
      <c r="E162" s="6"/>
    </row>
    <row r="163" spans="4:5" x14ac:dyDescent="0.25">
      <c r="D163" s="6"/>
      <c r="E163" s="6"/>
    </row>
    <row r="164" spans="4:5" x14ac:dyDescent="0.25">
      <c r="D164" s="6"/>
      <c r="E164" s="6"/>
    </row>
    <row r="165" spans="4:5" x14ac:dyDescent="0.25">
      <c r="D165" s="6"/>
      <c r="E165" s="6"/>
    </row>
    <row r="166" spans="4:5" x14ac:dyDescent="0.25">
      <c r="D166" s="6"/>
      <c r="E166" s="6"/>
    </row>
    <row r="167" spans="4:5" x14ac:dyDescent="0.25">
      <c r="D167" s="6"/>
      <c r="E167" s="6"/>
    </row>
    <row r="168" spans="4:5" x14ac:dyDescent="0.25">
      <c r="D168" s="6"/>
      <c r="E168" s="6"/>
    </row>
    <row r="169" spans="4:5" x14ac:dyDescent="0.25">
      <c r="D169" s="6"/>
      <c r="E169" s="6"/>
    </row>
    <row r="170" spans="4:5" x14ac:dyDescent="0.25">
      <c r="D170" s="6"/>
      <c r="E170" s="6"/>
    </row>
    <row r="171" spans="4:5" x14ac:dyDescent="0.25">
      <c r="D171" s="6"/>
      <c r="E171" s="6"/>
    </row>
    <row r="172" spans="4:5" x14ac:dyDescent="0.25">
      <c r="D172" s="6"/>
      <c r="E172" s="6"/>
    </row>
    <row r="173" spans="4:5" x14ac:dyDescent="0.25">
      <c r="D173" s="6"/>
      <c r="E173" s="6"/>
    </row>
    <row r="174" spans="4:5" x14ac:dyDescent="0.25">
      <c r="D174" s="6"/>
      <c r="E174" s="6"/>
    </row>
    <row r="175" spans="4:5" x14ac:dyDescent="0.25">
      <c r="D175" s="6"/>
      <c r="E175" s="6"/>
    </row>
    <row r="176" spans="4:5" x14ac:dyDescent="0.25">
      <c r="D176" s="6"/>
      <c r="E176" s="6"/>
    </row>
    <row r="177" spans="4:5" x14ac:dyDescent="0.25">
      <c r="D177" s="6"/>
      <c r="E177" s="6"/>
    </row>
    <row r="178" spans="4:5" x14ac:dyDescent="0.25">
      <c r="D178" s="6"/>
      <c r="E178" s="6"/>
    </row>
    <row r="179" spans="4:5" x14ac:dyDescent="0.25">
      <c r="D179" s="6"/>
      <c r="E179" s="6"/>
    </row>
    <row r="180" spans="4:5" x14ac:dyDescent="0.25">
      <c r="D180" s="6"/>
      <c r="E180" s="6"/>
    </row>
    <row r="181" spans="4:5" x14ac:dyDescent="0.25">
      <c r="D181" s="6"/>
      <c r="E181" s="6"/>
    </row>
    <row r="182" spans="4:5" x14ac:dyDescent="0.25">
      <c r="D182" s="6"/>
      <c r="E182" s="6"/>
    </row>
    <row r="183" spans="4:5" x14ac:dyDescent="0.25">
      <c r="D183" s="6"/>
      <c r="E183" s="6"/>
    </row>
    <row r="184" spans="4:5" x14ac:dyDescent="0.25">
      <c r="D184" s="6"/>
      <c r="E184" s="6"/>
    </row>
    <row r="185" spans="4:5" x14ac:dyDescent="0.25">
      <c r="D185" s="6"/>
      <c r="E185" s="6"/>
    </row>
    <row r="186" spans="4:5" x14ac:dyDescent="0.25">
      <c r="D186" s="6"/>
      <c r="E186" s="6"/>
    </row>
    <row r="187" spans="4:5" x14ac:dyDescent="0.25">
      <c r="D187" s="6"/>
      <c r="E187" s="6"/>
    </row>
    <row r="188" spans="4:5" x14ac:dyDescent="0.25">
      <c r="D188" s="6"/>
      <c r="E188" s="6"/>
    </row>
    <row r="189" spans="4:5" x14ac:dyDescent="0.25">
      <c r="D189" s="6"/>
      <c r="E189" s="6"/>
    </row>
    <row r="190" spans="4:5" x14ac:dyDescent="0.25">
      <c r="D190" s="6"/>
      <c r="E190" s="6"/>
    </row>
    <row r="191" spans="4:5" x14ac:dyDescent="0.25">
      <c r="D191" s="6"/>
      <c r="E191" s="6"/>
    </row>
    <row r="192" spans="4:5" x14ac:dyDescent="0.25">
      <c r="D192" s="6"/>
      <c r="E192" s="6"/>
    </row>
    <row r="193" spans="4:5" x14ac:dyDescent="0.25">
      <c r="D193" s="6"/>
      <c r="E193" s="6"/>
    </row>
    <row r="194" spans="4:5" x14ac:dyDescent="0.25">
      <c r="D194" s="6"/>
      <c r="E194" s="6"/>
    </row>
    <row r="195" spans="4:5" x14ac:dyDescent="0.25">
      <c r="D195" s="6"/>
      <c r="E195" s="6"/>
    </row>
    <row r="196" spans="4:5" x14ac:dyDescent="0.25">
      <c r="D196" s="6"/>
      <c r="E196" s="6"/>
    </row>
    <row r="197" spans="4:5" x14ac:dyDescent="0.25">
      <c r="D197" s="6"/>
      <c r="E197" s="6"/>
    </row>
    <row r="198" spans="4:5" x14ac:dyDescent="0.25">
      <c r="D198" s="6"/>
      <c r="E198" s="6"/>
    </row>
    <row r="199" spans="4:5" x14ac:dyDescent="0.25">
      <c r="D199" s="6"/>
      <c r="E199" s="6"/>
    </row>
    <row r="200" spans="4:5" x14ac:dyDescent="0.25">
      <c r="D200" s="6"/>
      <c r="E200" s="6"/>
    </row>
    <row r="201" spans="4:5" x14ac:dyDescent="0.25">
      <c r="D201" s="6"/>
      <c r="E201" s="6"/>
    </row>
    <row r="202" spans="4:5" x14ac:dyDescent="0.25">
      <c r="D202" s="6"/>
      <c r="E202" s="6"/>
    </row>
    <row r="203" spans="4:5" x14ac:dyDescent="0.25">
      <c r="D203" s="6"/>
      <c r="E203" s="6"/>
    </row>
    <row r="204" spans="4:5" x14ac:dyDescent="0.25">
      <c r="D204" s="6"/>
      <c r="E204" s="6"/>
    </row>
    <row r="205" spans="4:5" x14ac:dyDescent="0.25">
      <c r="D205" s="6"/>
      <c r="E205" s="6"/>
    </row>
    <row r="206" spans="4:5" x14ac:dyDescent="0.25">
      <c r="D206" s="6"/>
      <c r="E206" s="6"/>
    </row>
    <row r="207" spans="4:5" x14ac:dyDescent="0.25">
      <c r="D207" s="6"/>
      <c r="E207" s="6"/>
    </row>
    <row r="208" spans="4:5" x14ac:dyDescent="0.25">
      <c r="D208" s="6"/>
      <c r="E208" s="6"/>
    </row>
    <row r="209" spans="4:5" x14ac:dyDescent="0.25">
      <c r="D209" s="6"/>
      <c r="E209" s="6"/>
    </row>
    <row r="210" spans="4:5" x14ac:dyDescent="0.25">
      <c r="D210" s="6"/>
      <c r="E210" s="6"/>
    </row>
    <row r="211" spans="4:5" x14ac:dyDescent="0.25">
      <c r="D211" s="6"/>
      <c r="E211" s="6"/>
    </row>
    <row r="212" spans="4:5" x14ac:dyDescent="0.25">
      <c r="D212" s="6"/>
      <c r="E212" s="6"/>
    </row>
    <row r="213" spans="4:5" x14ac:dyDescent="0.25">
      <c r="D213" s="6"/>
      <c r="E213" s="6"/>
    </row>
    <row r="214" spans="4:5" x14ac:dyDescent="0.25">
      <c r="D214" s="6"/>
      <c r="E214" s="6"/>
    </row>
    <row r="215" spans="4:5" x14ac:dyDescent="0.25">
      <c r="D215" s="6"/>
      <c r="E215" s="6"/>
    </row>
    <row r="216" spans="4:5" x14ac:dyDescent="0.25">
      <c r="D216" s="6"/>
      <c r="E216" s="6"/>
    </row>
    <row r="217" spans="4:5" x14ac:dyDescent="0.25">
      <c r="D217" s="6"/>
      <c r="E217" s="6"/>
    </row>
    <row r="218" spans="4:5" x14ac:dyDescent="0.25">
      <c r="D218" s="6"/>
      <c r="E218" s="6"/>
    </row>
    <row r="219" spans="4:5" x14ac:dyDescent="0.25">
      <c r="D219" s="6"/>
      <c r="E219" s="6"/>
    </row>
    <row r="220" spans="4:5" x14ac:dyDescent="0.25">
      <c r="D220" s="6"/>
      <c r="E220" s="6"/>
    </row>
    <row r="221" spans="4:5" x14ac:dyDescent="0.25">
      <c r="D221" s="6"/>
      <c r="E221" s="6"/>
    </row>
    <row r="222" spans="4:5" x14ac:dyDescent="0.25">
      <c r="D222" s="6"/>
      <c r="E222" s="6"/>
    </row>
    <row r="223" spans="4:5" x14ac:dyDescent="0.25">
      <c r="D223" s="6"/>
      <c r="E223" s="6"/>
    </row>
    <row r="224" spans="4:5" x14ac:dyDescent="0.25">
      <c r="D224" s="6"/>
      <c r="E224" s="6"/>
    </row>
    <row r="225" spans="4:5" x14ac:dyDescent="0.25">
      <c r="D225" s="6"/>
      <c r="E225" s="6"/>
    </row>
    <row r="226" spans="4:5" x14ac:dyDescent="0.25">
      <c r="D226" s="6"/>
      <c r="E226" s="6"/>
    </row>
    <row r="227" spans="4:5" x14ac:dyDescent="0.25">
      <c r="D227" s="6"/>
      <c r="E227" s="6"/>
    </row>
    <row r="228" spans="4:5" x14ac:dyDescent="0.25">
      <c r="D228" s="6"/>
      <c r="E228" s="6"/>
    </row>
    <row r="229" spans="4:5" x14ac:dyDescent="0.25">
      <c r="D229" s="6"/>
      <c r="E229" s="6"/>
    </row>
    <row r="230" spans="4:5" x14ac:dyDescent="0.25">
      <c r="D230" s="6"/>
      <c r="E230" s="6"/>
    </row>
    <row r="231" spans="4:5" x14ac:dyDescent="0.25">
      <c r="D231" s="6"/>
      <c r="E231" s="6"/>
    </row>
    <row r="232" spans="4:5" x14ac:dyDescent="0.25">
      <c r="D232" s="6"/>
      <c r="E232" s="6"/>
    </row>
    <row r="233" spans="4:5" x14ac:dyDescent="0.25">
      <c r="D233" s="6"/>
      <c r="E233" s="6"/>
    </row>
    <row r="234" spans="4:5" x14ac:dyDescent="0.25">
      <c r="D234" s="6"/>
      <c r="E234" s="6"/>
    </row>
    <row r="235" spans="4:5" x14ac:dyDescent="0.25">
      <c r="D235" s="6"/>
      <c r="E235" s="6"/>
    </row>
    <row r="236" spans="4:5" x14ac:dyDescent="0.25">
      <c r="D236" s="6"/>
      <c r="E236" s="6"/>
    </row>
    <row r="237" spans="4:5" x14ac:dyDescent="0.25">
      <c r="D237" s="6"/>
      <c r="E237" s="6"/>
    </row>
    <row r="238" spans="4:5" x14ac:dyDescent="0.25">
      <c r="D238" s="6"/>
      <c r="E238" s="6"/>
    </row>
    <row r="239" spans="4:5" x14ac:dyDescent="0.25">
      <c r="D239" s="6"/>
      <c r="E239" s="6"/>
    </row>
    <row r="240" spans="4:5" x14ac:dyDescent="0.25">
      <c r="D240" s="6"/>
      <c r="E240" s="6"/>
    </row>
    <row r="241" spans="4:5" x14ac:dyDescent="0.25">
      <c r="D241" s="6"/>
      <c r="E241" s="6"/>
    </row>
    <row r="242" spans="4:5" x14ac:dyDescent="0.25">
      <c r="D242" s="6"/>
      <c r="E242" s="6"/>
    </row>
    <row r="243" spans="4:5" x14ac:dyDescent="0.25">
      <c r="D243" s="6"/>
      <c r="E243" s="6"/>
    </row>
    <row r="244" spans="4:5" x14ac:dyDescent="0.25">
      <c r="D244" s="6"/>
      <c r="E244" s="6"/>
    </row>
    <row r="245" spans="4:5" x14ac:dyDescent="0.25">
      <c r="D245" s="6"/>
      <c r="E245" s="6"/>
    </row>
    <row r="246" spans="4:5" x14ac:dyDescent="0.25">
      <c r="D246" s="6"/>
      <c r="E246" s="6"/>
    </row>
    <row r="247" spans="4:5" x14ac:dyDescent="0.25">
      <c r="D247" s="6"/>
      <c r="E247" s="6"/>
    </row>
    <row r="248" spans="4:5" x14ac:dyDescent="0.25">
      <c r="D248" s="6"/>
      <c r="E248" s="6"/>
    </row>
    <row r="249" spans="4:5" x14ac:dyDescent="0.25">
      <c r="D249" s="6"/>
      <c r="E249" s="6"/>
    </row>
    <row r="250" spans="4:5" x14ac:dyDescent="0.25">
      <c r="D250" s="6"/>
      <c r="E250" s="6"/>
    </row>
    <row r="251" spans="4:5" x14ac:dyDescent="0.25">
      <c r="D251" s="6"/>
      <c r="E251" s="6"/>
    </row>
    <row r="252" spans="4:5" x14ac:dyDescent="0.25">
      <c r="D252" s="6"/>
      <c r="E252" s="6"/>
    </row>
  </sheetData>
  <mergeCells count="2">
    <mergeCell ref="H1:M1"/>
    <mergeCell ref="H42:M4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Monthly DoR</vt:lpstr>
      <vt:lpstr>Spread Template Monthly 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2020-11-09T08:44:58Z</dcterms:created>
  <dcterms:modified xsi:type="dcterms:W3CDTF">2021-12-23T20:34:41Z</dcterms:modified>
</cp:coreProperties>
</file>