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WORK\2. ITPM\ITPM Courses\PTM 2.0\2020 NEW\PTM 2.0\Video 41 - Trading Stats &amp; Track Record 1 - Master Sheet\"/>
    </mc:Choice>
  </mc:AlternateContent>
  <xr:revisionPtr revIDLastSave="0" documentId="13_ncr:1_{642EEF26-3EDE-4B41-8C27-74D16D1DE8D4}" xr6:coauthVersionLast="47" xr6:coauthVersionMax="47" xr10:uidLastSave="{00000000-0000-0000-0000-000000000000}"/>
  <bookViews>
    <workbookView xWindow="-120" yWindow="-120" windowWidth="29040" windowHeight="15840" activeTab="2" xr2:uid="{DDFE37DD-1636-4E00-8422-035A5980771B}"/>
  </bookViews>
  <sheets>
    <sheet name="Portfolio Monitor" sheetId="3" r:id="rId1"/>
    <sheet name="Realized PnL" sheetId="2" r:id="rId2"/>
    <sheet name="Portfolio Value" sheetId="1" r:id="rId3"/>
  </sheets>
  <definedNames>
    <definedName name="_xlnm._FilterDatabase" localSheetId="1" hidden="1">'Realized PnL'!$A$6:$M$122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C9" i="1" a="1"/>
  <c r="C9" i="1" s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4" i="3"/>
  <c r="C8" i="1" l="1"/>
  <c r="D8" i="1" s="1"/>
  <c r="C5" i="1"/>
  <c r="C3" i="1"/>
  <c r="D3" i="1" s="1"/>
  <c r="H53" i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52" i="1"/>
  <c r="H51" i="1"/>
  <c r="H21" i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20" i="1"/>
  <c r="H19" i="1"/>
  <c r="J17" i="3"/>
  <c r="J18" i="3"/>
  <c r="J19" i="3"/>
  <c r="J20" i="3"/>
  <c r="J21" i="3"/>
  <c r="J22" i="3"/>
  <c r="J23" i="3"/>
  <c r="I19" i="1" l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9" i="1"/>
  <c r="J83" i="2"/>
  <c r="J118" i="2"/>
  <c r="L17" i="3"/>
  <c r="L18" i="3"/>
  <c r="L19" i="3"/>
  <c r="L20" i="3"/>
  <c r="L21" i="3"/>
  <c r="L22" i="3"/>
  <c r="L23" i="3"/>
  <c r="K17" i="3"/>
  <c r="K18" i="3"/>
  <c r="K19" i="3"/>
  <c r="K20" i="3"/>
  <c r="K21" i="3"/>
  <c r="K22" i="3"/>
  <c r="K23" i="3"/>
  <c r="I20" i="1" l="1"/>
  <c r="L83" i="2"/>
  <c r="K83" i="2"/>
  <c r="M83" i="2" s="1"/>
  <c r="L118" i="2"/>
  <c r="K118" i="2"/>
  <c r="M118" i="2" s="1"/>
  <c r="L16" i="3"/>
  <c r="L15" i="3"/>
  <c r="L14" i="3"/>
  <c r="L13" i="3"/>
  <c r="L12" i="3"/>
  <c r="L11" i="3"/>
  <c r="L10" i="3"/>
  <c r="L9" i="3"/>
  <c r="L8" i="3"/>
  <c r="L7" i="3"/>
  <c r="L6" i="3"/>
  <c r="J5" i="3"/>
  <c r="L5" i="3"/>
  <c r="K5" i="3"/>
  <c r="K4" i="3"/>
  <c r="L4" i="3"/>
  <c r="J4" i="3"/>
  <c r="J16" i="3"/>
  <c r="K16" i="3"/>
  <c r="J15" i="3"/>
  <c r="K15" i="3"/>
  <c r="K14" i="3"/>
  <c r="J14" i="3"/>
  <c r="K13" i="3"/>
  <c r="J13" i="3"/>
  <c r="J12" i="3"/>
  <c r="K12" i="3"/>
  <c r="K11" i="3"/>
  <c r="J11" i="3"/>
  <c r="K10" i="3"/>
  <c r="J10" i="3"/>
  <c r="K9" i="3"/>
  <c r="J9" i="3"/>
  <c r="K8" i="3"/>
  <c r="J8" i="3"/>
  <c r="K7" i="3"/>
  <c r="J7" i="3"/>
  <c r="J6" i="3"/>
  <c r="K6" i="3"/>
  <c r="J24" i="3" l="1"/>
  <c r="I24" i="3"/>
  <c r="I21" i="1"/>
  <c r="J20" i="1"/>
  <c r="L24" i="3"/>
  <c r="P32" i="2"/>
  <c r="P27" i="2"/>
  <c r="P28" i="2"/>
  <c r="P29" i="2"/>
  <c r="P30" i="2"/>
  <c r="P31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9" i="2"/>
  <c r="P10" i="2"/>
  <c r="J113" i="2"/>
  <c r="J119" i="2"/>
  <c r="J62" i="2"/>
  <c r="J35" i="2"/>
  <c r="J25" i="3" l="1"/>
  <c r="K20" i="1"/>
  <c r="I22" i="1"/>
  <c r="J21" i="1"/>
  <c r="K119" i="2"/>
  <c r="M119" i="2" s="1"/>
  <c r="L119" i="2"/>
  <c r="L7" i="2"/>
  <c r="L105" i="2"/>
  <c r="L120" i="2"/>
  <c r="K113" i="2"/>
  <c r="M113" i="2" s="1"/>
  <c r="L113" i="2"/>
  <c r="K35" i="2"/>
  <c r="M35" i="2" s="1"/>
  <c r="L35" i="2"/>
  <c r="L122" i="2"/>
  <c r="K62" i="2"/>
  <c r="M62" i="2" s="1"/>
  <c r="L62" i="2"/>
  <c r="L87" i="2"/>
  <c r="L81" i="2"/>
  <c r="L73" i="2"/>
  <c r="L41" i="2"/>
  <c r="L117" i="2"/>
  <c r="L39" i="2"/>
  <c r="L63" i="2"/>
  <c r="L67" i="2"/>
  <c r="L72" i="2"/>
  <c r="L80" i="2"/>
  <c r="L106" i="2"/>
  <c r="L121" i="2"/>
  <c r="K21" i="1" l="1"/>
  <c r="I23" i="1"/>
  <c r="J22" i="1"/>
  <c r="L8" i="2"/>
  <c r="L43" i="2"/>
  <c r="L64" i="2"/>
  <c r="L10" i="2"/>
  <c r="L99" i="2"/>
  <c r="L69" i="2"/>
  <c r="L94" i="2"/>
  <c r="L58" i="2"/>
  <c r="L37" i="2"/>
  <c r="L12" i="2"/>
  <c r="L27" i="2"/>
  <c r="L34" i="2"/>
  <c r="L16" i="2"/>
  <c r="L40" i="2"/>
  <c r="L91" i="2"/>
  <c r="L52" i="2"/>
  <c r="L47" i="2"/>
  <c r="L18" i="2"/>
  <c r="L46" i="2"/>
  <c r="L103" i="2"/>
  <c r="L21" i="2"/>
  <c r="L56" i="2"/>
  <c r="L22" i="2"/>
  <c r="L28" i="2"/>
  <c r="L49" i="2"/>
  <c r="L60" i="2"/>
  <c r="L44" i="2"/>
  <c r="L26" i="2"/>
  <c r="L75" i="2"/>
  <c r="L59" i="2"/>
  <c r="L71" i="2"/>
  <c r="L79" i="2"/>
  <c r="L38" i="2"/>
  <c r="L66" i="2"/>
  <c r="L54" i="2"/>
  <c r="L97" i="2"/>
  <c r="L48" i="2"/>
  <c r="L74" i="2"/>
  <c r="L90" i="2"/>
  <c r="L45" i="2"/>
  <c r="L100" i="2"/>
  <c r="L98" i="2"/>
  <c r="L110" i="2"/>
  <c r="L61" i="2"/>
  <c r="L50" i="2"/>
  <c r="L116" i="2"/>
  <c r="L76" i="2"/>
  <c r="L84" i="2"/>
  <c r="L9" i="2"/>
  <c r="L86" i="2"/>
  <c r="L85" i="2"/>
  <c r="L108" i="2"/>
  <c r="L30" i="2"/>
  <c r="L15" i="2"/>
  <c r="L51" i="2"/>
  <c r="L33" i="2"/>
  <c r="L107" i="2"/>
  <c r="L17" i="2"/>
  <c r="L115" i="2"/>
  <c r="L29" i="2"/>
  <c r="L82" i="2"/>
  <c r="L102" i="2"/>
  <c r="L96" i="2"/>
  <c r="L68" i="2"/>
  <c r="L19" i="2"/>
  <c r="L114" i="2"/>
  <c r="L32" i="2"/>
  <c r="L88" i="2"/>
  <c r="L55" i="2"/>
  <c r="L92" i="2"/>
  <c r="L89" i="2"/>
  <c r="L20" i="2"/>
  <c r="L104" i="2"/>
  <c r="L112" i="2"/>
  <c r="L23" i="2"/>
  <c r="L11" i="2"/>
  <c r="L42" i="2"/>
  <c r="L101" i="2"/>
  <c r="L14" i="2"/>
  <c r="L78" i="2"/>
  <c r="L111" i="2"/>
  <c r="L95" i="2"/>
  <c r="L24" i="2"/>
  <c r="L77" i="2"/>
  <c r="L70" i="2"/>
  <c r="L13" i="2"/>
  <c r="L36" i="2"/>
  <c r="L53" i="2"/>
  <c r="L65" i="2"/>
  <c r="L57" i="2"/>
  <c r="L93" i="2"/>
  <c r="L25" i="2"/>
  <c r="L31" i="2"/>
  <c r="L109" i="2"/>
  <c r="K22" i="1" l="1"/>
  <c r="I24" i="1"/>
  <c r="J23" i="1"/>
  <c r="K23" i="1" l="1"/>
  <c r="I25" i="1"/>
  <c r="J24" i="1"/>
  <c r="J55" i="2"/>
  <c r="J64" i="2"/>
  <c r="J56" i="2"/>
  <c r="J58" i="2"/>
  <c r="J63" i="2"/>
  <c r="J60" i="2"/>
  <c r="J61" i="2"/>
  <c r="J68" i="2"/>
  <c r="J70" i="2"/>
  <c r="J67" i="2"/>
  <c r="J73" i="2"/>
  <c r="J72" i="2"/>
  <c r="J66" i="2"/>
  <c r="J69" i="2"/>
  <c r="J75" i="2"/>
  <c r="J65" i="2"/>
  <c r="J71" i="2"/>
  <c r="J77" i="2"/>
  <c r="J78" i="2"/>
  <c r="J80" i="2"/>
  <c r="J87" i="2"/>
  <c r="J91" i="2"/>
  <c r="J86" i="2"/>
  <c r="J76" i="2"/>
  <c r="J74" i="2"/>
  <c r="J89" i="2"/>
  <c r="J90" i="2"/>
  <c r="J84" i="2"/>
  <c r="J93" i="2"/>
  <c r="J79" i="2"/>
  <c r="J82" i="2"/>
  <c r="J92" i="2"/>
  <c r="J94" i="2"/>
  <c r="J95" i="2"/>
  <c r="J102" i="2"/>
  <c r="J96" i="2"/>
  <c r="J97" i="2"/>
  <c r="J81" i="2"/>
  <c r="J88" i="2"/>
  <c r="J98" i="2"/>
  <c r="J85" i="2"/>
  <c r="J104" i="2"/>
  <c r="J100" i="2"/>
  <c r="J109" i="2"/>
  <c r="J107" i="2"/>
  <c r="J99" i="2"/>
  <c r="J106" i="2"/>
  <c r="J101" i="2"/>
  <c r="J103" i="2"/>
  <c r="J108" i="2"/>
  <c r="J110" i="2"/>
  <c r="J111" i="2"/>
  <c r="J121" i="2"/>
  <c r="J112" i="2"/>
  <c r="J114" i="2"/>
  <c r="J105" i="2"/>
  <c r="J115" i="2"/>
  <c r="J116" i="2"/>
  <c r="J120" i="2"/>
  <c r="J117" i="2"/>
  <c r="J122" i="2"/>
  <c r="J7" i="2"/>
  <c r="J8" i="2"/>
  <c r="J14" i="2"/>
  <c r="J13" i="2"/>
  <c r="J9" i="2"/>
  <c r="J10" i="2"/>
  <c r="J12" i="2"/>
  <c r="J15" i="2"/>
  <c r="J20" i="2"/>
  <c r="J19" i="2"/>
  <c r="J18" i="2"/>
  <c r="J17" i="2"/>
  <c r="J22" i="2"/>
  <c r="J21" i="2"/>
  <c r="J25" i="2"/>
  <c r="J24" i="2"/>
  <c r="J16" i="2"/>
  <c r="J29" i="2"/>
  <c r="J28" i="2"/>
  <c r="J27" i="2"/>
  <c r="J23" i="2"/>
  <c r="J11" i="2"/>
  <c r="J34" i="2"/>
  <c r="J30" i="2"/>
  <c r="J31" i="2"/>
  <c r="J32" i="2"/>
  <c r="J33" i="2"/>
  <c r="J26" i="2"/>
  <c r="J36" i="2"/>
  <c r="J38" i="2"/>
  <c r="J37" i="2"/>
  <c r="J40" i="2"/>
  <c r="J42" i="2"/>
  <c r="J41" i="2"/>
  <c r="J48" i="2"/>
  <c r="J43" i="2"/>
  <c r="J39" i="2"/>
  <c r="J44" i="2"/>
  <c r="J45" i="2"/>
  <c r="J46" i="2"/>
  <c r="J47" i="2"/>
  <c r="J57" i="2"/>
  <c r="J49" i="2"/>
  <c r="J50" i="2"/>
  <c r="J59" i="2"/>
  <c r="J51" i="2"/>
  <c r="J52" i="2"/>
  <c r="J53" i="2"/>
  <c r="J54" i="2"/>
  <c r="K24" i="1" l="1"/>
  <c r="I26" i="1"/>
  <c r="J25" i="1"/>
  <c r="K105" i="2"/>
  <c r="M105" i="2" s="1"/>
  <c r="K106" i="2"/>
  <c r="M106" i="2" s="1"/>
  <c r="K71" i="2"/>
  <c r="M71" i="2" s="1"/>
  <c r="K58" i="2"/>
  <c r="M58" i="2" s="1"/>
  <c r="K64" i="2"/>
  <c r="M64" i="2" s="1"/>
  <c r="K55" i="2"/>
  <c r="M55" i="2" s="1"/>
  <c r="K95" i="2"/>
  <c r="M95" i="2" s="1"/>
  <c r="K103" i="2"/>
  <c r="M103" i="2" s="1"/>
  <c r="K89" i="2"/>
  <c r="M89" i="2" s="1"/>
  <c r="K65" i="2"/>
  <c r="M65" i="2" s="1"/>
  <c r="K110" i="2"/>
  <c r="M110" i="2" s="1"/>
  <c r="K82" i="2"/>
  <c r="M82" i="2" s="1"/>
  <c r="K78" i="2"/>
  <c r="M78" i="2" s="1"/>
  <c r="K116" i="2"/>
  <c r="M116" i="2" s="1"/>
  <c r="K114" i="2"/>
  <c r="M114" i="2" s="1"/>
  <c r="K99" i="2"/>
  <c r="M99" i="2" s="1"/>
  <c r="K100" i="2"/>
  <c r="M100" i="2" s="1"/>
  <c r="K81" i="2"/>
  <c r="M81" i="2" s="1"/>
  <c r="K94" i="2"/>
  <c r="M94" i="2" s="1"/>
  <c r="K79" i="2"/>
  <c r="M79" i="2" s="1"/>
  <c r="K74" i="2"/>
  <c r="M74" i="2" s="1"/>
  <c r="K77" i="2"/>
  <c r="M77" i="2" s="1"/>
  <c r="K75" i="2"/>
  <c r="M75" i="2" s="1"/>
  <c r="K68" i="2"/>
  <c r="K60" i="2"/>
  <c r="M60" i="2" s="1"/>
  <c r="K98" i="2"/>
  <c r="M98" i="2" s="1"/>
  <c r="K87" i="2"/>
  <c r="M87" i="2" s="1"/>
  <c r="K88" i="2"/>
  <c r="M88" i="2" s="1"/>
  <c r="K122" i="2"/>
  <c r="M122" i="2" s="1"/>
  <c r="K121" i="2"/>
  <c r="M121" i="2" s="1"/>
  <c r="K111" i="2"/>
  <c r="M111" i="2" s="1"/>
  <c r="K104" i="2"/>
  <c r="M104" i="2" s="1"/>
  <c r="K97" i="2"/>
  <c r="M97" i="2" s="1"/>
  <c r="K92" i="2"/>
  <c r="M92" i="2" s="1"/>
  <c r="K93" i="2"/>
  <c r="M93" i="2" s="1"/>
  <c r="K66" i="2"/>
  <c r="M66" i="2" s="1"/>
  <c r="K73" i="2"/>
  <c r="M73" i="2" s="1"/>
  <c r="K61" i="2"/>
  <c r="M61" i="2" s="1"/>
  <c r="K56" i="2"/>
  <c r="M56" i="2" s="1"/>
  <c r="K112" i="2"/>
  <c r="M112" i="2" s="1"/>
  <c r="K67" i="2"/>
  <c r="M67" i="2" s="1"/>
  <c r="K108" i="2"/>
  <c r="M108" i="2" s="1"/>
  <c r="K107" i="2"/>
  <c r="M107" i="2" s="1"/>
  <c r="K85" i="2"/>
  <c r="M85" i="2" s="1"/>
  <c r="K96" i="2"/>
  <c r="M96" i="2" s="1"/>
  <c r="K76" i="2"/>
  <c r="M76" i="2" s="1"/>
  <c r="K91" i="2"/>
  <c r="M91" i="2" s="1"/>
  <c r="K69" i="2"/>
  <c r="M69" i="2" s="1"/>
  <c r="K70" i="2"/>
  <c r="M70" i="2" s="1"/>
  <c r="K63" i="2"/>
  <c r="M63" i="2" s="1"/>
  <c r="K117" i="2"/>
  <c r="M117" i="2" s="1"/>
  <c r="K109" i="2"/>
  <c r="M109" i="2" s="1"/>
  <c r="K72" i="2"/>
  <c r="M72" i="2" s="1"/>
  <c r="K86" i="2"/>
  <c r="M86" i="2" s="1"/>
  <c r="K115" i="2"/>
  <c r="M115" i="2" s="1"/>
  <c r="K101" i="2"/>
  <c r="M101" i="2" s="1"/>
  <c r="K102" i="2"/>
  <c r="M102" i="2" s="1"/>
  <c r="K84" i="2"/>
  <c r="M84" i="2" s="1"/>
  <c r="K90" i="2"/>
  <c r="M90" i="2" s="1"/>
  <c r="K80" i="2"/>
  <c r="M80" i="2" s="1"/>
  <c r="K120" i="2"/>
  <c r="M120" i="2" s="1"/>
  <c r="K50" i="2"/>
  <c r="M50" i="2" s="1"/>
  <c r="K45" i="2"/>
  <c r="M45" i="2" s="1"/>
  <c r="K38" i="2"/>
  <c r="M38" i="2" s="1"/>
  <c r="K32" i="2"/>
  <c r="M32" i="2" s="1"/>
  <c r="K23" i="2"/>
  <c r="M23" i="2" s="1"/>
  <c r="K28" i="2"/>
  <c r="M28" i="2" s="1"/>
  <c r="K24" i="2"/>
  <c r="M24" i="2" s="1"/>
  <c r="K21" i="2"/>
  <c r="M21" i="2" s="1"/>
  <c r="K20" i="2"/>
  <c r="M20" i="2" s="1"/>
  <c r="K12" i="2"/>
  <c r="M12" i="2" s="1"/>
  <c r="K8" i="2"/>
  <c r="M8" i="2" s="1"/>
  <c r="K51" i="2"/>
  <c r="M51" i="2" s="1"/>
  <c r="K44" i="2"/>
  <c r="M44" i="2" s="1"/>
  <c r="K48" i="2"/>
  <c r="M48" i="2" s="1"/>
  <c r="K36" i="2"/>
  <c r="M36" i="2" s="1"/>
  <c r="K7" i="2"/>
  <c r="K54" i="2"/>
  <c r="M54" i="2" s="1"/>
  <c r="K59" i="2"/>
  <c r="M59" i="2" s="1"/>
  <c r="K26" i="2"/>
  <c r="M26" i="2" s="1"/>
  <c r="K31" i="2"/>
  <c r="M31" i="2" s="1"/>
  <c r="K34" i="2"/>
  <c r="M34" i="2" s="1"/>
  <c r="K15" i="2"/>
  <c r="M15" i="2" s="1"/>
  <c r="K9" i="2"/>
  <c r="M9" i="2" s="1"/>
  <c r="K41" i="2"/>
  <c r="M41" i="2" s="1"/>
  <c r="K11" i="2"/>
  <c r="M11" i="2" s="1"/>
  <c r="K29" i="2"/>
  <c r="M29" i="2" s="1"/>
  <c r="K16" i="2"/>
  <c r="K17" i="2"/>
  <c r="M17" i="2" s="1"/>
  <c r="K13" i="2"/>
  <c r="M13" i="2" s="1"/>
  <c r="K53" i="2"/>
  <c r="M53" i="2" s="1"/>
  <c r="K49" i="2"/>
  <c r="M49" i="2" s="1"/>
  <c r="K47" i="2"/>
  <c r="M47" i="2" s="1"/>
  <c r="K39" i="2"/>
  <c r="M39" i="2" s="1"/>
  <c r="K42" i="2"/>
  <c r="M42" i="2" s="1"/>
  <c r="K33" i="2"/>
  <c r="M33" i="2" s="1"/>
  <c r="K30" i="2"/>
  <c r="M30" i="2" s="1"/>
  <c r="K22" i="2"/>
  <c r="M22" i="2" s="1"/>
  <c r="K19" i="2"/>
  <c r="M19" i="2" s="1"/>
  <c r="K10" i="2"/>
  <c r="M10" i="2" s="1"/>
  <c r="K14" i="2"/>
  <c r="M14" i="2" s="1"/>
  <c r="K52" i="2"/>
  <c r="M52" i="2" s="1"/>
  <c r="K57" i="2"/>
  <c r="M57" i="2" s="1"/>
  <c r="K46" i="2"/>
  <c r="M46" i="2" s="1"/>
  <c r="K43" i="2"/>
  <c r="M43" i="2" s="1"/>
  <c r="K40" i="2"/>
  <c r="M40" i="2" s="1"/>
  <c r="K37" i="2"/>
  <c r="M37" i="2" s="1"/>
  <c r="K27" i="2"/>
  <c r="M27" i="2" s="1"/>
  <c r="K25" i="2"/>
  <c r="M25" i="2" s="1"/>
  <c r="K18" i="2"/>
  <c r="M18" i="2" s="1"/>
  <c r="M68" i="2" l="1"/>
  <c r="P35" i="2"/>
  <c r="S35" i="2"/>
  <c r="S36" i="2"/>
  <c r="P36" i="2"/>
  <c r="M7" i="2"/>
  <c r="Q32" i="2"/>
  <c r="Q20" i="2"/>
  <c r="Q21" i="2"/>
  <c r="Q31" i="2"/>
  <c r="Q19" i="2"/>
  <c r="Q30" i="2"/>
  <c r="Q18" i="2"/>
  <c r="Q29" i="2"/>
  <c r="Q17" i="2"/>
  <c r="Q28" i="2"/>
  <c r="Q16" i="2"/>
  <c r="Q27" i="2"/>
  <c r="Q15" i="2"/>
  <c r="Q9" i="2"/>
  <c r="Q26" i="2"/>
  <c r="Q14" i="2"/>
  <c r="Q25" i="2"/>
  <c r="Q13" i="2"/>
  <c r="Q10" i="2"/>
  <c r="Q24" i="2"/>
  <c r="Q12" i="2"/>
  <c r="Q23" i="2"/>
  <c r="Q11" i="2"/>
  <c r="Q22" i="2"/>
  <c r="K25" i="1"/>
  <c r="I27" i="1"/>
  <c r="J26" i="1"/>
  <c r="M16" i="2"/>
  <c r="E4" i="2" s="1"/>
  <c r="E2" i="2" l="1"/>
  <c r="I2" i="2" s="1"/>
  <c r="R23" i="2"/>
  <c r="R11" i="2"/>
  <c r="R16" i="2"/>
  <c r="R17" i="2"/>
  <c r="E3" i="2"/>
  <c r="I3" i="2" s="1"/>
  <c r="R24" i="2"/>
  <c r="R29" i="2"/>
  <c r="R28" i="2"/>
  <c r="R18" i="2"/>
  <c r="G3" i="2"/>
  <c r="R25" i="2"/>
  <c r="R19" i="2"/>
  <c r="R30" i="2"/>
  <c r="R26" i="2"/>
  <c r="R21" i="2"/>
  <c r="R12" i="2"/>
  <c r="R14" i="2"/>
  <c r="R9" i="2"/>
  <c r="R20" i="2"/>
  <c r="R10" i="2"/>
  <c r="G2" i="2"/>
  <c r="R31" i="2"/>
  <c r="R15" i="2"/>
  <c r="R32" i="2"/>
  <c r="R13" i="2"/>
  <c r="R22" i="2"/>
  <c r="R27" i="2"/>
  <c r="K26" i="1"/>
  <c r="I28" i="1"/>
  <c r="J27" i="1"/>
  <c r="K2" i="2" l="1"/>
  <c r="G4" i="2"/>
  <c r="K27" i="1"/>
  <c r="I29" i="1"/>
  <c r="J28" i="1"/>
  <c r="K28" i="1" l="1"/>
  <c r="I30" i="1"/>
  <c r="J29" i="1"/>
  <c r="S9" i="2"/>
  <c r="S10" i="2" l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K29" i="1"/>
  <c r="I31" i="1"/>
  <c r="J30" i="1"/>
  <c r="K30" i="1" l="1"/>
  <c r="I32" i="1"/>
  <c r="J31" i="1"/>
  <c r="S27" i="2"/>
  <c r="S28" i="2" s="1"/>
  <c r="S29" i="2" s="1"/>
  <c r="S30" i="2" s="1"/>
  <c r="S31" i="2" s="1"/>
  <c r="S32" i="2" s="1"/>
  <c r="K31" i="1" l="1"/>
  <c r="I33" i="1"/>
  <c r="J32" i="1"/>
  <c r="K32" i="1" l="1"/>
  <c r="I34" i="1"/>
  <c r="J33" i="1"/>
  <c r="K33" i="1" l="1"/>
  <c r="I35" i="1"/>
  <c r="J34" i="1"/>
  <c r="K34" i="1" l="1"/>
  <c r="I36" i="1"/>
  <c r="J35" i="1"/>
  <c r="K35" i="1" l="1"/>
  <c r="I37" i="1"/>
  <c r="J36" i="1"/>
  <c r="K36" i="1" l="1"/>
  <c r="I38" i="1"/>
  <c r="J37" i="1"/>
  <c r="K37" i="1" l="1"/>
  <c r="I39" i="1"/>
  <c r="J38" i="1"/>
  <c r="K38" i="1" l="1"/>
  <c r="I40" i="1"/>
  <c r="J39" i="1"/>
  <c r="K39" i="1" l="1"/>
  <c r="I41" i="1"/>
  <c r="J40" i="1"/>
  <c r="K40" i="1" l="1"/>
  <c r="I42" i="1"/>
  <c r="J41" i="1"/>
  <c r="K41" i="1" l="1"/>
  <c r="I43" i="1"/>
  <c r="J42" i="1"/>
  <c r="K42" i="1" l="1"/>
  <c r="I44" i="1"/>
  <c r="J43" i="1"/>
  <c r="K43" i="1" l="1"/>
  <c r="I45" i="1"/>
  <c r="J44" i="1"/>
  <c r="K44" i="1" l="1"/>
  <c r="I46" i="1"/>
  <c r="J45" i="1"/>
  <c r="K45" i="1" l="1"/>
  <c r="I47" i="1"/>
  <c r="J46" i="1"/>
  <c r="K46" i="1" l="1"/>
  <c r="I48" i="1"/>
  <c r="J47" i="1"/>
  <c r="K47" i="1" l="1"/>
  <c r="I49" i="1"/>
  <c r="J48" i="1"/>
  <c r="K48" i="1" l="1"/>
  <c r="I50" i="1"/>
  <c r="J49" i="1"/>
  <c r="K49" i="1" l="1"/>
  <c r="I51" i="1"/>
  <c r="J50" i="1"/>
  <c r="K50" i="1" l="1"/>
  <c r="I52" i="1"/>
  <c r="J51" i="1"/>
  <c r="K51" i="1" l="1"/>
  <c r="I53" i="1"/>
  <c r="J52" i="1"/>
  <c r="K52" i="1" l="1"/>
  <c r="I54" i="1"/>
  <c r="J53" i="1"/>
  <c r="K53" i="1" l="1"/>
  <c r="I55" i="1"/>
  <c r="J54" i="1"/>
  <c r="K54" i="1" l="1"/>
  <c r="I56" i="1"/>
  <c r="J55" i="1"/>
  <c r="K55" i="1" l="1"/>
  <c r="I57" i="1"/>
  <c r="J56" i="1"/>
  <c r="K56" i="1" l="1"/>
  <c r="I58" i="1"/>
  <c r="J57" i="1"/>
  <c r="K57" i="1" l="1"/>
  <c r="I59" i="1"/>
  <c r="J58" i="1"/>
  <c r="K58" i="1" l="1"/>
  <c r="I60" i="1"/>
  <c r="J59" i="1"/>
  <c r="K59" i="1" l="1"/>
  <c r="I61" i="1"/>
  <c r="J60" i="1"/>
  <c r="K60" i="1" l="1"/>
  <c r="I62" i="1"/>
  <c r="J61" i="1"/>
  <c r="K61" i="1" l="1"/>
  <c r="I63" i="1"/>
  <c r="J62" i="1"/>
  <c r="K62" i="1" l="1"/>
  <c r="I64" i="1"/>
  <c r="J63" i="1"/>
  <c r="K63" i="1" l="1"/>
  <c r="I65" i="1"/>
  <c r="J64" i="1"/>
  <c r="K64" i="1" l="1"/>
  <c r="I66" i="1"/>
  <c r="J65" i="1"/>
  <c r="K65" i="1" l="1"/>
  <c r="I67" i="1"/>
  <c r="J66" i="1"/>
  <c r="K66" i="1" l="1"/>
  <c r="I68" i="1"/>
  <c r="J67" i="1"/>
  <c r="K67" i="1" l="1"/>
  <c r="I69" i="1"/>
  <c r="J68" i="1"/>
  <c r="K68" i="1" l="1"/>
  <c r="I70" i="1"/>
  <c r="J69" i="1"/>
  <c r="K69" i="1" l="1"/>
  <c r="I71" i="1"/>
  <c r="J70" i="1"/>
  <c r="K70" i="1" l="1"/>
  <c r="I72" i="1"/>
  <c r="J71" i="1"/>
  <c r="K71" i="1" l="1"/>
  <c r="I73" i="1"/>
  <c r="J72" i="1"/>
  <c r="K72" i="1" l="1"/>
  <c r="I74" i="1"/>
  <c r="J73" i="1"/>
  <c r="K73" i="1" l="1"/>
  <c r="I75" i="1"/>
  <c r="J74" i="1"/>
  <c r="K74" i="1" l="1"/>
  <c r="I76" i="1"/>
  <c r="J75" i="1"/>
  <c r="K75" i="1" l="1"/>
  <c r="I77" i="1"/>
  <c r="J76" i="1"/>
  <c r="K76" i="1" l="1"/>
  <c r="I78" i="1"/>
  <c r="J77" i="1"/>
  <c r="K77" i="1" l="1"/>
  <c r="I79" i="1"/>
  <c r="J78" i="1"/>
  <c r="K78" i="1" l="1"/>
  <c r="I80" i="1"/>
  <c r="J79" i="1"/>
  <c r="K79" i="1" l="1"/>
  <c r="I81" i="1"/>
  <c r="J80" i="1"/>
  <c r="K80" i="1" l="1"/>
  <c r="I82" i="1"/>
  <c r="J81" i="1"/>
  <c r="K81" i="1" l="1"/>
  <c r="I83" i="1"/>
  <c r="J82" i="1"/>
  <c r="K82" i="1" l="1"/>
  <c r="I84" i="1"/>
  <c r="J83" i="1"/>
  <c r="K83" i="1" l="1"/>
  <c r="I85" i="1"/>
  <c r="J84" i="1"/>
  <c r="K84" i="1" l="1"/>
  <c r="I86" i="1"/>
  <c r="J85" i="1"/>
  <c r="K85" i="1" l="1"/>
  <c r="I87" i="1"/>
  <c r="J86" i="1"/>
  <c r="K86" i="1" l="1"/>
  <c r="I88" i="1"/>
  <c r="J87" i="1"/>
  <c r="K87" i="1" l="1"/>
  <c r="I89" i="1"/>
  <c r="J88" i="1"/>
  <c r="K88" i="1" l="1"/>
  <c r="I90" i="1"/>
  <c r="J89" i="1"/>
  <c r="K89" i="1" l="1"/>
  <c r="I91" i="1"/>
  <c r="J90" i="1"/>
  <c r="K90" i="1" l="1"/>
  <c r="I92" i="1"/>
  <c r="J91" i="1"/>
  <c r="K91" i="1" l="1"/>
  <c r="I93" i="1"/>
  <c r="J92" i="1"/>
  <c r="K92" i="1" l="1"/>
  <c r="I94" i="1"/>
  <c r="J93" i="1"/>
  <c r="K93" i="1" l="1"/>
  <c r="I95" i="1"/>
  <c r="J94" i="1"/>
  <c r="K94" i="1" l="1"/>
  <c r="I96" i="1"/>
  <c r="J95" i="1"/>
  <c r="K95" i="1" l="1"/>
  <c r="I97" i="1"/>
  <c r="J96" i="1"/>
  <c r="K96" i="1" l="1"/>
  <c r="I98" i="1"/>
  <c r="J97" i="1"/>
  <c r="K97" i="1" l="1"/>
  <c r="I99" i="1"/>
  <c r="J98" i="1"/>
  <c r="K98" i="1" l="1"/>
  <c r="I100" i="1"/>
  <c r="J99" i="1"/>
  <c r="K99" i="1" l="1"/>
  <c r="I101" i="1"/>
  <c r="J100" i="1"/>
  <c r="K100" i="1" l="1"/>
  <c r="I102" i="1"/>
  <c r="J101" i="1"/>
  <c r="K101" i="1" l="1"/>
  <c r="I103" i="1"/>
  <c r="J102" i="1"/>
  <c r="K102" i="1" l="1"/>
  <c r="I104" i="1"/>
  <c r="J103" i="1"/>
  <c r="K103" i="1" l="1"/>
  <c r="I105" i="1"/>
  <c r="J104" i="1"/>
  <c r="K104" i="1" l="1"/>
  <c r="I106" i="1"/>
  <c r="J105" i="1"/>
  <c r="K105" i="1" l="1"/>
  <c r="I107" i="1"/>
  <c r="J106" i="1"/>
  <c r="K106" i="1" l="1"/>
  <c r="I108" i="1"/>
  <c r="J107" i="1"/>
  <c r="K107" i="1" l="1"/>
  <c r="I109" i="1"/>
  <c r="J108" i="1"/>
  <c r="K108" i="1" l="1"/>
  <c r="I110" i="1"/>
  <c r="J109" i="1"/>
  <c r="K109" i="1" l="1"/>
  <c r="I111" i="1"/>
  <c r="J110" i="1"/>
  <c r="K110" i="1" l="1"/>
  <c r="I112" i="1"/>
  <c r="J111" i="1"/>
  <c r="K111" i="1" l="1"/>
  <c r="I113" i="1"/>
  <c r="J112" i="1"/>
  <c r="K112" i="1" l="1"/>
  <c r="I114" i="1"/>
  <c r="J113" i="1"/>
  <c r="K113" i="1" l="1"/>
  <c r="I115" i="1"/>
  <c r="J114" i="1"/>
  <c r="K114" i="1" l="1"/>
  <c r="I116" i="1"/>
  <c r="J115" i="1"/>
  <c r="J116" i="1" l="1"/>
  <c r="K115" i="1"/>
  <c r="K116" i="1" l="1"/>
</calcChain>
</file>

<file path=xl/sharedStrings.xml><?xml version="1.0" encoding="utf-8"?>
<sst xmlns="http://schemas.openxmlformats.org/spreadsheetml/2006/main" count="455" uniqueCount="243">
  <si>
    <t>Date</t>
  </si>
  <si>
    <t>Unrealized PnL</t>
  </si>
  <si>
    <t>Realized PnL</t>
  </si>
  <si>
    <t>Portfolio Value</t>
  </si>
  <si>
    <t>Portfolio Return</t>
  </si>
  <si>
    <t>Win %</t>
  </si>
  <si>
    <t>Loss %</t>
  </si>
  <si>
    <t>Win $</t>
  </si>
  <si>
    <t>Loss $</t>
  </si>
  <si>
    <t>R</t>
  </si>
  <si>
    <t>Win #</t>
  </si>
  <si>
    <t>Loss #</t>
  </si>
  <si>
    <t>Total #</t>
  </si>
  <si>
    <t>Realized Performance</t>
  </si>
  <si>
    <t>Trade</t>
  </si>
  <si>
    <t>Long / Short</t>
  </si>
  <si>
    <t>Entry Date</t>
  </si>
  <si>
    <t>Exit Date</t>
  </si>
  <si>
    <t>Days in Trade</t>
  </si>
  <si>
    <t>Win Score</t>
  </si>
  <si>
    <t>Short</t>
  </si>
  <si>
    <t>Zoom Video Communications Inc</t>
  </si>
  <si>
    <t>GrubHub Inc</t>
  </si>
  <si>
    <t>TX</t>
  </si>
  <si>
    <t>Ternium SA</t>
  </si>
  <si>
    <t>Long</t>
  </si>
  <si>
    <t>LVS</t>
  </si>
  <si>
    <t>Las Vegas Sands Corp</t>
  </si>
  <si>
    <t>LHC Group Inc</t>
  </si>
  <si>
    <t>KSU</t>
  </si>
  <si>
    <t>Kansas City Southern</t>
  </si>
  <si>
    <t>Middleby Corp</t>
  </si>
  <si>
    <t>Alliance Resource Partners LP</t>
  </si>
  <si>
    <t>TEX</t>
  </si>
  <si>
    <t>Terex Corp</t>
  </si>
  <si>
    <t>DocuSign Inc</t>
  </si>
  <si>
    <t>Yeti Holdings Inc</t>
  </si>
  <si>
    <t>QSR</t>
  </si>
  <si>
    <t>Restaurant Brands International Inc</t>
  </si>
  <si>
    <t>ZEN</t>
  </si>
  <si>
    <t>Zendesk Inc</t>
  </si>
  <si>
    <t>BAH</t>
  </si>
  <si>
    <t>Booz Allen Hamilton Holding Corp</t>
  </si>
  <si>
    <t>LYV</t>
  </si>
  <si>
    <t>Live Nation Entertainment Inc</t>
  </si>
  <si>
    <t>Teladoc Health Inc</t>
  </si>
  <si>
    <t>WPP</t>
  </si>
  <si>
    <t>WPP PLC</t>
  </si>
  <si>
    <t>Match Group Inc</t>
  </si>
  <si>
    <t>Carvana Co</t>
  </si>
  <si>
    <t>Everbridge Inc</t>
  </si>
  <si>
    <t>Adobe Inc</t>
  </si>
  <si>
    <t>Livongo Health Inc</t>
  </si>
  <si>
    <t>Credit Acceptance Corp</t>
  </si>
  <si>
    <t>Blink Charging Co</t>
  </si>
  <si>
    <t>Ulta Beauty Inc</t>
  </si>
  <si>
    <t>StoneCo Ltd</t>
  </si>
  <si>
    <t>Moderna Inc</t>
  </si>
  <si>
    <t>VRT</t>
  </si>
  <si>
    <t>Vertiv Holdings Co</t>
  </si>
  <si>
    <t>R1 RCM Inc</t>
  </si>
  <si>
    <t>Quidel Corp</t>
  </si>
  <si>
    <t>Overstock.com Inc</t>
  </si>
  <si>
    <t>KBH</t>
  </si>
  <si>
    <t>KB Home</t>
  </si>
  <si>
    <t>HRB</t>
  </si>
  <si>
    <t>H &amp; R Block Inc</t>
  </si>
  <si>
    <t>NEE</t>
  </si>
  <si>
    <t>Nextera Energy Inc</t>
  </si>
  <si>
    <t>SMG</t>
  </si>
  <si>
    <t>Scotts Miracle-Gro</t>
  </si>
  <si>
    <t>HOG</t>
  </si>
  <si>
    <t>Harley-Davidson Inc</t>
  </si>
  <si>
    <t>CCL</t>
  </si>
  <si>
    <t>Carnival Corp</t>
  </si>
  <si>
    <t>Biogen Inc</t>
  </si>
  <si>
    <t>ROL</t>
  </si>
  <si>
    <t>Rollins Inc</t>
  </si>
  <si>
    <t>Capri Holdings Ltd</t>
  </si>
  <si>
    <t>Tesla Inc</t>
  </si>
  <si>
    <t>Visteon Corp</t>
  </si>
  <si>
    <t>Fubotv Inc</t>
  </si>
  <si>
    <t>Intel Corp</t>
  </si>
  <si>
    <t>Baidu Inc</t>
  </si>
  <si>
    <t>Plug Power Inc</t>
  </si>
  <si>
    <t>GM</t>
  </si>
  <si>
    <t>General Motors Co</t>
  </si>
  <si>
    <t>Chewy Inc</t>
  </si>
  <si>
    <t>K</t>
  </si>
  <si>
    <t>Kellogg Co</t>
  </si>
  <si>
    <t>Sanderson Farms Inc</t>
  </si>
  <si>
    <t>Bigcommerce Holdings, Inc.</t>
  </si>
  <si>
    <t>GrowGeneration Corp</t>
  </si>
  <si>
    <t>Peloton Interactive Inc</t>
  </si>
  <si>
    <t>DUK</t>
  </si>
  <si>
    <t>Duke Energy Corp</t>
  </si>
  <si>
    <t>Star Bulk Carriers Corp</t>
  </si>
  <si>
    <t>Snowflake Inc.</t>
  </si>
  <si>
    <t>DISH Network Corp</t>
  </si>
  <si>
    <t>JNK</t>
  </si>
  <si>
    <t>SPDR Bloomberg Barclays High Yield Bond ETF</t>
  </si>
  <si>
    <t>Shopify Inc</t>
  </si>
  <si>
    <t>American Airlines Group Inc</t>
  </si>
  <si>
    <t>DAR</t>
  </si>
  <si>
    <t>Darling Ingredients Inc</t>
  </si>
  <si>
    <t>SPY</t>
  </si>
  <si>
    <t>SPDR S&amp;P 500 ETF Trust</t>
  </si>
  <si>
    <t>DAC</t>
  </si>
  <si>
    <t>Danaos Corp</t>
  </si>
  <si>
    <t>Kornit Digital Ltd</t>
  </si>
  <si>
    <t>SJM</t>
  </si>
  <si>
    <t>J M Smucker Co</t>
  </si>
  <si>
    <t>CLX</t>
  </si>
  <si>
    <t>Clorox Co</t>
  </si>
  <si>
    <t>PCG</t>
  </si>
  <si>
    <t>PG&amp;E Corp</t>
  </si>
  <si>
    <t>TEN</t>
  </si>
  <si>
    <t>Tenneco Inc</t>
  </si>
  <si>
    <t>Raven Industries Inc</t>
  </si>
  <si>
    <t>Russell Investments</t>
  </si>
  <si>
    <t>BYD</t>
  </si>
  <si>
    <t>Boyd Gaming Corp</t>
  </si>
  <si>
    <t>Lovesac Co</t>
  </si>
  <si>
    <t>SPX FLOW Inc</t>
  </si>
  <si>
    <t>CAH</t>
  </si>
  <si>
    <t>Cardinal Health Inc</t>
  </si>
  <si>
    <t>THO</t>
  </si>
  <si>
    <t>Thor Industries Inc</t>
  </si>
  <si>
    <t>Helen of Troy Ltd</t>
  </si>
  <si>
    <t>UAA</t>
  </si>
  <si>
    <t>Under Armour Inc</t>
  </si>
  <si>
    <t>Uber Technologies Inc</t>
  </si>
  <si>
    <t>ON Semiconductor Corp</t>
  </si>
  <si>
    <t>Digital Turbine Inc</t>
  </si>
  <si>
    <t>Robinhood Markets Inc</t>
  </si>
  <si>
    <t>Joint Corp</t>
  </si>
  <si>
    <t>Global-E Online Ltd</t>
  </si>
  <si>
    <t>Shares #</t>
  </si>
  <si>
    <t>.RUT</t>
  </si>
  <si>
    <t>Total $</t>
  </si>
  <si>
    <t>Count</t>
  </si>
  <si>
    <t>Range</t>
  </si>
  <si>
    <t>Frequency</t>
  </si>
  <si>
    <t>Cumu. Frequency</t>
  </si>
  <si>
    <t>Average</t>
  </si>
  <si>
    <t>Median</t>
  </si>
  <si>
    <t>Returns</t>
  </si>
  <si>
    <t>Returns per Trade</t>
  </si>
  <si>
    <t>ARLP</t>
  </si>
  <si>
    <t>YETI</t>
  </si>
  <si>
    <t>DOCU</t>
  </si>
  <si>
    <t>LHCG</t>
  </si>
  <si>
    <t>ZM</t>
  </si>
  <si>
    <t>TDOC</t>
  </si>
  <si>
    <t>MTCH</t>
  </si>
  <si>
    <t>ADBE</t>
  </si>
  <si>
    <t>EVBG</t>
  </si>
  <si>
    <t>CACC</t>
  </si>
  <si>
    <t>BLNK</t>
  </si>
  <si>
    <t>RCM</t>
  </si>
  <si>
    <t>MRNA</t>
  </si>
  <si>
    <t>ULTA</t>
  </si>
  <si>
    <t>STNE</t>
  </si>
  <si>
    <t>OSTK</t>
  </si>
  <si>
    <t>QDEL</t>
  </si>
  <si>
    <t>MIDD</t>
  </si>
  <si>
    <t>CPRI</t>
  </si>
  <si>
    <t>BIIB</t>
  </si>
  <si>
    <t>VC</t>
  </si>
  <si>
    <t>BIDU</t>
  </si>
  <si>
    <t>BIGC</t>
  </si>
  <si>
    <t>INTC</t>
  </si>
  <si>
    <t>TSLA</t>
  </si>
  <si>
    <t>FUBO</t>
  </si>
  <si>
    <t>CHWY</t>
  </si>
  <si>
    <t>SAFM</t>
  </si>
  <si>
    <t>PLUG</t>
  </si>
  <si>
    <t>PTON</t>
  </si>
  <si>
    <t>GRWG</t>
  </si>
  <si>
    <t>SBLK</t>
  </si>
  <si>
    <t>DISH</t>
  </si>
  <si>
    <t>SNOW</t>
  </si>
  <si>
    <t>AAL</t>
  </si>
  <si>
    <t>SHOP</t>
  </si>
  <si>
    <t>KRNT</t>
  </si>
  <si>
    <t>RAVN</t>
  </si>
  <si>
    <t>LOVE</t>
  </si>
  <si>
    <t>FLOW</t>
  </si>
  <si>
    <t>HELE</t>
  </si>
  <si>
    <t>UBER</t>
  </si>
  <si>
    <t>HOOD</t>
  </si>
  <si>
    <t>ON</t>
  </si>
  <si>
    <t>JYNT</t>
  </si>
  <si>
    <t>APPS</t>
  </si>
  <si>
    <t>CVNA</t>
  </si>
  <si>
    <t>GLBE</t>
  </si>
  <si>
    <t>GRUB</t>
  </si>
  <si>
    <t>LVGO</t>
  </si>
  <si>
    <t>Ticker</t>
  </si>
  <si>
    <t>Long/Short</t>
  </si>
  <si>
    <t>Company Name</t>
  </si>
  <si>
    <t>Trade Entry Date</t>
  </si>
  <si>
    <t># Shares</t>
  </si>
  <si>
    <t>Current Price</t>
  </si>
  <si>
    <t>$ PnL</t>
  </si>
  <si>
    <t>JBG SMITH Properties</t>
  </si>
  <si>
    <t>3M Co</t>
  </si>
  <si>
    <t>Bunge Ltd</t>
  </si>
  <si>
    <t>Russell 2000</t>
  </si>
  <si>
    <t>Wayfair Inc</t>
  </si>
  <si>
    <t>LendingClub Corp</t>
  </si>
  <si>
    <t>LC</t>
  </si>
  <si>
    <t>W</t>
  </si>
  <si>
    <t>RUT</t>
  </si>
  <si>
    <t>DG</t>
  </si>
  <si>
    <t>MMM</t>
  </si>
  <si>
    <t>JBGS</t>
  </si>
  <si>
    <t>% PnL</t>
  </si>
  <si>
    <t>$ Gross Exposure</t>
  </si>
  <si>
    <t>Annual</t>
  </si>
  <si>
    <t>Weekly</t>
  </si>
  <si>
    <t>Deposit</t>
  </si>
  <si>
    <t>Withdrawal</t>
  </si>
  <si>
    <t>Net</t>
  </si>
  <si>
    <t>Portfolio Index</t>
  </si>
  <si>
    <t>IRTC</t>
  </si>
  <si>
    <t>iRhythm Technologies Inc</t>
  </si>
  <si>
    <t>Total Return</t>
  </si>
  <si>
    <t>Standard Deviation</t>
  </si>
  <si>
    <t>Downside Deviation</t>
  </si>
  <si>
    <t>Return</t>
  </si>
  <si>
    <t>Risk</t>
  </si>
  <si>
    <t>Mean Return</t>
  </si>
  <si>
    <t>Trading &amp; Platform Costs (Cumu.)</t>
  </si>
  <si>
    <t>$ Net Exposure</t>
  </si>
  <si>
    <t>Cumulative Deposit</t>
  </si>
  <si>
    <t>Weighted Entry Price</t>
  </si>
  <si>
    <t>Weighted Exit Price</t>
  </si>
  <si>
    <t>Profit / Loss %</t>
  </si>
  <si>
    <t>Profit / Loss $</t>
  </si>
  <si>
    <t>Av Pos</t>
  </si>
  <si>
    <t>Av Neg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</si>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</sst>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0" fillId="3" borderId="2" xfId="0" applyFill="1" applyBorder="1"/>
    <xf numFmtId="15" fontId="0" fillId="0" borderId="0" xfId="0" applyNumberFormat="1"/>
    <xf numFmtId="15" fontId="0" fillId="3" borderId="2" xfId="0" applyNumberFormat="1" applyFill="1" applyBorder="1"/>
    <xf numFmtId="2" fontId="0" fillId="0" borderId="0" xfId="0" applyNumberFormat="1"/>
    <xf numFmtId="4" fontId="0" fillId="0" borderId="0" xfId="0" applyNumberFormat="1"/>
    <xf numFmtId="2" fontId="0" fillId="0" borderId="0" xfId="0" applyNumberFormat="1" applyFont="1"/>
    <xf numFmtId="15" fontId="0" fillId="0" borderId="0" xfId="0" quotePrefix="1" applyNumberFormat="1"/>
    <xf numFmtId="2" fontId="0" fillId="3" borderId="4" xfId="0" applyNumberFormat="1" applyFont="1" applyFill="1" applyBorder="1"/>
    <xf numFmtId="2" fontId="0" fillId="0" borderId="0" xfId="0" applyNumberFormat="1" applyBorder="1"/>
    <xf numFmtId="0" fontId="0" fillId="3" borderId="5" xfId="0" applyFill="1" applyBorder="1"/>
    <xf numFmtId="0" fontId="1" fillId="3" borderId="6" xfId="0" applyFont="1" applyFill="1" applyBorder="1" applyAlignment="1">
      <alignment horizontal="center"/>
    </xf>
    <xf numFmtId="0" fontId="0" fillId="3" borderId="6" xfId="0" applyFill="1" applyBorder="1"/>
    <xf numFmtId="2" fontId="0" fillId="3" borderId="6" xfId="0" applyNumberFormat="1" applyFont="1" applyFill="1" applyBorder="1"/>
    <xf numFmtId="15" fontId="0" fillId="3" borderId="6" xfId="0" applyNumberFormat="1" applyFill="1" applyBorder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2" fontId="2" fillId="2" borderId="9" xfId="0" applyNumberFormat="1" applyFont="1" applyFill="1" applyBorder="1" applyAlignment="1">
      <alignment horizontal="center" vertical="center" wrapText="1"/>
    </xf>
    <xf numFmtId="15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15" fontId="4" fillId="0" borderId="0" xfId="0" applyNumberFormat="1" applyFont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/>
    <xf numFmtId="10" fontId="0" fillId="3" borderId="11" xfId="0" applyNumberFormat="1" applyFill="1" applyBorder="1"/>
    <xf numFmtId="0" fontId="0" fillId="3" borderId="0" xfId="0" applyFill="1" applyBorder="1"/>
    <xf numFmtId="0" fontId="0" fillId="3" borderId="16" xfId="0" applyFill="1" applyBorder="1"/>
    <xf numFmtId="16" fontId="0" fillId="3" borderId="11" xfId="0" applyNumberFormat="1" applyFill="1" applyBorder="1"/>
    <xf numFmtId="0" fontId="0" fillId="3" borderId="15" xfId="0" applyFill="1" applyBorder="1"/>
    <xf numFmtId="0" fontId="1" fillId="3" borderId="15" xfId="0" applyFont="1" applyFill="1" applyBorder="1"/>
    <xf numFmtId="0" fontId="1" fillId="3" borderId="17" xfId="0" applyFont="1" applyFill="1" applyBorder="1"/>
    <xf numFmtId="0" fontId="0" fillId="3" borderId="18" xfId="0" applyFill="1" applyBorder="1"/>
    <xf numFmtId="0" fontId="0" fillId="3" borderId="19" xfId="0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10" fontId="0" fillId="3" borderId="23" xfId="0" applyNumberFormat="1" applyFill="1" applyBorder="1"/>
    <xf numFmtId="0" fontId="0" fillId="3" borderId="25" xfId="0" applyFill="1" applyBorder="1"/>
    <xf numFmtId="10" fontId="0" fillId="3" borderId="25" xfId="0" applyNumberFormat="1" applyFill="1" applyBorder="1"/>
    <xf numFmtId="10" fontId="0" fillId="3" borderId="26" xfId="0" applyNumberFormat="1" applyFill="1" applyBorder="1"/>
    <xf numFmtId="0" fontId="1" fillId="5" borderId="21" xfId="0" applyFont="1" applyFill="1" applyBorder="1"/>
    <xf numFmtId="0" fontId="1" fillId="5" borderId="11" xfId="0" applyFont="1" applyFill="1" applyBorder="1"/>
    <xf numFmtId="4" fontId="0" fillId="5" borderId="27" xfId="0" applyNumberFormat="1" applyFill="1" applyBorder="1"/>
    <xf numFmtId="15" fontId="0" fillId="5" borderId="25" xfId="0" applyNumberFormat="1" applyFill="1" applyBorder="1"/>
    <xf numFmtId="4" fontId="0" fillId="5" borderId="26" xfId="0" applyNumberFormat="1" applyFill="1" applyBorder="1"/>
    <xf numFmtId="10" fontId="0" fillId="3" borderId="22" xfId="0" applyNumberFormat="1" applyFill="1" applyBorder="1" applyAlignment="1">
      <alignment horizontal="left"/>
    </xf>
    <xf numFmtId="10" fontId="0" fillId="3" borderId="24" xfId="0" applyNumberFormat="1" applyFill="1" applyBorder="1" applyAlignment="1">
      <alignment horizontal="left"/>
    </xf>
    <xf numFmtId="10" fontId="0" fillId="3" borderId="0" xfId="0" applyNumberFormat="1" applyFill="1" applyBorder="1"/>
    <xf numFmtId="10" fontId="0" fillId="3" borderId="18" xfId="0" applyNumberFormat="1" applyFill="1" applyBorder="1"/>
    <xf numFmtId="10" fontId="0" fillId="5" borderId="23" xfId="0" applyNumberFormat="1" applyFill="1" applyBorder="1"/>
    <xf numFmtId="0" fontId="0" fillId="3" borderId="31" xfId="0" applyFill="1" applyBorder="1"/>
    <xf numFmtId="2" fontId="0" fillId="3" borderId="2" xfId="0" applyNumberFormat="1" applyFill="1" applyBorder="1"/>
    <xf numFmtId="0" fontId="0" fillId="3" borderId="3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5" fontId="0" fillId="3" borderId="2" xfId="0" applyNumberFormat="1" applyFill="1" applyBorder="1" applyAlignment="1">
      <alignment horizontal="left"/>
    </xf>
    <xf numFmtId="0" fontId="0" fillId="3" borderId="33" xfId="0" applyFill="1" applyBorder="1"/>
    <xf numFmtId="0" fontId="0" fillId="3" borderId="34" xfId="0" applyFill="1" applyBorder="1"/>
    <xf numFmtId="15" fontId="0" fillId="3" borderId="34" xfId="0" applyNumberFormat="1" applyFill="1" applyBorder="1"/>
    <xf numFmtId="2" fontId="0" fillId="3" borderId="34" xfId="0" applyNumberFormat="1" applyFill="1" applyBorder="1"/>
    <xf numFmtId="0" fontId="0" fillId="0" borderId="0" xfId="0" applyFont="1"/>
    <xf numFmtId="15" fontId="0" fillId="0" borderId="2" xfId="0" applyNumberFormat="1" applyFill="1" applyBorder="1"/>
    <xf numFmtId="0" fontId="4" fillId="0" borderId="0" xfId="0" applyFont="1"/>
    <xf numFmtId="10" fontId="0" fillId="0" borderId="0" xfId="0" applyNumberFormat="1"/>
    <xf numFmtId="10" fontId="0" fillId="5" borderId="21" xfId="0" applyNumberFormat="1" applyFill="1" applyBorder="1"/>
    <xf numFmtId="10" fontId="0" fillId="5" borderId="27" xfId="0" applyNumberFormat="1" applyFill="1" applyBorder="1"/>
    <xf numFmtId="10" fontId="0" fillId="5" borderId="25" xfId="0" applyNumberFormat="1" applyFill="1" applyBorder="1"/>
    <xf numFmtId="0" fontId="5" fillId="5" borderId="20" xfId="0" applyFont="1" applyFill="1" applyBorder="1"/>
    <xf numFmtId="0" fontId="5" fillId="5" borderId="24" xfId="0" applyFont="1" applyFill="1" applyBorder="1"/>
    <xf numFmtId="10" fontId="0" fillId="5" borderId="26" xfId="0" applyNumberFormat="1" applyFill="1" applyBorder="1"/>
    <xf numFmtId="0" fontId="3" fillId="2" borderId="28" xfId="0" applyFont="1" applyFill="1" applyBorder="1"/>
    <xf numFmtId="0" fontId="3" fillId="2" borderId="29" xfId="0" applyFont="1" applyFill="1" applyBorder="1"/>
    <xf numFmtId="0" fontId="3" fillId="2" borderId="30" xfId="0" applyFont="1" applyFill="1" applyBorder="1"/>
    <xf numFmtId="0" fontId="5" fillId="5" borderId="8" xfId="0" applyFont="1" applyFill="1" applyBorder="1"/>
    <xf numFmtId="10" fontId="0" fillId="5" borderId="9" xfId="0" applyNumberFormat="1" applyFill="1" applyBorder="1"/>
    <xf numFmtId="10" fontId="0" fillId="5" borderId="10" xfId="0" applyNumberFormat="1" applyFill="1" applyBorder="1"/>
    <xf numFmtId="0" fontId="5" fillId="5" borderId="36" xfId="0" applyFont="1" applyFill="1" applyBorder="1"/>
    <xf numFmtId="10" fontId="0" fillId="5" borderId="37" xfId="0" applyNumberFormat="1" applyFill="1" applyBorder="1"/>
    <xf numFmtId="10" fontId="0" fillId="5" borderId="38" xfId="0" applyNumberFormat="1" applyFill="1" applyBorder="1"/>
    <xf numFmtId="0" fontId="6" fillId="2" borderId="28" xfId="0" applyFont="1" applyFill="1" applyBorder="1"/>
    <xf numFmtId="0" fontId="6" fillId="2" borderId="35" xfId="0" applyFont="1" applyFill="1" applyBorder="1"/>
    <xf numFmtId="4" fontId="0" fillId="0" borderId="0" xfId="0" applyNumberFormat="1" applyFont="1"/>
    <xf numFmtId="4" fontId="0" fillId="4" borderId="0" xfId="0" applyNumberFormat="1" applyFill="1"/>
    <xf numFmtId="0" fontId="3" fillId="2" borderId="0" xfId="0" applyFont="1" applyFill="1"/>
    <xf numFmtId="4" fontId="3" fillId="2" borderId="0" xfId="0" applyNumberFormat="1" applyFont="1" applyFill="1"/>
    <xf numFmtId="10" fontId="3" fillId="2" borderId="0" xfId="0" applyNumberFormat="1" applyFont="1" applyFill="1"/>
    <xf numFmtId="2" fontId="3" fillId="2" borderId="0" xfId="0" applyNumberFormat="1" applyFont="1" applyFill="1"/>
    <xf numFmtId="4" fontId="3" fillId="2" borderId="0" xfId="0" applyNumberFormat="1" applyFont="1" applyFill="1" applyAlignment="1">
      <alignment wrapText="1"/>
    </xf>
    <xf numFmtId="15" fontId="7" fillId="0" borderId="0" xfId="0" applyNumberFormat="1" applyFont="1" applyFill="1" applyBorder="1" applyAlignment="1">
      <alignment horizontal="left"/>
    </xf>
    <xf numFmtId="0" fontId="6" fillId="0" borderId="0" xfId="0" applyFont="1" applyFill="1" applyBorder="1"/>
    <xf numFmtId="0" fontId="3" fillId="0" borderId="0" xfId="0" applyFont="1" applyFill="1" applyBorder="1"/>
    <xf numFmtId="0" fontId="5" fillId="0" borderId="0" xfId="0" applyFont="1" applyFill="1" applyBorder="1"/>
    <xf numFmtId="2" fontId="0" fillId="0" borderId="0" xfId="0" applyNumberFormat="1" applyFill="1" applyBorder="1"/>
    <xf numFmtId="10" fontId="0" fillId="0" borderId="0" xfId="0" applyNumberFormat="1" applyFill="1" applyBorder="1"/>
    <xf numFmtId="0" fontId="0" fillId="0" borderId="0" xfId="0" applyFill="1" applyBorder="1"/>
    <xf numFmtId="10" fontId="3" fillId="0" borderId="0" xfId="0" applyNumberFormat="1" applyFont="1" applyFill="1"/>
    <xf numFmtId="10" fontId="0" fillId="0" borderId="0" xfId="0" applyNumberFormat="1" applyFill="1"/>
    <xf numFmtId="15" fontId="0" fillId="3" borderId="0" xfId="0" applyNumberFormat="1" applyFill="1"/>
    <xf numFmtId="4" fontId="0" fillId="3" borderId="0" xfId="0" applyNumberFormat="1" applyFill="1"/>
    <xf numFmtId="0" fontId="0" fillId="3" borderId="0" xfId="0" applyFill="1"/>
    <xf numFmtId="10" fontId="0" fillId="4" borderId="0" xfId="0" applyNumberFormat="1" applyFill="1"/>
    <xf numFmtId="2" fontId="0" fillId="4" borderId="0" xfId="0" applyNumberFormat="1" applyFill="1"/>
    <xf numFmtId="0" fontId="1" fillId="5" borderId="20" xfId="0" applyFont="1" applyFill="1" applyBorder="1"/>
    <xf numFmtId="0" fontId="0" fillId="5" borderId="21" xfId="0" applyFill="1" applyBorder="1"/>
    <xf numFmtId="4" fontId="0" fillId="5" borderId="21" xfId="0" applyNumberFormat="1" applyFill="1" applyBorder="1"/>
    <xf numFmtId="0" fontId="1" fillId="5" borderId="22" xfId="0" applyFont="1" applyFill="1" applyBorder="1"/>
    <xf numFmtId="0" fontId="0" fillId="5" borderId="11" xfId="0" applyFill="1" applyBorder="1"/>
    <xf numFmtId="4" fontId="0" fillId="5" borderId="11" xfId="0" applyNumberFormat="1" applyFill="1" applyBorder="1"/>
    <xf numFmtId="10" fontId="0" fillId="5" borderId="11" xfId="0" applyNumberFormat="1" applyFill="1" applyBorder="1"/>
    <xf numFmtId="0" fontId="1" fillId="5" borderId="24" xfId="0" applyFont="1" applyFill="1" applyBorder="1"/>
    <xf numFmtId="0" fontId="0" fillId="5" borderId="25" xfId="0" applyFill="1" applyBorder="1"/>
    <xf numFmtId="0" fontId="1" fillId="5" borderId="25" xfId="0" applyFont="1" applyFill="1" applyBorder="1"/>
    <xf numFmtId="4" fontId="0" fillId="5" borderId="25" xfId="0" applyNumberFormat="1" applyFill="1" applyBorder="1"/>
    <xf numFmtId="0" fontId="0" fillId="4" borderId="5" xfId="0" applyFill="1" applyBorder="1"/>
    <xf numFmtId="10" fontId="0" fillId="4" borderId="6" xfId="0" applyNumberFormat="1" applyFill="1" applyBorder="1"/>
    <xf numFmtId="164" fontId="0" fillId="4" borderId="6" xfId="0" applyNumberFormat="1" applyFill="1" applyBorder="1"/>
    <xf numFmtId="0" fontId="0" fillId="4" borderId="7" xfId="0" applyFill="1" applyBorder="1"/>
    <xf numFmtId="0" fontId="0" fillId="4" borderId="1" xfId="0" applyFill="1" applyBorder="1"/>
    <xf numFmtId="10" fontId="0" fillId="4" borderId="2" xfId="0" applyNumberFormat="1" applyFill="1" applyBorder="1"/>
    <xf numFmtId="164" fontId="0" fillId="4" borderId="2" xfId="0" applyNumberFormat="1" applyFill="1" applyBorder="1"/>
    <xf numFmtId="0" fontId="0" fillId="4" borderId="3" xfId="0" applyFill="1" applyBorder="1"/>
    <xf numFmtId="4" fontId="0" fillId="4" borderId="2" xfId="0" applyNumberFormat="1" applyFill="1" applyBorder="1"/>
    <xf numFmtId="4" fontId="0" fillId="4" borderId="32" xfId="0" applyNumberFormat="1" applyFill="1" applyBorder="1"/>
    <xf numFmtId="4" fontId="0" fillId="4" borderId="12" xfId="0" applyNumberFormat="1" applyFill="1" applyBorder="1"/>
    <xf numFmtId="4" fontId="0" fillId="4" borderId="13" xfId="0" applyNumberFormat="1" applyFill="1" applyBorder="1"/>
    <xf numFmtId="0" fontId="0" fillId="4" borderId="13" xfId="0" applyFill="1" applyBorder="1"/>
    <xf numFmtId="4" fontId="0" fillId="4" borderId="14" xfId="0" applyNumberFormat="1" applyFill="1" applyBorder="1"/>
    <xf numFmtId="0" fontId="0" fillId="4" borderId="17" xfId="0" applyFill="1" applyBorder="1"/>
    <xf numFmtId="10" fontId="0" fillId="4" borderId="18" xfId="0" applyNumberFormat="1" applyFill="1" applyBorder="1"/>
    <xf numFmtId="0" fontId="0" fillId="4" borderId="18" xfId="0" applyFill="1" applyBorder="1"/>
    <xf numFmtId="0" fontId="0" fillId="4" borderId="19" xfId="0" applyFill="1" applyBorder="1"/>
    <xf numFmtId="0" fontId="1" fillId="3" borderId="0" xfId="0" applyFont="1" applyFill="1" applyBorder="1"/>
    <xf numFmtId="0" fontId="1" fillId="3" borderId="18" xfId="0" applyFont="1" applyFill="1" applyBorder="1"/>
    <xf numFmtId="10" fontId="0" fillId="3" borderId="20" xfId="0" applyNumberFormat="1" applyFill="1" applyBorder="1" applyAlignment="1">
      <alignment horizontal="left"/>
    </xf>
    <xf numFmtId="0" fontId="0" fillId="3" borderId="21" xfId="0" applyFill="1" applyBorder="1"/>
    <xf numFmtId="10" fontId="0" fillId="3" borderId="21" xfId="0" applyNumberFormat="1" applyFill="1" applyBorder="1"/>
    <xf numFmtId="10" fontId="0" fillId="3" borderId="27" xfId="0" applyNumberFormat="1" applyFill="1" applyBorder="1"/>
    <xf numFmtId="10" fontId="8" fillId="0" borderId="0" xfId="0" applyNumberFormat="1" applyFont="1" applyFill="1" applyBorder="1"/>
    <xf numFmtId="4" fontId="0" fillId="4" borderId="6" xfId="0" applyNumberFormat="1" applyFill="1" applyBorder="1"/>
    <xf numFmtId="4" fontId="0" fillId="4" borderId="39" xfId="0" applyNumberFormat="1" applyFill="1" applyBorder="1"/>
    <xf numFmtId="4" fontId="0" fillId="4" borderId="0" xfId="0" applyNumberFormat="1" applyFill="1" applyBorder="1"/>
    <xf numFmtId="0" fontId="0" fillId="3" borderId="40" xfId="0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15" fontId="0" fillId="3" borderId="6" xfId="0" applyNumberForma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2" fontId="0" fillId="3" borderId="6" xfId="0" applyNumberFormat="1" applyFill="1" applyBorder="1"/>
    <xf numFmtId="0" fontId="1" fillId="3" borderId="28" xfId="0" applyFont="1" applyFill="1" applyBorder="1"/>
    <xf numFmtId="0" fontId="1" fillId="3" borderId="29" xfId="0" applyFont="1" applyFill="1" applyBorder="1"/>
    <xf numFmtId="0" fontId="1" fillId="3" borderId="30" xfId="0" applyFont="1" applyFill="1" applyBorder="1"/>
    <xf numFmtId="4" fontId="0" fillId="4" borderId="4" xfId="0" applyNumberFormat="1" applyFill="1" applyBorder="1"/>
    <xf numFmtId="10" fontId="0" fillId="4" borderId="4" xfId="0" applyNumberFormat="1" applyFill="1" applyBorder="1"/>
    <xf numFmtId="4" fontId="0" fillId="4" borderId="41" xfId="0" applyNumberFormat="1" applyFill="1" applyBorder="1"/>
    <xf numFmtId="15" fontId="0" fillId="0" borderId="6" xfId="0" applyNumberFormat="1" applyFill="1" applyBorder="1"/>
    <xf numFmtId="0" fontId="3" fillId="2" borderId="28" xfId="0" applyFont="1" applyFill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Return</a:t>
            </a:r>
            <a:r>
              <a:rPr lang="en-GB" sz="1200" baseline="0"/>
              <a:t> % Per Trade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'Realized PnL'!$P$9:$P$32</c:f>
              <c:strCache>
                <c:ptCount val="24"/>
                <c:pt idx="0">
                  <c:v>x &lt; -40%</c:v>
                </c:pt>
                <c:pt idx="1">
                  <c:v>-40% &lt;= x &lt; -35%</c:v>
                </c:pt>
                <c:pt idx="2">
                  <c:v>-35% &lt;= x &lt; -30%</c:v>
                </c:pt>
                <c:pt idx="3">
                  <c:v>-30% &lt;= x &lt; -25%</c:v>
                </c:pt>
                <c:pt idx="4">
                  <c:v>-25% &lt;= x &lt; -20%</c:v>
                </c:pt>
                <c:pt idx="5">
                  <c:v>-20% &lt;= x &lt; -15%</c:v>
                </c:pt>
                <c:pt idx="6">
                  <c:v>-15% &lt;= x &lt; -10%</c:v>
                </c:pt>
                <c:pt idx="7">
                  <c:v>-10% &lt;= x &lt; -5%</c:v>
                </c:pt>
                <c:pt idx="8">
                  <c:v>-5% &lt;= x &lt; 0%</c:v>
                </c:pt>
                <c:pt idx="9">
                  <c:v>0% &lt;= x &lt; 5%</c:v>
                </c:pt>
                <c:pt idx="10">
                  <c:v>5% &lt;= x &lt; 10%</c:v>
                </c:pt>
                <c:pt idx="11">
                  <c:v>10% &lt;= x &lt; 15%</c:v>
                </c:pt>
                <c:pt idx="12">
                  <c:v>15% &lt;= x &lt; 20%</c:v>
                </c:pt>
                <c:pt idx="13">
                  <c:v>20% &lt;= x &lt; 25%</c:v>
                </c:pt>
                <c:pt idx="14">
                  <c:v>25% &lt;= x &lt; 30%</c:v>
                </c:pt>
                <c:pt idx="15">
                  <c:v>30% &lt;= x &lt; 35%</c:v>
                </c:pt>
                <c:pt idx="16">
                  <c:v>35% &lt;= x &lt; 40%</c:v>
                </c:pt>
                <c:pt idx="17">
                  <c:v>40% &lt;= x &lt; 45%</c:v>
                </c:pt>
                <c:pt idx="18">
                  <c:v>45% &lt;= x &lt; 50%</c:v>
                </c:pt>
                <c:pt idx="19">
                  <c:v>50% &lt;= x &lt; 55%</c:v>
                </c:pt>
                <c:pt idx="20">
                  <c:v>55% &lt;= x &lt; 60%</c:v>
                </c:pt>
                <c:pt idx="21">
                  <c:v>60% &lt;= x &lt; 65%</c:v>
                </c:pt>
                <c:pt idx="22">
                  <c:v>65% &lt;= x &lt; 70%</c:v>
                </c:pt>
                <c:pt idx="23">
                  <c:v>x &gt; 70%</c:v>
                </c:pt>
              </c:strCache>
            </c:strRef>
          </c:cat>
          <c:val>
            <c:numRef>
              <c:f>'Realized PnL'!$R$9:$R$32</c:f>
              <c:numCache>
                <c:formatCode>0.00%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4.3103448275862072E-2</c:v>
                </c:pt>
                <c:pt idx="3">
                  <c:v>1.7241379310344827E-2</c:v>
                </c:pt>
                <c:pt idx="4">
                  <c:v>3.4482758620689655E-2</c:v>
                </c:pt>
                <c:pt idx="5">
                  <c:v>6.8965517241379309E-2</c:v>
                </c:pt>
                <c:pt idx="6">
                  <c:v>8.6206896551724144E-2</c:v>
                </c:pt>
                <c:pt idx="7">
                  <c:v>9.4827586206896547E-2</c:v>
                </c:pt>
                <c:pt idx="8">
                  <c:v>9.4827586206896547E-2</c:v>
                </c:pt>
                <c:pt idx="9">
                  <c:v>8.6206896551724144E-2</c:v>
                </c:pt>
                <c:pt idx="10">
                  <c:v>9.4827586206896547E-2</c:v>
                </c:pt>
                <c:pt idx="11">
                  <c:v>0.10344827586206896</c:v>
                </c:pt>
                <c:pt idx="12">
                  <c:v>2.5862068965517241E-2</c:v>
                </c:pt>
                <c:pt idx="13">
                  <c:v>7.7586206896551727E-2</c:v>
                </c:pt>
                <c:pt idx="14">
                  <c:v>4.3103448275862072E-2</c:v>
                </c:pt>
                <c:pt idx="15">
                  <c:v>2.5862068965517241E-2</c:v>
                </c:pt>
                <c:pt idx="16">
                  <c:v>1.7241379310344827E-2</c:v>
                </c:pt>
                <c:pt idx="17">
                  <c:v>2.5862068965517241E-2</c:v>
                </c:pt>
                <c:pt idx="18">
                  <c:v>2.5862068965517241E-2</c:v>
                </c:pt>
                <c:pt idx="19">
                  <c:v>0</c:v>
                </c:pt>
                <c:pt idx="20">
                  <c:v>8.6206896551724137E-3</c:v>
                </c:pt>
                <c:pt idx="21">
                  <c:v>0</c:v>
                </c:pt>
                <c:pt idx="22">
                  <c:v>0</c:v>
                </c:pt>
                <c:pt idx="23">
                  <c:v>2.5862068965517241E-2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2-4A9E-B040-C903D0A93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767247"/>
        <c:axId val="812766415"/>
      </c:barChart>
      <c:catAx>
        <c:axId val="8127672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66415"/>
        <c:crosses val="autoZero"/>
        <c:auto val="1"/>
        <c:lblAlgn val="ctr"/>
        <c:lblOffset val="100"/>
        <c:noMultiLvlLbl val="0"/>
      </c:catAx>
      <c:valAx>
        <c:axId val="81276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%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767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'Portfolio Value'!$I$18</c:f>
              <c:strCache>
                <c:ptCount val="1"/>
                <c:pt idx="0">
                  <c:v>Portfolio Value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'Portfolio Value'!$A$19:$A$10000</c:f>
              <c:numCache>
                <c:formatCode>d\-mmm\-yy</c:formatCode>
                <c:ptCount val="998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  <c:pt idx="52">
                  <c:v>44199</c:v>
                </c:pt>
                <c:pt idx="53">
                  <c:v>44206</c:v>
                </c:pt>
                <c:pt idx="54">
                  <c:v>44213</c:v>
                </c:pt>
                <c:pt idx="55">
                  <c:v>44220</c:v>
                </c:pt>
                <c:pt idx="56">
                  <c:v>44227</c:v>
                </c:pt>
                <c:pt idx="57">
                  <c:v>44234</c:v>
                </c:pt>
                <c:pt idx="58">
                  <c:v>44241</c:v>
                </c:pt>
                <c:pt idx="59">
                  <c:v>44248</c:v>
                </c:pt>
                <c:pt idx="60">
                  <c:v>44255</c:v>
                </c:pt>
                <c:pt idx="61">
                  <c:v>44262</c:v>
                </c:pt>
                <c:pt idx="62">
                  <c:v>44269</c:v>
                </c:pt>
                <c:pt idx="63">
                  <c:v>44276</c:v>
                </c:pt>
                <c:pt idx="64">
                  <c:v>44283</c:v>
                </c:pt>
                <c:pt idx="65">
                  <c:v>44290</c:v>
                </c:pt>
                <c:pt idx="66">
                  <c:v>44297</c:v>
                </c:pt>
                <c:pt idx="67">
                  <c:v>44304</c:v>
                </c:pt>
                <c:pt idx="68">
                  <c:v>44311</c:v>
                </c:pt>
                <c:pt idx="69">
                  <c:v>44318</c:v>
                </c:pt>
                <c:pt idx="70">
                  <c:v>44325</c:v>
                </c:pt>
                <c:pt idx="71">
                  <c:v>44332</c:v>
                </c:pt>
                <c:pt idx="72">
                  <c:v>44339</c:v>
                </c:pt>
                <c:pt idx="73">
                  <c:v>44346</c:v>
                </c:pt>
                <c:pt idx="74">
                  <c:v>44353</c:v>
                </c:pt>
                <c:pt idx="75">
                  <c:v>44360</c:v>
                </c:pt>
                <c:pt idx="76">
                  <c:v>44367</c:v>
                </c:pt>
                <c:pt idx="77">
                  <c:v>44374</c:v>
                </c:pt>
                <c:pt idx="78">
                  <c:v>44381</c:v>
                </c:pt>
                <c:pt idx="79">
                  <c:v>44388</c:v>
                </c:pt>
                <c:pt idx="80">
                  <c:v>44395</c:v>
                </c:pt>
                <c:pt idx="81">
                  <c:v>44402</c:v>
                </c:pt>
                <c:pt idx="82">
                  <c:v>44409</c:v>
                </c:pt>
                <c:pt idx="83">
                  <c:v>44416</c:v>
                </c:pt>
                <c:pt idx="84">
                  <c:v>44423</c:v>
                </c:pt>
                <c:pt idx="85">
                  <c:v>44430</c:v>
                </c:pt>
                <c:pt idx="86">
                  <c:v>44437</c:v>
                </c:pt>
                <c:pt idx="87">
                  <c:v>44444</c:v>
                </c:pt>
                <c:pt idx="88">
                  <c:v>44451</c:v>
                </c:pt>
                <c:pt idx="89">
                  <c:v>44458</c:v>
                </c:pt>
                <c:pt idx="90">
                  <c:v>44465</c:v>
                </c:pt>
                <c:pt idx="91">
                  <c:v>44472</c:v>
                </c:pt>
                <c:pt idx="92">
                  <c:v>44479</c:v>
                </c:pt>
                <c:pt idx="93">
                  <c:v>44486</c:v>
                </c:pt>
                <c:pt idx="94">
                  <c:v>44493</c:v>
                </c:pt>
                <c:pt idx="95">
                  <c:v>44500</c:v>
                </c:pt>
                <c:pt idx="96">
                  <c:v>44507</c:v>
                </c:pt>
                <c:pt idx="97">
                  <c:v>44514</c:v>
                </c:pt>
              </c:numCache>
            </c:numRef>
          </c:cat>
          <c:val>
            <c:numRef>
              <c:f>'Portfolio Value'!$I$19:$I$10000</c:f>
              <c:numCache>
                <c:formatCode>#,##0.00</c:formatCode>
                <c:ptCount val="9982"/>
                <c:pt idx="0">
                  <c:v>150000</c:v>
                </c:pt>
                <c:pt idx="1">
                  <c:v>150000</c:v>
                </c:pt>
                <c:pt idx="2">
                  <c:v>158665.58305773453</c:v>
                </c:pt>
                <c:pt idx="3">
                  <c:v>158401.25657156005</c:v>
                </c:pt>
                <c:pt idx="4">
                  <c:v>154332.80455986003</c:v>
                </c:pt>
                <c:pt idx="5">
                  <c:v>155886.25859720967</c:v>
                </c:pt>
                <c:pt idx="6">
                  <c:v>151754.95331268615</c:v>
                </c:pt>
                <c:pt idx="7">
                  <c:v>148531.15311104656</c:v>
                </c:pt>
                <c:pt idx="8">
                  <c:v>147172.66608239349</c:v>
                </c:pt>
                <c:pt idx="9">
                  <c:v>145546.25412611151</c:v>
                </c:pt>
                <c:pt idx="10">
                  <c:v>150400.09840957832</c:v>
                </c:pt>
                <c:pt idx="11">
                  <c:v>151384.09551499947</c:v>
                </c:pt>
                <c:pt idx="12">
                  <c:v>157842.44733412564</c:v>
                </c:pt>
                <c:pt idx="13">
                  <c:v>153624.79422636583</c:v>
                </c:pt>
                <c:pt idx="14">
                  <c:v>146510.76720030932</c:v>
                </c:pt>
                <c:pt idx="15">
                  <c:v>154031.53665715351</c:v>
                </c:pt>
                <c:pt idx="16">
                  <c:v>163794.87322538867</c:v>
                </c:pt>
                <c:pt idx="17">
                  <c:v>166218.83242858335</c:v>
                </c:pt>
                <c:pt idx="18">
                  <c:v>174779.42506536408</c:v>
                </c:pt>
                <c:pt idx="19">
                  <c:v>178355.2366483511</c:v>
                </c:pt>
                <c:pt idx="20">
                  <c:v>186411.87841882629</c:v>
                </c:pt>
                <c:pt idx="21">
                  <c:v>183828.60640410607</c:v>
                </c:pt>
                <c:pt idx="22">
                  <c:v>186814.73833030884</c:v>
                </c:pt>
                <c:pt idx="23">
                  <c:v>189820.16477195395</c:v>
                </c:pt>
                <c:pt idx="24">
                  <c:v>195894.74717147206</c:v>
                </c:pt>
                <c:pt idx="25">
                  <c:v>196796.65214128798</c:v>
                </c:pt>
                <c:pt idx="26">
                  <c:v>204069.45989014747</c:v>
                </c:pt>
                <c:pt idx="27">
                  <c:v>212285.28025132421</c:v>
                </c:pt>
                <c:pt idx="28">
                  <c:v>216911.58710990631</c:v>
                </c:pt>
                <c:pt idx="29">
                  <c:v>215682.0224535311</c:v>
                </c:pt>
                <c:pt idx="30">
                  <c:v>200913.3786139494</c:v>
                </c:pt>
                <c:pt idx="31">
                  <c:v>199719.91222727048</c:v>
                </c:pt>
                <c:pt idx="32">
                  <c:v>300020.609532831</c:v>
                </c:pt>
                <c:pt idx="33">
                  <c:v>293563.75207904918</c:v>
                </c:pt>
                <c:pt idx="34">
                  <c:v>288420.54635619523</c:v>
                </c:pt>
                <c:pt idx="35">
                  <c:v>297314.47130272927</c:v>
                </c:pt>
                <c:pt idx="36">
                  <c:v>295640.27323395689</c:v>
                </c:pt>
                <c:pt idx="37">
                  <c:v>294184.78150805284</c:v>
                </c:pt>
                <c:pt idx="38">
                  <c:v>287952.56344422192</c:v>
                </c:pt>
                <c:pt idx="39">
                  <c:v>282996.81028966198</c:v>
                </c:pt>
                <c:pt idx="40">
                  <c:v>289206.70581925544</c:v>
                </c:pt>
                <c:pt idx="41">
                  <c:v>292913.95504030632</c:v>
                </c:pt>
                <c:pt idx="42">
                  <c:v>297819.52330397232</c:v>
                </c:pt>
                <c:pt idx="43">
                  <c:v>295972.38801228459</c:v>
                </c:pt>
                <c:pt idx="44">
                  <c:v>305752.84637745738</c:v>
                </c:pt>
                <c:pt idx="45">
                  <c:v>315972.40583817801</c:v>
                </c:pt>
                <c:pt idx="46">
                  <c:v>317377.05306064012</c:v>
                </c:pt>
                <c:pt idx="47">
                  <c:v>308066.05574276688</c:v>
                </c:pt>
                <c:pt idx="48">
                  <c:v>308805.6412437167</c:v>
                </c:pt>
                <c:pt idx="49">
                  <c:v>314231.99674538139</c:v>
                </c:pt>
                <c:pt idx="50">
                  <c:v>313896.32750325906</c:v>
                </c:pt>
                <c:pt idx="51">
                  <c:v>315262.8095780444</c:v>
                </c:pt>
                <c:pt idx="52">
                  <c:v>314578.66502067173</c:v>
                </c:pt>
                <c:pt idx="53">
                  <c:v>321352.60361179739</c:v>
                </c:pt>
                <c:pt idx="54">
                  <c:v>313520.52550014941</c:v>
                </c:pt>
                <c:pt idx="55">
                  <c:v>317721.29007740109</c:v>
                </c:pt>
                <c:pt idx="56">
                  <c:v>323644.22930197546</c:v>
                </c:pt>
                <c:pt idx="57">
                  <c:v>317358.56297919643</c:v>
                </c:pt>
                <c:pt idx="58">
                  <c:v>318154.4276664792</c:v>
                </c:pt>
                <c:pt idx="59">
                  <c:v>320904.41555844265</c:v>
                </c:pt>
                <c:pt idx="60">
                  <c:v>326063.97791624587</c:v>
                </c:pt>
                <c:pt idx="61">
                  <c:v>332363.72919711657</c:v>
                </c:pt>
                <c:pt idx="62">
                  <c:v>326854.42278067017</c:v>
                </c:pt>
                <c:pt idx="63">
                  <c:v>323960.98318913026</c:v>
                </c:pt>
                <c:pt idx="64">
                  <c:v>318026.05001597357</c:v>
                </c:pt>
                <c:pt idx="65">
                  <c:v>316391.99489938491</c:v>
                </c:pt>
                <c:pt idx="66">
                  <c:v>315347.45940943423</c:v>
                </c:pt>
                <c:pt idx="67">
                  <c:v>319430.02587721281</c:v>
                </c:pt>
                <c:pt idx="68">
                  <c:v>317303.58248518337</c:v>
                </c:pt>
                <c:pt idx="69">
                  <c:v>319794.58359250205</c:v>
                </c:pt>
                <c:pt idx="70">
                  <c:v>318544.72653024929</c:v>
                </c:pt>
                <c:pt idx="71">
                  <c:v>331317.0051478566</c:v>
                </c:pt>
                <c:pt idx="72">
                  <c:v>321324.99953539332</c:v>
                </c:pt>
                <c:pt idx="73">
                  <c:v>327249.63120901835</c:v>
                </c:pt>
                <c:pt idx="74">
                  <c:v>327707.95862844709</c:v>
                </c:pt>
                <c:pt idx="75">
                  <c:v>321158.29069673759</c:v>
                </c:pt>
                <c:pt idx="76">
                  <c:v>326126.83343542914</c:v>
                </c:pt>
                <c:pt idx="77">
                  <c:v>324054.00275518693</c:v>
                </c:pt>
                <c:pt idx="78">
                  <c:v>339128.07072700467</c:v>
                </c:pt>
                <c:pt idx="79">
                  <c:v>349309.65880562237</c:v>
                </c:pt>
                <c:pt idx="80">
                  <c:v>356342.3211987532</c:v>
                </c:pt>
                <c:pt idx="81">
                  <c:v>360036.00106291618</c:v>
                </c:pt>
                <c:pt idx="82">
                  <c:v>343939.2015125344</c:v>
                </c:pt>
                <c:pt idx="83">
                  <c:v>349510.69362727035</c:v>
                </c:pt>
                <c:pt idx="84">
                  <c:v>355489.92215025768</c:v>
                </c:pt>
                <c:pt idx="85">
                  <c:v>342173.08441022143</c:v>
                </c:pt>
                <c:pt idx="86">
                  <c:v>341165.52627861814</c:v>
                </c:pt>
                <c:pt idx="87">
                  <c:v>332450.29157339141</c:v>
                </c:pt>
                <c:pt idx="88">
                  <c:v>337206.62817054952</c:v>
                </c:pt>
                <c:pt idx="89">
                  <c:v>347496.43454080803</c:v>
                </c:pt>
                <c:pt idx="90">
                  <c:v>351053.82011293189</c:v>
                </c:pt>
                <c:pt idx="91">
                  <c:v>355529.40586103912</c:v>
                </c:pt>
                <c:pt idx="92">
                  <c:v>355244.47889819182</c:v>
                </c:pt>
                <c:pt idx="93">
                  <c:v>346090.10677553294</c:v>
                </c:pt>
                <c:pt idx="94">
                  <c:v>353501.68107188737</c:v>
                </c:pt>
                <c:pt idx="95">
                  <c:v>364071.39105739561</c:v>
                </c:pt>
                <c:pt idx="96">
                  <c:v>365333.41778052814</c:v>
                </c:pt>
                <c:pt idx="97">
                  <c:v>353739.69715470949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73-4275-ABBD-4E8B8C87BEE6}"/>
            </c:ext>
          </c:extLst>
        </c:ser>
        <c:ser>
          <c:idx val="0"/>
          <c:order val="1"/>
          <c:tx>
            <c:strRef>
              <c:f>'Portfolio Value'!$H$18</c:f>
              <c:strCache>
                <c:ptCount val="1"/>
                <c:pt idx="0">
                  <c:v>Cumulative Deposit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'Portfolio Value'!$A$19:$A$10000</c:f>
              <c:numCache>
                <c:formatCode>d\-mmm\-yy</c:formatCode>
                <c:ptCount val="998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  <c:pt idx="52">
                  <c:v>44199</c:v>
                </c:pt>
                <c:pt idx="53">
                  <c:v>44206</c:v>
                </c:pt>
                <c:pt idx="54">
                  <c:v>44213</c:v>
                </c:pt>
                <c:pt idx="55">
                  <c:v>44220</c:v>
                </c:pt>
                <c:pt idx="56">
                  <c:v>44227</c:v>
                </c:pt>
                <c:pt idx="57">
                  <c:v>44234</c:v>
                </c:pt>
                <c:pt idx="58">
                  <c:v>44241</c:v>
                </c:pt>
                <c:pt idx="59">
                  <c:v>44248</c:v>
                </c:pt>
                <c:pt idx="60">
                  <c:v>44255</c:v>
                </c:pt>
                <c:pt idx="61">
                  <c:v>44262</c:v>
                </c:pt>
                <c:pt idx="62">
                  <c:v>44269</c:v>
                </c:pt>
                <c:pt idx="63">
                  <c:v>44276</c:v>
                </c:pt>
                <c:pt idx="64">
                  <c:v>44283</c:v>
                </c:pt>
                <c:pt idx="65">
                  <c:v>44290</c:v>
                </c:pt>
                <c:pt idx="66">
                  <c:v>44297</c:v>
                </c:pt>
                <c:pt idx="67">
                  <c:v>44304</c:v>
                </c:pt>
                <c:pt idx="68">
                  <c:v>44311</c:v>
                </c:pt>
                <c:pt idx="69">
                  <c:v>44318</c:v>
                </c:pt>
                <c:pt idx="70">
                  <c:v>44325</c:v>
                </c:pt>
                <c:pt idx="71">
                  <c:v>44332</c:v>
                </c:pt>
                <c:pt idx="72">
                  <c:v>44339</c:v>
                </c:pt>
                <c:pt idx="73">
                  <c:v>44346</c:v>
                </c:pt>
                <c:pt idx="74">
                  <c:v>44353</c:v>
                </c:pt>
                <c:pt idx="75">
                  <c:v>44360</c:v>
                </c:pt>
                <c:pt idx="76">
                  <c:v>44367</c:v>
                </c:pt>
                <c:pt idx="77">
                  <c:v>44374</c:v>
                </c:pt>
                <c:pt idx="78">
                  <c:v>44381</c:v>
                </c:pt>
                <c:pt idx="79">
                  <c:v>44388</c:v>
                </c:pt>
                <c:pt idx="80">
                  <c:v>44395</c:v>
                </c:pt>
                <c:pt idx="81">
                  <c:v>44402</c:v>
                </c:pt>
                <c:pt idx="82">
                  <c:v>44409</c:v>
                </c:pt>
                <c:pt idx="83">
                  <c:v>44416</c:v>
                </c:pt>
                <c:pt idx="84">
                  <c:v>44423</c:v>
                </c:pt>
                <c:pt idx="85">
                  <c:v>44430</c:v>
                </c:pt>
                <c:pt idx="86">
                  <c:v>44437</c:v>
                </c:pt>
                <c:pt idx="87">
                  <c:v>44444</c:v>
                </c:pt>
                <c:pt idx="88">
                  <c:v>44451</c:v>
                </c:pt>
                <c:pt idx="89">
                  <c:v>44458</c:v>
                </c:pt>
                <c:pt idx="90">
                  <c:v>44465</c:v>
                </c:pt>
                <c:pt idx="91">
                  <c:v>44472</c:v>
                </c:pt>
                <c:pt idx="92">
                  <c:v>44479</c:v>
                </c:pt>
                <c:pt idx="93">
                  <c:v>44486</c:v>
                </c:pt>
                <c:pt idx="94">
                  <c:v>44493</c:v>
                </c:pt>
                <c:pt idx="95">
                  <c:v>44500</c:v>
                </c:pt>
                <c:pt idx="96">
                  <c:v>44507</c:v>
                </c:pt>
                <c:pt idx="97">
                  <c:v>44514</c:v>
                </c:pt>
              </c:numCache>
            </c:numRef>
          </c:cat>
          <c:val>
            <c:numRef>
              <c:f>'Portfolio Value'!$H$19:$H$10000</c:f>
              <c:numCache>
                <c:formatCode>#,##0.00</c:formatCode>
                <c:ptCount val="9982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150000</c:v>
                </c:pt>
                <c:pt idx="4">
                  <c:v>150000</c:v>
                </c:pt>
                <c:pt idx="5">
                  <c:v>150000</c:v>
                </c:pt>
                <c:pt idx="6">
                  <c:v>150000</c:v>
                </c:pt>
                <c:pt idx="7">
                  <c:v>150000</c:v>
                </c:pt>
                <c:pt idx="8">
                  <c:v>150000</c:v>
                </c:pt>
                <c:pt idx="9">
                  <c:v>150000</c:v>
                </c:pt>
                <c:pt idx="10">
                  <c:v>150000</c:v>
                </c:pt>
                <c:pt idx="11">
                  <c:v>150000</c:v>
                </c:pt>
                <c:pt idx="12">
                  <c:v>150000</c:v>
                </c:pt>
                <c:pt idx="13">
                  <c:v>150000</c:v>
                </c:pt>
                <c:pt idx="14">
                  <c:v>150000</c:v>
                </c:pt>
                <c:pt idx="15">
                  <c:v>150000</c:v>
                </c:pt>
                <c:pt idx="16">
                  <c:v>150000</c:v>
                </c:pt>
                <c:pt idx="17">
                  <c:v>150000</c:v>
                </c:pt>
                <c:pt idx="18">
                  <c:v>150000</c:v>
                </c:pt>
                <c:pt idx="19">
                  <c:v>150000</c:v>
                </c:pt>
                <c:pt idx="20">
                  <c:v>150000</c:v>
                </c:pt>
                <c:pt idx="21">
                  <c:v>150000</c:v>
                </c:pt>
                <c:pt idx="22">
                  <c:v>150000</c:v>
                </c:pt>
                <c:pt idx="23">
                  <c:v>150000</c:v>
                </c:pt>
                <c:pt idx="24">
                  <c:v>150000</c:v>
                </c:pt>
                <c:pt idx="25">
                  <c:v>150000</c:v>
                </c:pt>
                <c:pt idx="26">
                  <c:v>150000</c:v>
                </c:pt>
                <c:pt idx="27">
                  <c:v>150000</c:v>
                </c:pt>
                <c:pt idx="28">
                  <c:v>150000</c:v>
                </c:pt>
                <c:pt idx="29">
                  <c:v>150000</c:v>
                </c:pt>
                <c:pt idx="30">
                  <c:v>150000</c:v>
                </c:pt>
                <c:pt idx="31">
                  <c:v>150000</c:v>
                </c:pt>
                <c:pt idx="32">
                  <c:v>250000</c:v>
                </c:pt>
                <c:pt idx="33">
                  <c:v>250000</c:v>
                </c:pt>
                <c:pt idx="34">
                  <c:v>250000</c:v>
                </c:pt>
                <c:pt idx="35">
                  <c:v>250000</c:v>
                </c:pt>
                <c:pt idx="36">
                  <c:v>250000</c:v>
                </c:pt>
                <c:pt idx="37">
                  <c:v>250000</c:v>
                </c:pt>
                <c:pt idx="38">
                  <c:v>250000</c:v>
                </c:pt>
                <c:pt idx="39">
                  <c:v>250000</c:v>
                </c:pt>
                <c:pt idx="40">
                  <c:v>250000</c:v>
                </c:pt>
                <c:pt idx="41">
                  <c:v>250000</c:v>
                </c:pt>
                <c:pt idx="42">
                  <c:v>250000</c:v>
                </c:pt>
                <c:pt idx="43">
                  <c:v>250000</c:v>
                </c:pt>
                <c:pt idx="44">
                  <c:v>250000</c:v>
                </c:pt>
                <c:pt idx="45">
                  <c:v>250000</c:v>
                </c:pt>
                <c:pt idx="46">
                  <c:v>250000</c:v>
                </c:pt>
                <c:pt idx="47">
                  <c:v>250000</c:v>
                </c:pt>
                <c:pt idx="48">
                  <c:v>250000</c:v>
                </c:pt>
                <c:pt idx="49">
                  <c:v>250000</c:v>
                </c:pt>
                <c:pt idx="50">
                  <c:v>250000</c:v>
                </c:pt>
                <c:pt idx="51">
                  <c:v>250000</c:v>
                </c:pt>
                <c:pt idx="52">
                  <c:v>250000</c:v>
                </c:pt>
                <c:pt idx="53">
                  <c:v>250000</c:v>
                </c:pt>
                <c:pt idx="54">
                  <c:v>250000</c:v>
                </c:pt>
                <c:pt idx="55">
                  <c:v>250000</c:v>
                </c:pt>
                <c:pt idx="56">
                  <c:v>250000</c:v>
                </c:pt>
                <c:pt idx="57">
                  <c:v>250000</c:v>
                </c:pt>
                <c:pt idx="58">
                  <c:v>250000</c:v>
                </c:pt>
                <c:pt idx="59">
                  <c:v>250000</c:v>
                </c:pt>
                <c:pt idx="60">
                  <c:v>250000</c:v>
                </c:pt>
                <c:pt idx="61">
                  <c:v>250000</c:v>
                </c:pt>
                <c:pt idx="62">
                  <c:v>250000</c:v>
                </c:pt>
                <c:pt idx="63">
                  <c:v>250000</c:v>
                </c:pt>
                <c:pt idx="64">
                  <c:v>250000</c:v>
                </c:pt>
                <c:pt idx="65">
                  <c:v>250000</c:v>
                </c:pt>
                <c:pt idx="66">
                  <c:v>250000</c:v>
                </c:pt>
                <c:pt idx="67">
                  <c:v>250000</c:v>
                </c:pt>
                <c:pt idx="68">
                  <c:v>250000</c:v>
                </c:pt>
                <c:pt idx="69">
                  <c:v>250000</c:v>
                </c:pt>
                <c:pt idx="70">
                  <c:v>250000</c:v>
                </c:pt>
                <c:pt idx="71">
                  <c:v>250000</c:v>
                </c:pt>
                <c:pt idx="72">
                  <c:v>250000</c:v>
                </c:pt>
                <c:pt idx="73">
                  <c:v>250000</c:v>
                </c:pt>
                <c:pt idx="74">
                  <c:v>250000</c:v>
                </c:pt>
                <c:pt idx="75">
                  <c:v>250000</c:v>
                </c:pt>
                <c:pt idx="76">
                  <c:v>250000</c:v>
                </c:pt>
                <c:pt idx="77">
                  <c:v>250000</c:v>
                </c:pt>
                <c:pt idx="78">
                  <c:v>250000</c:v>
                </c:pt>
                <c:pt idx="79">
                  <c:v>250000</c:v>
                </c:pt>
                <c:pt idx="80">
                  <c:v>250000</c:v>
                </c:pt>
                <c:pt idx="81">
                  <c:v>250000</c:v>
                </c:pt>
                <c:pt idx="82">
                  <c:v>250000</c:v>
                </c:pt>
                <c:pt idx="83">
                  <c:v>250000</c:v>
                </c:pt>
                <c:pt idx="84">
                  <c:v>250000</c:v>
                </c:pt>
                <c:pt idx="85">
                  <c:v>250000</c:v>
                </c:pt>
                <c:pt idx="86">
                  <c:v>250000</c:v>
                </c:pt>
                <c:pt idx="87">
                  <c:v>250000</c:v>
                </c:pt>
                <c:pt idx="88">
                  <c:v>250000</c:v>
                </c:pt>
                <c:pt idx="89">
                  <c:v>250000</c:v>
                </c:pt>
                <c:pt idx="90">
                  <c:v>250000</c:v>
                </c:pt>
                <c:pt idx="91">
                  <c:v>250000</c:v>
                </c:pt>
                <c:pt idx="92">
                  <c:v>250000</c:v>
                </c:pt>
                <c:pt idx="93">
                  <c:v>250000</c:v>
                </c:pt>
                <c:pt idx="94">
                  <c:v>250000</c:v>
                </c:pt>
                <c:pt idx="95">
                  <c:v>250000</c:v>
                </c:pt>
                <c:pt idx="96">
                  <c:v>250000</c:v>
                </c:pt>
                <c:pt idx="97">
                  <c:v>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33-4597-A338-5547B9BDB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381408"/>
        <c:axId val="1662397632"/>
      </c:lineChart>
      <c:dateAx>
        <c:axId val="1662381408"/>
        <c:scaling>
          <c:orientation val="minMax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97632"/>
        <c:crosses val="autoZero"/>
        <c:auto val="0"/>
        <c:lblOffset val="100"/>
        <c:baseTimeUnit val="days"/>
      </c:dateAx>
      <c:valAx>
        <c:axId val="16623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'Portfolio Value'!$K$18</c:f>
              <c:strCache>
                <c:ptCount val="1"/>
                <c:pt idx="0">
                  <c:v>Portfolio Index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'Portfolio Value'!$A$19:$A$10000</c:f>
              <c:numCache>
                <c:formatCode>d\-mmm\-yy</c:formatCode>
                <c:ptCount val="998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  <c:pt idx="52">
                  <c:v>44199</c:v>
                </c:pt>
                <c:pt idx="53">
                  <c:v>44206</c:v>
                </c:pt>
                <c:pt idx="54">
                  <c:v>44213</c:v>
                </c:pt>
                <c:pt idx="55">
                  <c:v>44220</c:v>
                </c:pt>
                <c:pt idx="56">
                  <c:v>44227</c:v>
                </c:pt>
                <c:pt idx="57">
                  <c:v>44234</c:v>
                </c:pt>
                <c:pt idx="58">
                  <c:v>44241</c:v>
                </c:pt>
                <c:pt idx="59">
                  <c:v>44248</c:v>
                </c:pt>
                <c:pt idx="60">
                  <c:v>44255</c:v>
                </c:pt>
                <c:pt idx="61">
                  <c:v>44262</c:v>
                </c:pt>
                <c:pt idx="62">
                  <c:v>44269</c:v>
                </c:pt>
                <c:pt idx="63">
                  <c:v>44276</c:v>
                </c:pt>
                <c:pt idx="64">
                  <c:v>44283</c:v>
                </c:pt>
                <c:pt idx="65">
                  <c:v>44290</c:v>
                </c:pt>
                <c:pt idx="66">
                  <c:v>44297</c:v>
                </c:pt>
                <c:pt idx="67">
                  <c:v>44304</c:v>
                </c:pt>
                <c:pt idx="68">
                  <c:v>44311</c:v>
                </c:pt>
                <c:pt idx="69">
                  <c:v>44318</c:v>
                </c:pt>
                <c:pt idx="70">
                  <c:v>44325</c:v>
                </c:pt>
                <c:pt idx="71">
                  <c:v>44332</c:v>
                </c:pt>
                <c:pt idx="72">
                  <c:v>44339</c:v>
                </c:pt>
                <c:pt idx="73">
                  <c:v>44346</c:v>
                </c:pt>
                <c:pt idx="74">
                  <c:v>44353</c:v>
                </c:pt>
                <c:pt idx="75">
                  <c:v>44360</c:v>
                </c:pt>
                <c:pt idx="76">
                  <c:v>44367</c:v>
                </c:pt>
                <c:pt idx="77">
                  <c:v>44374</c:v>
                </c:pt>
                <c:pt idx="78">
                  <c:v>44381</c:v>
                </c:pt>
                <c:pt idx="79">
                  <c:v>44388</c:v>
                </c:pt>
                <c:pt idx="80">
                  <c:v>44395</c:v>
                </c:pt>
                <c:pt idx="81">
                  <c:v>44402</c:v>
                </c:pt>
                <c:pt idx="82">
                  <c:v>44409</c:v>
                </c:pt>
                <c:pt idx="83">
                  <c:v>44416</c:v>
                </c:pt>
                <c:pt idx="84">
                  <c:v>44423</c:v>
                </c:pt>
                <c:pt idx="85">
                  <c:v>44430</c:v>
                </c:pt>
                <c:pt idx="86">
                  <c:v>44437</c:v>
                </c:pt>
                <c:pt idx="87">
                  <c:v>44444</c:v>
                </c:pt>
                <c:pt idx="88">
                  <c:v>44451</c:v>
                </c:pt>
                <c:pt idx="89">
                  <c:v>44458</c:v>
                </c:pt>
                <c:pt idx="90">
                  <c:v>44465</c:v>
                </c:pt>
                <c:pt idx="91">
                  <c:v>44472</c:v>
                </c:pt>
                <c:pt idx="92">
                  <c:v>44479</c:v>
                </c:pt>
                <c:pt idx="93">
                  <c:v>44486</c:v>
                </c:pt>
                <c:pt idx="94">
                  <c:v>44493</c:v>
                </c:pt>
                <c:pt idx="95">
                  <c:v>44500</c:v>
                </c:pt>
                <c:pt idx="96">
                  <c:v>44507</c:v>
                </c:pt>
                <c:pt idx="97">
                  <c:v>44514</c:v>
                </c:pt>
              </c:numCache>
            </c:numRef>
          </c:cat>
          <c:val>
            <c:numRef>
              <c:f>'Portfolio Value'!$K$19:$K$10000</c:f>
              <c:numCache>
                <c:formatCode>0.00</c:formatCode>
                <c:ptCount val="9982"/>
                <c:pt idx="0">
                  <c:v>100</c:v>
                </c:pt>
                <c:pt idx="1">
                  <c:v>100</c:v>
                </c:pt>
                <c:pt idx="2">
                  <c:v>105.77705537182302</c:v>
                </c:pt>
                <c:pt idx="3">
                  <c:v>105.60083771437337</c:v>
                </c:pt>
                <c:pt idx="4">
                  <c:v>102.88853637324003</c:v>
                </c:pt>
                <c:pt idx="5">
                  <c:v>103.92417239813979</c:v>
                </c:pt>
                <c:pt idx="6">
                  <c:v>101.16996887512411</c:v>
                </c:pt>
                <c:pt idx="7">
                  <c:v>99.020768740697719</c:v>
                </c:pt>
                <c:pt idx="8">
                  <c:v>98.11511072159567</c:v>
                </c:pt>
                <c:pt idx="9">
                  <c:v>97.030836084074352</c:v>
                </c:pt>
                <c:pt idx="10">
                  <c:v>100.26673227305221</c:v>
                </c:pt>
                <c:pt idx="11">
                  <c:v>100.92273034333299</c:v>
                </c:pt>
                <c:pt idx="12">
                  <c:v>105.22829822275044</c:v>
                </c:pt>
                <c:pt idx="13">
                  <c:v>102.4165294842439</c:v>
                </c:pt>
                <c:pt idx="14">
                  <c:v>97.673844800206226</c:v>
                </c:pt>
                <c:pt idx="15">
                  <c:v>102.68769110476903</c:v>
                </c:pt>
                <c:pt idx="16">
                  <c:v>109.19658215025915</c:v>
                </c:pt>
                <c:pt idx="17">
                  <c:v>110.81255495238894</c:v>
                </c:pt>
                <c:pt idx="18">
                  <c:v>116.51961671024276</c:v>
                </c:pt>
                <c:pt idx="19">
                  <c:v>118.90349109890079</c:v>
                </c:pt>
                <c:pt idx="20">
                  <c:v>124.27458561255092</c:v>
                </c:pt>
                <c:pt idx="21">
                  <c:v>122.55240426940411</c:v>
                </c:pt>
                <c:pt idx="22">
                  <c:v>124.54315888687263</c:v>
                </c:pt>
                <c:pt idx="23">
                  <c:v>126.54677651463602</c:v>
                </c:pt>
                <c:pt idx="24">
                  <c:v>130.59649811431476</c:v>
                </c:pt>
                <c:pt idx="25">
                  <c:v>131.19776809419204</c:v>
                </c:pt>
                <c:pt idx="26">
                  <c:v>136.04630659343172</c:v>
                </c:pt>
                <c:pt idx="27">
                  <c:v>141.52352016754955</c:v>
                </c:pt>
                <c:pt idx="28">
                  <c:v>144.60772473993762</c:v>
                </c:pt>
                <c:pt idx="29">
                  <c:v>143.78801496902082</c:v>
                </c:pt>
                <c:pt idx="30">
                  <c:v>133.9422524092997</c:v>
                </c:pt>
                <c:pt idx="31">
                  <c:v>133.14660815151376</c:v>
                </c:pt>
                <c:pt idx="32">
                  <c:v>133.34707302188744</c:v>
                </c:pt>
                <c:pt idx="33">
                  <c:v>130.47726003229965</c:v>
                </c:pt>
                <c:pt idx="34">
                  <c:v>128.19131230970848</c:v>
                </c:pt>
                <c:pt idx="35">
                  <c:v>132.1443036096841</c:v>
                </c:pt>
                <c:pt idx="36">
                  <c:v>131.40019002202985</c:v>
                </c:pt>
                <c:pt idx="37">
                  <c:v>130.75328259203997</c:v>
                </c:pt>
                <c:pt idx="38">
                  <c:v>127.98331276050061</c:v>
                </c:pt>
                <c:pt idx="39">
                  <c:v>125.78068015199896</c:v>
                </c:pt>
                <c:pt idx="40">
                  <c:v>128.540728516451</c:v>
                </c:pt>
                <c:pt idx="41">
                  <c:v>130.18845142908549</c:v>
                </c:pt>
                <c:pt idx="42">
                  <c:v>132.36877887554829</c:v>
                </c:pt>
                <c:pt idx="43">
                  <c:v>131.5478016599979</c:v>
                </c:pt>
                <c:pt idx="44">
                  <c:v>135.89482134587553</c:v>
                </c:pt>
                <c:pt idx="45">
                  <c:v>140.43700377721649</c:v>
                </c:pt>
                <c:pt idx="46">
                  <c:v>141.0613128739659</c:v>
                </c:pt>
                <c:pt idx="47">
                  <c:v>136.92294970889415</c:v>
                </c:pt>
                <c:pt idx="48">
                  <c:v>137.25166566595672</c:v>
                </c:pt>
                <c:pt idx="49">
                  <c:v>139.66346205704437</c:v>
                </c:pt>
                <c:pt idx="50">
                  <c:v>139.51427060312997</c:v>
                </c:pt>
                <c:pt idx="51">
                  <c:v>140.1216168294217</c:v>
                </c:pt>
                <c:pt idx="52">
                  <c:v>139.8175421380478</c:v>
                </c:pt>
                <c:pt idx="53">
                  <c:v>142.82828491789596</c:v>
                </c:pt>
                <c:pt idx="54">
                  <c:v>139.34724175391705</c:v>
                </c:pt>
                <c:pt idx="55">
                  <c:v>141.21431235850909</c:v>
                </c:pt>
                <c:pt idx="56">
                  <c:v>143.84682020693106</c:v>
                </c:pt>
                <c:pt idx="57">
                  <c:v>141.05309477773477</c:v>
                </c:pt>
                <c:pt idx="58">
                  <c:v>141.40682456561797</c:v>
                </c:pt>
                <c:pt idx="59">
                  <c:v>142.62908338580354</c:v>
                </c:pt>
                <c:pt idx="60">
                  <c:v>144.92230097361622</c:v>
                </c:pt>
                <c:pt idx="61">
                  <c:v>147.72228659919728</c:v>
                </c:pt>
                <c:pt idx="62">
                  <c:v>145.27362186860503</c:v>
                </c:pt>
                <c:pt idx="63">
                  <c:v>143.98760454766739</c:v>
                </c:pt>
                <c:pt idx="64">
                  <c:v>141.34976587234016</c:v>
                </c:pt>
                <c:pt idx="65">
                  <c:v>140.62349420956065</c:v>
                </c:pt>
                <c:pt idx="66">
                  <c:v>140.15924026890872</c:v>
                </c:pt>
                <c:pt idx="67">
                  <c:v>141.97377657607532</c:v>
                </c:pt>
                <c:pt idx="68">
                  <c:v>141.02865816332564</c:v>
                </c:pt>
                <c:pt idx="69">
                  <c:v>142.13580779238762</c:v>
                </c:pt>
                <c:pt idx="70">
                  <c:v>141.58029668531182</c:v>
                </c:pt>
                <c:pt idx="71">
                  <c:v>147.25705993211005</c:v>
                </c:pt>
                <c:pt idx="72">
                  <c:v>142.81601601811039</c:v>
                </c:pt>
                <c:pt idx="73">
                  <c:v>145.4492760919461</c:v>
                </c:pt>
                <c:pt idx="74">
                  <c:v>145.65298416374046</c:v>
                </c:pt>
                <c:pt idx="75">
                  <c:v>142.74192065607431</c:v>
                </c:pt>
                <c:pt idx="76">
                  <c:v>144.9502377194265</c:v>
                </c:pt>
                <c:pt idx="77">
                  <c:v>144.02894799699487</c:v>
                </c:pt>
                <c:pt idx="78">
                  <c:v>150.72876387199366</c:v>
                </c:pt>
                <c:pt idx="79">
                  <c:v>155.25406955386762</c:v>
                </c:pt>
                <c:pt idx="80">
                  <c:v>158.37980463965172</c:v>
                </c:pt>
                <c:pt idx="81">
                  <c:v>160.02149651986278</c:v>
                </c:pt>
                <c:pt idx="82">
                  <c:v>152.86711766433766</c:v>
                </c:pt>
                <c:pt idx="83">
                  <c:v>155.34342143234016</c:v>
                </c:pt>
                <c:pt idx="84">
                  <c:v>158.0009476059949</c:v>
                </c:pt>
                <c:pt idx="85">
                  <c:v>152.08214976971851</c:v>
                </c:pt>
                <c:pt idx="86">
                  <c:v>151.63433077502376</c:v>
                </c:pt>
                <c:pt idx="87">
                  <c:v>147.76076008782874</c:v>
                </c:pt>
                <c:pt idx="88">
                  <c:v>149.87476007111493</c:v>
                </c:pt>
                <c:pt idx="89">
                  <c:v>154.44816442347758</c:v>
                </c:pt>
                <c:pt idx="90">
                  <c:v>156.02927898221293</c:v>
                </c:pt>
                <c:pt idx="91">
                  <c:v>158.01849652462735</c:v>
                </c:pt>
                <c:pt idx="92">
                  <c:v>157.89185796942988</c:v>
                </c:pt>
                <c:pt idx="93">
                  <c:v>153.82310839315736</c:v>
                </c:pt>
                <c:pt idx="94">
                  <c:v>157.11725455345626</c:v>
                </c:pt>
                <c:pt idx="95">
                  <c:v>161.81506478540138</c:v>
                </c:pt>
                <c:pt idx="96">
                  <c:v>162.37598481641916</c:v>
                </c:pt>
                <c:pt idx="97">
                  <c:v>157.22304311253524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F9-490B-8EA0-731C8B376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381408"/>
        <c:axId val="1662397632"/>
      </c:lineChart>
      <c:dateAx>
        <c:axId val="1662381408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97632"/>
        <c:crosses val="autoZero"/>
        <c:auto val="1"/>
        <c:lblOffset val="100"/>
        <c:baseTimeUnit val="days"/>
      </c:dateAx>
      <c:valAx>
        <c:axId val="16623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'Portfolio Value'!$C$18</c:f>
              <c:strCache>
                <c:ptCount val="1"/>
                <c:pt idx="0">
                  <c:v>Realized PnL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'Portfolio Value'!$A$19:$A$10000</c:f>
              <c:numCache>
                <c:formatCode>d\-mmm\-yy</c:formatCode>
                <c:ptCount val="9982"/>
                <c:pt idx="0">
                  <c:v>43835</c:v>
                </c:pt>
                <c:pt idx="1">
                  <c:v>43842</c:v>
                </c:pt>
                <c:pt idx="2">
                  <c:v>43849</c:v>
                </c:pt>
                <c:pt idx="3">
                  <c:v>43856</c:v>
                </c:pt>
                <c:pt idx="4">
                  <c:v>43863</c:v>
                </c:pt>
                <c:pt idx="5">
                  <c:v>43870</c:v>
                </c:pt>
                <c:pt idx="6">
                  <c:v>43877</c:v>
                </c:pt>
                <c:pt idx="7">
                  <c:v>43884</c:v>
                </c:pt>
                <c:pt idx="8">
                  <c:v>43891</c:v>
                </c:pt>
                <c:pt idx="9">
                  <c:v>43898</c:v>
                </c:pt>
                <c:pt idx="10">
                  <c:v>43905</c:v>
                </c:pt>
                <c:pt idx="11">
                  <c:v>43912</c:v>
                </c:pt>
                <c:pt idx="12">
                  <c:v>43919</c:v>
                </c:pt>
                <c:pt idx="13">
                  <c:v>43926</c:v>
                </c:pt>
                <c:pt idx="14">
                  <c:v>43933</c:v>
                </c:pt>
                <c:pt idx="15">
                  <c:v>43940</c:v>
                </c:pt>
                <c:pt idx="16">
                  <c:v>43947</c:v>
                </c:pt>
                <c:pt idx="17">
                  <c:v>43954</c:v>
                </c:pt>
                <c:pt idx="18">
                  <c:v>43961</c:v>
                </c:pt>
                <c:pt idx="19">
                  <c:v>43968</c:v>
                </c:pt>
                <c:pt idx="20">
                  <c:v>43975</c:v>
                </c:pt>
                <c:pt idx="21">
                  <c:v>43982</c:v>
                </c:pt>
                <c:pt idx="22">
                  <c:v>43989</c:v>
                </c:pt>
                <c:pt idx="23">
                  <c:v>43996</c:v>
                </c:pt>
                <c:pt idx="24">
                  <c:v>44003</c:v>
                </c:pt>
                <c:pt idx="25">
                  <c:v>44010</c:v>
                </c:pt>
                <c:pt idx="26">
                  <c:v>44017</c:v>
                </c:pt>
                <c:pt idx="27">
                  <c:v>44024</c:v>
                </c:pt>
                <c:pt idx="28">
                  <c:v>44031</c:v>
                </c:pt>
                <c:pt idx="29">
                  <c:v>44038</c:v>
                </c:pt>
                <c:pt idx="30">
                  <c:v>44045</c:v>
                </c:pt>
                <c:pt idx="31">
                  <c:v>44052</c:v>
                </c:pt>
                <c:pt idx="32">
                  <c:v>44059</c:v>
                </c:pt>
                <c:pt idx="33">
                  <c:v>44066</c:v>
                </c:pt>
                <c:pt idx="34">
                  <c:v>44073</c:v>
                </c:pt>
                <c:pt idx="35">
                  <c:v>44080</c:v>
                </c:pt>
                <c:pt idx="36">
                  <c:v>44087</c:v>
                </c:pt>
                <c:pt idx="37">
                  <c:v>44094</c:v>
                </c:pt>
                <c:pt idx="38">
                  <c:v>44101</c:v>
                </c:pt>
                <c:pt idx="39">
                  <c:v>44108</c:v>
                </c:pt>
                <c:pt idx="40">
                  <c:v>44115</c:v>
                </c:pt>
                <c:pt idx="41">
                  <c:v>44122</c:v>
                </c:pt>
                <c:pt idx="42">
                  <c:v>44129</c:v>
                </c:pt>
                <c:pt idx="43">
                  <c:v>44136</c:v>
                </c:pt>
                <c:pt idx="44">
                  <c:v>44143</c:v>
                </c:pt>
                <c:pt idx="45">
                  <c:v>44150</c:v>
                </c:pt>
                <c:pt idx="46">
                  <c:v>44157</c:v>
                </c:pt>
                <c:pt idx="47">
                  <c:v>44164</c:v>
                </c:pt>
                <c:pt idx="48">
                  <c:v>44171</c:v>
                </c:pt>
                <c:pt idx="49">
                  <c:v>44178</c:v>
                </c:pt>
                <c:pt idx="50">
                  <c:v>44185</c:v>
                </c:pt>
                <c:pt idx="51">
                  <c:v>44192</c:v>
                </c:pt>
                <c:pt idx="52">
                  <c:v>44199</c:v>
                </c:pt>
                <c:pt idx="53">
                  <c:v>44206</c:v>
                </c:pt>
                <c:pt idx="54">
                  <c:v>44213</c:v>
                </c:pt>
                <c:pt idx="55">
                  <c:v>44220</c:v>
                </c:pt>
                <c:pt idx="56">
                  <c:v>44227</c:v>
                </c:pt>
                <c:pt idx="57">
                  <c:v>44234</c:v>
                </c:pt>
                <c:pt idx="58">
                  <c:v>44241</c:v>
                </c:pt>
                <c:pt idx="59">
                  <c:v>44248</c:v>
                </c:pt>
                <c:pt idx="60">
                  <c:v>44255</c:v>
                </c:pt>
                <c:pt idx="61">
                  <c:v>44262</c:v>
                </c:pt>
                <c:pt idx="62">
                  <c:v>44269</c:v>
                </c:pt>
                <c:pt idx="63">
                  <c:v>44276</c:v>
                </c:pt>
                <c:pt idx="64">
                  <c:v>44283</c:v>
                </c:pt>
                <c:pt idx="65">
                  <c:v>44290</c:v>
                </c:pt>
                <c:pt idx="66">
                  <c:v>44297</c:v>
                </c:pt>
                <c:pt idx="67">
                  <c:v>44304</c:v>
                </c:pt>
                <c:pt idx="68">
                  <c:v>44311</c:v>
                </c:pt>
                <c:pt idx="69">
                  <c:v>44318</c:v>
                </c:pt>
                <c:pt idx="70">
                  <c:v>44325</c:v>
                </c:pt>
                <c:pt idx="71">
                  <c:v>44332</c:v>
                </c:pt>
                <c:pt idx="72">
                  <c:v>44339</c:v>
                </c:pt>
                <c:pt idx="73">
                  <c:v>44346</c:v>
                </c:pt>
                <c:pt idx="74">
                  <c:v>44353</c:v>
                </c:pt>
                <c:pt idx="75">
                  <c:v>44360</c:v>
                </c:pt>
                <c:pt idx="76">
                  <c:v>44367</c:v>
                </c:pt>
                <c:pt idx="77">
                  <c:v>44374</c:v>
                </c:pt>
                <c:pt idx="78">
                  <c:v>44381</c:v>
                </c:pt>
                <c:pt idx="79">
                  <c:v>44388</c:v>
                </c:pt>
                <c:pt idx="80">
                  <c:v>44395</c:v>
                </c:pt>
                <c:pt idx="81">
                  <c:v>44402</c:v>
                </c:pt>
                <c:pt idx="82">
                  <c:v>44409</c:v>
                </c:pt>
                <c:pt idx="83">
                  <c:v>44416</c:v>
                </c:pt>
                <c:pt idx="84">
                  <c:v>44423</c:v>
                </c:pt>
                <c:pt idx="85">
                  <c:v>44430</c:v>
                </c:pt>
                <c:pt idx="86">
                  <c:v>44437</c:v>
                </c:pt>
                <c:pt idx="87">
                  <c:v>44444</c:v>
                </c:pt>
                <c:pt idx="88">
                  <c:v>44451</c:v>
                </c:pt>
                <c:pt idx="89">
                  <c:v>44458</c:v>
                </c:pt>
                <c:pt idx="90">
                  <c:v>44465</c:v>
                </c:pt>
                <c:pt idx="91">
                  <c:v>44472</c:v>
                </c:pt>
                <c:pt idx="92">
                  <c:v>44479</c:v>
                </c:pt>
                <c:pt idx="93">
                  <c:v>44486</c:v>
                </c:pt>
                <c:pt idx="94">
                  <c:v>44493</c:v>
                </c:pt>
                <c:pt idx="95">
                  <c:v>44500</c:v>
                </c:pt>
                <c:pt idx="96">
                  <c:v>44507</c:v>
                </c:pt>
                <c:pt idx="97">
                  <c:v>44514</c:v>
                </c:pt>
              </c:numCache>
            </c:numRef>
          </c:cat>
          <c:val>
            <c:numRef>
              <c:f>'Portfolio Value'!$C$19:$C$10000</c:f>
              <c:numCache>
                <c:formatCode>#,##0.00</c:formatCode>
                <c:ptCount val="99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952.2999999999987</c:v>
                </c:pt>
                <c:pt idx="8">
                  <c:v>952.2999999999987</c:v>
                </c:pt>
                <c:pt idx="9">
                  <c:v>2152.8999999999992</c:v>
                </c:pt>
                <c:pt idx="10">
                  <c:v>2199.639999999999</c:v>
                </c:pt>
                <c:pt idx="11">
                  <c:v>1228.1999999999985</c:v>
                </c:pt>
                <c:pt idx="12">
                  <c:v>6914.5499999999975</c:v>
                </c:pt>
                <c:pt idx="13">
                  <c:v>12224.449999999999</c:v>
                </c:pt>
                <c:pt idx="14">
                  <c:v>12224.449999999999</c:v>
                </c:pt>
                <c:pt idx="15">
                  <c:v>14534.449999999999</c:v>
                </c:pt>
                <c:pt idx="16">
                  <c:v>14534.449999999999</c:v>
                </c:pt>
                <c:pt idx="17">
                  <c:v>14534.449999999999</c:v>
                </c:pt>
                <c:pt idx="18">
                  <c:v>13419.35</c:v>
                </c:pt>
                <c:pt idx="19">
                  <c:v>13780.609999999999</c:v>
                </c:pt>
                <c:pt idx="20">
                  <c:v>9147.409999999998</c:v>
                </c:pt>
                <c:pt idx="21">
                  <c:v>9147.409999999998</c:v>
                </c:pt>
                <c:pt idx="22">
                  <c:v>9147.409999999998</c:v>
                </c:pt>
                <c:pt idx="23">
                  <c:v>10468.669999999998</c:v>
                </c:pt>
                <c:pt idx="24">
                  <c:v>15293.829999999998</c:v>
                </c:pt>
                <c:pt idx="25">
                  <c:v>16821.07</c:v>
                </c:pt>
                <c:pt idx="26">
                  <c:v>16821.07</c:v>
                </c:pt>
                <c:pt idx="27">
                  <c:v>16821.07</c:v>
                </c:pt>
                <c:pt idx="28">
                  <c:v>18209.769999999997</c:v>
                </c:pt>
                <c:pt idx="29">
                  <c:v>18783.809999999998</c:v>
                </c:pt>
                <c:pt idx="30">
                  <c:v>18783.809999999998</c:v>
                </c:pt>
                <c:pt idx="31">
                  <c:v>18783.809999999998</c:v>
                </c:pt>
                <c:pt idx="32">
                  <c:v>18783.809999999998</c:v>
                </c:pt>
                <c:pt idx="33">
                  <c:v>27998.753540499994</c:v>
                </c:pt>
                <c:pt idx="34">
                  <c:v>29912.753540499994</c:v>
                </c:pt>
                <c:pt idx="35">
                  <c:v>30646.913540499994</c:v>
                </c:pt>
                <c:pt idx="36">
                  <c:v>32994.373540499997</c:v>
                </c:pt>
                <c:pt idx="37">
                  <c:v>36584.543540499988</c:v>
                </c:pt>
                <c:pt idx="38">
                  <c:v>36584.543540499988</c:v>
                </c:pt>
                <c:pt idx="39">
                  <c:v>49829.263540499989</c:v>
                </c:pt>
                <c:pt idx="40">
                  <c:v>49829.263540499989</c:v>
                </c:pt>
                <c:pt idx="41">
                  <c:v>50896.843540499984</c:v>
                </c:pt>
                <c:pt idx="42">
                  <c:v>50896.843540499984</c:v>
                </c:pt>
                <c:pt idx="43">
                  <c:v>53754.883540499985</c:v>
                </c:pt>
                <c:pt idx="44">
                  <c:v>53754.883540499985</c:v>
                </c:pt>
                <c:pt idx="45">
                  <c:v>53754.883540499985</c:v>
                </c:pt>
                <c:pt idx="46">
                  <c:v>43027.703540499977</c:v>
                </c:pt>
                <c:pt idx="47">
                  <c:v>43027.703540499977</c:v>
                </c:pt>
                <c:pt idx="48">
                  <c:v>48634.703540499977</c:v>
                </c:pt>
                <c:pt idx="49">
                  <c:v>48634.703540499977</c:v>
                </c:pt>
                <c:pt idx="50">
                  <c:v>48690.303540499983</c:v>
                </c:pt>
                <c:pt idx="51">
                  <c:v>55265.053540499983</c:v>
                </c:pt>
                <c:pt idx="52">
                  <c:v>55666.193540499982</c:v>
                </c:pt>
                <c:pt idx="53">
                  <c:v>48315.056040499985</c:v>
                </c:pt>
                <c:pt idx="54">
                  <c:v>52264.196040499985</c:v>
                </c:pt>
                <c:pt idx="55">
                  <c:v>47593.966040499981</c:v>
                </c:pt>
                <c:pt idx="56">
                  <c:v>49100.77663121598</c:v>
                </c:pt>
                <c:pt idx="57">
                  <c:v>53764.996631215981</c:v>
                </c:pt>
                <c:pt idx="58">
                  <c:v>58355.296631215984</c:v>
                </c:pt>
                <c:pt idx="59">
                  <c:v>54415.166631215987</c:v>
                </c:pt>
                <c:pt idx="60">
                  <c:v>54415.166631215987</c:v>
                </c:pt>
                <c:pt idx="61">
                  <c:v>54415.166631215987</c:v>
                </c:pt>
                <c:pt idx="62">
                  <c:v>50486.906631215985</c:v>
                </c:pt>
                <c:pt idx="63">
                  <c:v>55991.346631215987</c:v>
                </c:pt>
                <c:pt idx="64">
                  <c:v>55991.346631215987</c:v>
                </c:pt>
                <c:pt idx="65">
                  <c:v>57177.846631215987</c:v>
                </c:pt>
                <c:pt idx="66">
                  <c:v>60373.276631215987</c:v>
                </c:pt>
                <c:pt idx="67">
                  <c:v>54801.386631215995</c:v>
                </c:pt>
                <c:pt idx="68">
                  <c:v>53270.486631215994</c:v>
                </c:pt>
                <c:pt idx="69">
                  <c:v>57173.766631215993</c:v>
                </c:pt>
                <c:pt idx="70">
                  <c:v>57173.766631215993</c:v>
                </c:pt>
                <c:pt idx="71">
                  <c:v>56933.126631215993</c:v>
                </c:pt>
                <c:pt idx="72">
                  <c:v>54526.736631215987</c:v>
                </c:pt>
                <c:pt idx="73">
                  <c:v>54099.876631215986</c:v>
                </c:pt>
                <c:pt idx="74">
                  <c:v>54266.796631215992</c:v>
                </c:pt>
                <c:pt idx="75">
                  <c:v>57923.946631215993</c:v>
                </c:pt>
                <c:pt idx="76">
                  <c:v>73371.956631215988</c:v>
                </c:pt>
                <c:pt idx="77">
                  <c:v>73371.956631215988</c:v>
                </c:pt>
                <c:pt idx="78">
                  <c:v>74505.836631215992</c:v>
                </c:pt>
                <c:pt idx="79">
                  <c:v>76209.176631215989</c:v>
                </c:pt>
                <c:pt idx="80">
                  <c:v>74283.956631215988</c:v>
                </c:pt>
                <c:pt idx="81">
                  <c:v>70578.716631215982</c:v>
                </c:pt>
                <c:pt idx="82">
                  <c:v>67933.256631215976</c:v>
                </c:pt>
                <c:pt idx="83">
                  <c:v>77695.676631215974</c:v>
                </c:pt>
                <c:pt idx="84">
                  <c:v>74223.926631215974</c:v>
                </c:pt>
                <c:pt idx="85">
                  <c:v>74223.926631215974</c:v>
                </c:pt>
                <c:pt idx="86">
                  <c:v>77607.246631215967</c:v>
                </c:pt>
                <c:pt idx="87">
                  <c:v>77607.246631215967</c:v>
                </c:pt>
                <c:pt idx="88">
                  <c:v>77071.746631215967</c:v>
                </c:pt>
                <c:pt idx="89">
                  <c:v>77071.746631215967</c:v>
                </c:pt>
                <c:pt idx="90">
                  <c:v>76316.910031215972</c:v>
                </c:pt>
                <c:pt idx="91">
                  <c:v>77198.750031215968</c:v>
                </c:pt>
                <c:pt idx="92">
                  <c:v>76838.428531215963</c:v>
                </c:pt>
                <c:pt idx="93">
                  <c:v>71906.828531215957</c:v>
                </c:pt>
                <c:pt idx="94">
                  <c:v>71906.828531215957</c:v>
                </c:pt>
                <c:pt idx="95">
                  <c:v>76886.668531215953</c:v>
                </c:pt>
                <c:pt idx="96">
                  <c:v>85599.988531215946</c:v>
                </c:pt>
                <c:pt idx="97">
                  <c:v>82633.518531215945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3E-4C52-B770-F00E4510D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2381408"/>
        <c:axId val="1662397632"/>
      </c:lineChart>
      <c:dateAx>
        <c:axId val="1662381408"/>
        <c:scaling>
          <c:orientation val="minMax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97632"/>
        <c:crosses val="autoZero"/>
        <c:auto val="0"/>
        <c:lblOffset val="100"/>
        <c:baseTimeUnit val="days"/>
      </c:dateAx>
      <c:valAx>
        <c:axId val="16623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8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333375</xdr:colOff>
      <xdr:row>7</xdr:row>
      <xdr:rowOff>14288</xdr:rowOff>
    </xdr:from>
    <xdr:to>
      <xdr:col>29</xdr:col>
      <xdr:colOff>581025</xdr:colOff>
      <xdr:row>35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5602</xdr:colOff>
      <xdr:row>1</xdr:row>
      <xdr:rowOff>6724</xdr:rowOff>
    </xdr:from>
    <xdr:to>
      <xdr:col>9</xdr:col>
      <xdr:colOff>1355912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</xdr:row>
      <xdr:rowOff>0</xdr:rowOff>
    </xdr:from>
    <xdr:to>
      <xdr:col>16</xdr:col>
      <xdr:colOff>254935</xdr:colOff>
      <xdr:row>15</xdr:row>
      <xdr:rowOff>193301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9525</xdr:colOff>
      <xdr:row>1</xdr:row>
      <xdr:rowOff>1</xdr:rowOff>
    </xdr:from>
    <xdr:to>
      <xdr:col>27</xdr:col>
      <xdr:colOff>152400</xdr:colOff>
      <xdr:row>16</xdr:row>
      <xdr:rowOff>9526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1074-558E-43B6-BEA1-4D5511ED390C}">
  <dimension ref="B1:M27"/>
  <sheetViews>
    <sheetView workbookViewId="0"/>
  </sheetViews>
  <sheetFormatPr defaultRowHeight="15" x14ac:dyDescent="0.25"/>
  <cols>
    <col min="3" max="3" width="31" customWidth="1"/>
    <col min="4" max="4" width="26.42578125" customWidth="1"/>
    <col min="5" max="5" width="17" customWidth="1"/>
    <col min="6" max="6" width="11.7109375" customWidth="1"/>
    <col min="7" max="7" width="22" customWidth="1"/>
    <col min="8" max="8" width="21.42578125" customWidth="1"/>
    <col min="9" max="9" width="17.42578125" customWidth="1"/>
    <col min="10" max="12" width="18.28515625" customWidth="1"/>
    <col min="13" max="13" width="14.140625" customWidth="1"/>
    <col min="14" max="14" width="15.5703125" customWidth="1"/>
  </cols>
  <sheetData>
    <row r="1" spans="2:12" x14ac:dyDescent="0.25">
      <c r="B1" s="1" t="s">
        <v>0</v>
      </c>
      <c r="C1" s="89">
        <v>44521</v>
      </c>
      <c r="D1" s="63"/>
      <c r="J1" s="63"/>
      <c r="K1" s="63"/>
    </row>
    <row r="2" spans="2:12" ht="15.75" thickBot="1" x14ac:dyDescent="0.3">
      <c r="B2" s="1"/>
    </row>
    <row r="3" spans="2:12" ht="15.75" thickBot="1" x14ac:dyDescent="0.3">
      <c r="B3" s="147" t="s">
        <v>198</v>
      </c>
      <c r="C3" s="148" t="s">
        <v>200</v>
      </c>
      <c r="D3" s="148" t="s">
        <v>201</v>
      </c>
      <c r="E3" s="148" t="s">
        <v>199</v>
      </c>
      <c r="F3" s="148" t="s">
        <v>202</v>
      </c>
      <c r="G3" s="148" t="s">
        <v>236</v>
      </c>
      <c r="H3" s="148" t="s">
        <v>203</v>
      </c>
      <c r="I3" s="148" t="s">
        <v>218</v>
      </c>
      <c r="J3" s="148" t="s">
        <v>234</v>
      </c>
      <c r="K3" s="148" t="s">
        <v>217</v>
      </c>
      <c r="L3" s="149" t="s">
        <v>204</v>
      </c>
    </row>
    <row r="4" spans="2:12" x14ac:dyDescent="0.25">
      <c r="B4" s="142" t="s">
        <v>163</v>
      </c>
      <c r="C4" s="143" t="s">
        <v>62</v>
      </c>
      <c r="D4" s="144">
        <v>44503</v>
      </c>
      <c r="E4" s="145" t="s">
        <v>25</v>
      </c>
      <c r="F4" s="14">
        <v>220</v>
      </c>
      <c r="G4" s="146">
        <v>104.8</v>
      </c>
      <c r="H4" s="15">
        <v>107.93</v>
      </c>
      <c r="I4" s="139">
        <f>IF(AND(ISNUMBER(H4),ISNUMBER(F4)),H4*F4,"")</f>
        <v>23744.600000000002</v>
      </c>
      <c r="J4" s="139">
        <f>IFERROR(IF(E4="Long",I4,-I4),"")</f>
        <v>23744.600000000002</v>
      </c>
      <c r="K4" s="115">
        <f t="shared" ref="K4:K23" si="0">IF(AND(ISNUMBER(G4),ISNUMBER(H4)),IF(E4="Long",(H4-G4)/G4,-(H4-G4)/G4),"")</f>
        <v>2.9866412213740551E-2</v>
      </c>
      <c r="L4" s="140">
        <f t="shared" ref="L4:L23" si="1">IF(AND(ISNUMBER(G4),ISNUMBER(H4),ISNUMBER(F4)),IF(E4="Long",(H4-G4)*F4,-(H4-G4)*F4),"")</f>
        <v>688.60000000000218</v>
      </c>
    </row>
    <row r="5" spans="2:12" x14ac:dyDescent="0.25">
      <c r="B5" s="54" t="s">
        <v>216</v>
      </c>
      <c r="C5" s="55" t="s">
        <v>205</v>
      </c>
      <c r="D5" s="56">
        <v>44442</v>
      </c>
      <c r="E5" s="55" t="s">
        <v>25</v>
      </c>
      <c r="F5" s="3">
        <v>580</v>
      </c>
      <c r="G5" s="53">
        <v>30.5</v>
      </c>
      <c r="H5" s="53">
        <v>29.81</v>
      </c>
      <c r="I5" s="139">
        <f t="shared" ref="I5:I23" si="2">IF(AND(ISNUMBER(H5),ISNUMBER(F5)),H5*F5,"")</f>
        <v>17289.8</v>
      </c>
      <c r="J5" s="139">
        <f t="shared" ref="J5:J23" si="3">IFERROR(IF(E5="Long",I5,-I5),"")</f>
        <v>17289.8</v>
      </c>
      <c r="K5" s="115">
        <f t="shared" si="0"/>
        <v>-2.2622950819672173E-2</v>
      </c>
      <c r="L5" s="140">
        <f t="shared" si="1"/>
        <v>-400.20000000000073</v>
      </c>
    </row>
    <row r="6" spans="2:12" x14ac:dyDescent="0.25">
      <c r="B6" s="54" t="s">
        <v>188</v>
      </c>
      <c r="C6" s="55" t="s">
        <v>128</v>
      </c>
      <c r="D6" s="56">
        <v>44448</v>
      </c>
      <c r="E6" s="55" t="s">
        <v>20</v>
      </c>
      <c r="F6" s="3">
        <v>75</v>
      </c>
      <c r="G6" s="53">
        <v>230.78</v>
      </c>
      <c r="H6" s="53">
        <v>248.47</v>
      </c>
      <c r="I6" s="139">
        <f t="shared" si="2"/>
        <v>18635.25</v>
      </c>
      <c r="J6" s="122">
        <f t="shared" si="3"/>
        <v>-18635.25</v>
      </c>
      <c r="K6" s="119">
        <f t="shared" si="0"/>
        <v>-7.6653089522488935E-2</v>
      </c>
      <c r="L6" s="123">
        <f t="shared" si="1"/>
        <v>-1326.7499999999998</v>
      </c>
    </row>
    <row r="7" spans="2:12" x14ac:dyDescent="0.25">
      <c r="B7" s="54" t="s">
        <v>184</v>
      </c>
      <c r="C7" s="55" t="s">
        <v>109</v>
      </c>
      <c r="D7" s="56">
        <v>44454</v>
      </c>
      <c r="E7" s="55" t="s">
        <v>25</v>
      </c>
      <c r="F7" s="3">
        <v>200</v>
      </c>
      <c r="G7" s="53">
        <v>143.99</v>
      </c>
      <c r="H7" s="53">
        <v>176.4</v>
      </c>
      <c r="I7" s="139">
        <f t="shared" si="2"/>
        <v>35280</v>
      </c>
      <c r="J7" s="122">
        <f t="shared" si="3"/>
        <v>35280</v>
      </c>
      <c r="K7" s="119">
        <f t="shared" si="0"/>
        <v>0.22508507535245501</v>
      </c>
      <c r="L7" s="123">
        <f t="shared" si="1"/>
        <v>6481.9999999999991</v>
      </c>
    </row>
    <row r="8" spans="2:12" x14ac:dyDescent="0.25">
      <c r="B8" s="54" t="s">
        <v>215</v>
      </c>
      <c r="C8" s="55" t="s">
        <v>206</v>
      </c>
      <c r="D8" s="56">
        <v>44455</v>
      </c>
      <c r="E8" s="55" t="s">
        <v>20</v>
      </c>
      <c r="F8" s="3">
        <v>150</v>
      </c>
      <c r="G8" s="53">
        <v>182.66</v>
      </c>
      <c r="H8" s="53">
        <v>179.23</v>
      </c>
      <c r="I8" s="139">
        <f t="shared" si="2"/>
        <v>26884.5</v>
      </c>
      <c r="J8" s="122">
        <f t="shared" si="3"/>
        <v>-26884.5</v>
      </c>
      <c r="K8" s="119">
        <f t="shared" si="0"/>
        <v>1.8778057593342862E-2</v>
      </c>
      <c r="L8" s="123">
        <f t="shared" si="1"/>
        <v>514.50000000000102</v>
      </c>
    </row>
    <row r="9" spans="2:12" x14ac:dyDescent="0.25">
      <c r="B9" s="54" t="s">
        <v>214</v>
      </c>
      <c r="C9" s="55" t="s">
        <v>207</v>
      </c>
      <c r="D9" s="56">
        <v>44468</v>
      </c>
      <c r="E9" s="55" t="s">
        <v>25</v>
      </c>
      <c r="F9" s="3">
        <v>350</v>
      </c>
      <c r="G9" s="53">
        <v>80.94</v>
      </c>
      <c r="H9" s="53">
        <v>94.11</v>
      </c>
      <c r="I9" s="139">
        <f t="shared" si="2"/>
        <v>32938.5</v>
      </c>
      <c r="J9" s="122">
        <f t="shared" si="3"/>
        <v>32938.5</v>
      </c>
      <c r="K9" s="119">
        <f t="shared" si="0"/>
        <v>0.16271312083024464</v>
      </c>
      <c r="L9" s="123">
        <f t="shared" si="1"/>
        <v>4609.5000000000009</v>
      </c>
    </row>
    <row r="10" spans="2:12" x14ac:dyDescent="0.25">
      <c r="B10" s="54" t="s">
        <v>194</v>
      </c>
      <c r="C10" s="55" t="s">
        <v>49</v>
      </c>
      <c r="D10" s="56">
        <v>44496</v>
      </c>
      <c r="E10" s="55" t="s">
        <v>20</v>
      </c>
      <c r="F10" s="3">
        <v>85</v>
      </c>
      <c r="G10" s="53">
        <v>291.52999999999997</v>
      </c>
      <c r="H10" s="53">
        <v>291.72000000000003</v>
      </c>
      <c r="I10" s="139">
        <f t="shared" si="2"/>
        <v>24796.2</v>
      </c>
      <c r="J10" s="122">
        <f t="shared" si="3"/>
        <v>-24796.2</v>
      </c>
      <c r="K10" s="119">
        <f t="shared" si="0"/>
        <v>-6.5173395533926043E-4</v>
      </c>
      <c r="L10" s="123">
        <f t="shared" si="1"/>
        <v>-16.150000000004638</v>
      </c>
    </row>
    <row r="11" spans="2:12" x14ac:dyDescent="0.25">
      <c r="B11" s="54" t="s">
        <v>213</v>
      </c>
      <c r="C11" s="55" t="s">
        <v>208</v>
      </c>
      <c r="D11" s="56">
        <v>44488</v>
      </c>
      <c r="E11" s="55" t="s">
        <v>20</v>
      </c>
      <c r="F11" s="3">
        <v>11</v>
      </c>
      <c r="G11" s="53">
        <v>2275.9142000000002</v>
      </c>
      <c r="H11" s="53">
        <v>2343.1606999999999</v>
      </c>
      <c r="I11" s="139">
        <f t="shared" si="2"/>
        <v>25774.7677</v>
      </c>
      <c r="J11" s="122">
        <f t="shared" si="3"/>
        <v>-25774.7677</v>
      </c>
      <c r="K11" s="119">
        <f t="shared" si="0"/>
        <v>-2.9547027739446303E-2</v>
      </c>
      <c r="L11" s="123">
        <f t="shared" si="1"/>
        <v>-739.71149999999716</v>
      </c>
    </row>
    <row r="12" spans="2:12" x14ac:dyDescent="0.25">
      <c r="B12" s="54" t="s">
        <v>126</v>
      </c>
      <c r="C12" s="55" t="s">
        <v>127</v>
      </c>
      <c r="D12" s="56">
        <v>44488</v>
      </c>
      <c r="E12" s="55" t="s">
        <v>25</v>
      </c>
      <c r="F12" s="3">
        <v>150</v>
      </c>
      <c r="G12" s="53">
        <v>109.5</v>
      </c>
      <c r="H12" s="53">
        <v>110.29</v>
      </c>
      <c r="I12" s="139">
        <f t="shared" si="2"/>
        <v>16543.5</v>
      </c>
      <c r="J12" s="122">
        <f t="shared" si="3"/>
        <v>16543.5</v>
      </c>
      <c r="K12" s="119">
        <f t="shared" si="0"/>
        <v>7.2146118721461757E-3</v>
      </c>
      <c r="L12" s="123">
        <f t="shared" si="1"/>
        <v>118.50000000000094</v>
      </c>
    </row>
    <row r="13" spans="2:12" x14ac:dyDescent="0.25">
      <c r="B13" s="54" t="s">
        <v>195</v>
      </c>
      <c r="C13" s="55" t="s">
        <v>136</v>
      </c>
      <c r="D13" s="56">
        <v>44497</v>
      </c>
      <c r="E13" s="55" t="s">
        <v>25</v>
      </c>
      <c r="F13" s="3">
        <v>490</v>
      </c>
      <c r="G13" s="53">
        <v>60.85</v>
      </c>
      <c r="H13" s="53">
        <v>64.88</v>
      </c>
      <c r="I13" s="139">
        <f t="shared" si="2"/>
        <v>31791.199999999997</v>
      </c>
      <c r="J13" s="122">
        <f t="shared" si="3"/>
        <v>31791.199999999997</v>
      </c>
      <c r="K13" s="119">
        <f t="shared" si="0"/>
        <v>6.6228430566967852E-2</v>
      </c>
      <c r="L13" s="123">
        <f t="shared" si="1"/>
        <v>1974.6999999999971</v>
      </c>
    </row>
    <row r="14" spans="2:12" x14ac:dyDescent="0.25">
      <c r="B14" s="54" t="s">
        <v>212</v>
      </c>
      <c r="C14" s="55" t="s">
        <v>209</v>
      </c>
      <c r="D14" s="56">
        <v>44498</v>
      </c>
      <c r="E14" s="55" t="s">
        <v>20</v>
      </c>
      <c r="F14" s="3">
        <v>98</v>
      </c>
      <c r="G14" s="53">
        <v>249.1</v>
      </c>
      <c r="H14" s="53">
        <v>274.81</v>
      </c>
      <c r="I14" s="139">
        <f t="shared" si="2"/>
        <v>26931.38</v>
      </c>
      <c r="J14" s="122">
        <f t="shared" si="3"/>
        <v>-26931.38</v>
      </c>
      <c r="K14" s="119">
        <f t="shared" si="0"/>
        <v>-0.10321156162183866</v>
      </c>
      <c r="L14" s="123">
        <f t="shared" si="1"/>
        <v>-2519.5800000000008</v>
      </c>
    </row>
    <row r="15" spans="2:12" x14ac:dyDescent="0.25">
      <c r="B15" s="54" t="s">
        <v>225</v>
      </c>
      <c r="C15" s="55" t="s">
        <v>226</v>
      </c>
      <c r="D15" s="56">
        <v>44491</v>
      </c>
      <c r="E15" s="55" t="s">
        <v>25</v>
      </c>
      <c r="F15" s="3">
        <v>400</v>
      </c>
      <c r="G15" s="53">
        <v>68</v>
      </c>
      <c r="H15" s="53">
        <v>100.25</v>
      </c>
      <c r="I15" s="139">
        <f t="shared" si="2"/>
        <v>40100</v>
      </c>
      <c r="J15" s="122">
        <f t="shared" si="3"/>
        <v>40100</v>
      </c>
      <c r="K15" s="119">
        <f t="shared" si="0"/>
        <v>0.47426470588235292</v>
      </c>
      <c r="L15" s="123">
        <f t="shared" si="1"/>
        <v>12900</v>
      </c>
    </row>
    <row r="16" spans="2:12" x14ac:dyDescent="0.25">
      <c r="B16" s="54" t="s">
        <v>211</v>
      </c>
      <c r="C16" s="55" t="s">
        <v>210</v>
      </c>
      <c r="D16" s="56">
        <v>44511</v>
      </c>
      <c r="E16" s="55" t="s">
        <v>25</v>
      </c>
      <c r="F16" s="3">
        <v>480</v>
      </c>
      <c r="G16" s="53">
        <v>43.75</v>
      </c>
      <c r="H16" s="53">
        <v>38.94</v>
      </c>
      <c r="I16" s="139">
        <f t="shared" si="2"/>
        <v>18691.199999999997</v>
      </c>
      <c r="J16" s="122">
        <f t="shared" si="3"/>
        <v>18691.199999999997</v>
      </c>
      <c r="K16" s="119">
        <f t="shared" si="0"/>
        <v>-0.10994285714285719</v>
      </c>
      <c r="L16" s="123">
        <f t="shared" si="1"/>
        <v>-2308.8000000000011</v>
      </c>
    </row>
    <row r="17" spans="2:13" x14ac:dyDescent="0.25">
      <c r="B17" s="52"/>
      <c r="C17" s="3"/>
      <c r="D17" s="5"/>
      <c r="E17" s="3"/>
      <c r="F17" s="3"/>
      <c r="G17" s="53"/>
      <c r="H17" s="53"/>
      <c r="I17" s="139" t="str">
        <f t="shared" si="2"/>
        <v/>
      </c>
      <c r="J17" s="122" t="str">
        <f t="shared" si="3"/>
        <v/>
      </c>
      <c r="K17" s="119" t="str">
        <f t="shared" si="0"/>
        <v/>
      </c>
      <c r="L17" s="123" t="str">
        <f t="shared" si="1"/>
        <v/>
      </c>
    </row>
    <row r="18" spans="2:13" x14ac:dyDescent="0.25">
      <c r="B18" s="52"/>
      <c r="C18" s="3"/>
      <c r="D18" s="5"/>
      <c r="E18" s="3"/>
      <c r="F18" s="3"/>
      <c r="G18" s="53"/>
      <c r="H18" s="53"/>
      <c r="I18" s="139" t="str">
        <f t="shared" si="2"/>
        <v/>
      </c>
      <c r="J18" s="122" t="str">
        <f t="shared" si="3"/>
        <v/>
      </c>
      <c r="K18" s="119" t="str">
        <f t="shared" si="0"/>
        <v/>
      </c>
      <c r="L18" s="123" t="str">
        <f t="shared" si="1"/>
        <v/>
      </c>
    </row>
    <row r="19" spans="2:13" x14ac:dyDescent="0.25">
      <c r="B19" s="52"/>
      <c r="C19" s="3"/>
      <c r="D19" s="5"/>
      <c r="E19" s="3"/>
      <c r="F19" s="3"/>
      <c r="G19" s="53"/>
      <c r="H19" s="53"/>
      <c r="I19" s="139" t="str">
        <f t="shared" si="2"/>
        <v/>
      </c>
      <c r="J19" s="122" t="str">
        <f t="shared" si="3"/>
        <v/>
      </c>
      <c r="K19" s="119" t="str">
        <f t="shared" si="0"/>
        <v/>
      </c>
      <c r="L19" s="123" t="str">
        <f t="shared" si="1"/>
        <v/>
      </c>
    </row>
    <row r="20" spans="2:13" x14ac:dyDescent="0.25">
      <c r="B20" s="52"/>
      <c r="C20" s="3"/>
      <c r="D20" s="5"/>
      <c r="E20" s="3"/>
      <c r="F20" s="3"/>
      <c r="G20" s="53"/>
      <c r="H20" s="53"/>
      <c r="I20" s="139" t="str">
        <f t="shared" si="2"/>
        <v/>
      </c>
      <c r="J20" s="122" t="str">
        <f t="shared" si="3"/>
        <v/>
      </c>
      <c r="K20" s="119" t="str">
        <f t="shared" si="0"/>
        <v/>
      </c>
      <c r="L20" s="123" t="str">
        <f t="shared" si="1"/>
        <v/>
      </c>
    </row>
    <row r="21" spans="2:13" x14ac:dyDescent="0.25">
      <c r="B21" s="52"/>
      <c r="C21" s="3"/>
      <c r="D21" s="5"/>
      <c r="E21" s="3"/>
      <c r="F21" s="3"/>
      <c r="G21" s="53"/>
      <c r="H21" s="53"/>
      <c r="I21" s="139" t="str">
        <f t="shared" si="2"/>
        <v/>
      </c>
      <c r="J21" s="122" t="str">
        <f t="shared" si="3"/>
        <v/>
      </c>
      <c r="K21" s="119" t="str">
        <f t="shared" si="0"/>
        <v/>
      </c>
      <c r="L21" s="123" t="str">
        <f t="shared" si="1"/>
        <v/>
      </c>
    </row>
    <row r="22" spans="2:13" x14ac:dyDescent="0.25">
      <c r="B22" s="52"/>
      <c r="C22" s="3"/>
      <c r="D22" s="5"/>
      <c r="E22" s="3"/>
      <c r="F22" s="3"/>
      <c r="G22" s="53"/>
      <c r="H22" s="53"/>
      <c r="I22" s="139" t="str">
        <f t="shared" si="2"/>
        <v/>
      </c>
      <c r="J22" s="122" t="str">
        <f t="shared" si="3"/>
        <v/>
      </c>
      <c r="K22" s="119" t="str">
        <f t="shared" si="0"/>
        <v/>
      </c>
      <c r="L22" s="123" t="str">
        <f t="shared" si="1"/>
        <v/>
      </c>
    </row>
    <row r="23" spans="2:13" ht="15.75" thickBot="1" x14ac:dyDescent="0.3">
      <c r="B23" s="57"/>
      <c r="C23" s="58"/>
      <c r="D23" s="59"/>
      <c r="E23" s="58"/>
      <c r="F23" s="58"/>
      <c r="G23" s="60"/>
      <c r="H23" s="60"/>
      <c r="I23" s="141" t="str">
        <f t="shared" si="2"/>
        <v/>
      </c>
      <c r="J23" s="150" t="str">
        <f t="shared" si="3"/>
        <v/>
      </c>
      <c r="K23" s="151" t="str">
        <f t="shared" si="0"/>
        <v/>
      </c>
      <c r="L23" s="152" t="str">
        <f t="shared" si="1"/>
        <v/>
      </c>
    </row>
    <row r="24" spans="2:13" x14ac:dyDescent="0.25">
      <c r="I24" s="124">
        <f>SUM(I4:I16)</f>
        <v>339400.89770000003</v>
      </c>
      <c r="J24" s="125">
        <f>SUM(J4:J23)</f>
        <v>93356.70229999999</v>
      </c>
      <c r="K24" s="126"/>
      <c r="L24" s="127">
        <f>SUM(L4:L23)</f>
        <v>19976.608499999995</v>
      </c>
      <c r="M24" s="1" t="s">
        <v>1</v>
      </c>
    </row>
    <row r="25" spans="2:13" ht="15.75" thickBot="1" x14ac:dyDescent="0.3">
      <c r="I25" s="128"/>
      <c r="J25" s="129">
        <f>J24/I24</f>
        <v>0.2750632156032744</v>
      </c>
      <c r="K25" s="130"/>
      <c r="L25" s="131"/>
    </row>
    <row r="27" spans="2:13" x14ac:dyDescent="0.25">
      <c r="I27" s="63"/>
      <c r="J27" s="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89B07-8B09-45E8-832D-3C45A1F568CC}">
  <dimension ref="A1:AD125"/>
  <sheetViews>
    <sheetView zoomScaleNormal="100" workbookViewId="0">
      <pane ySplit="6" topLeftCell="A7" activePane="bottomLeft" state="frozen"/>
      <selection pane="bottomLeft"/>
    </sheetView>
  </sheetViews>
  <sheetFormatPr defaultRowHeight="15" x14ac:dyDescent="0.25"/>
  <cols>
    <col min="2" max="2" width="10.85546875" bestFit="1" customWidth="1"/>
    <col min="3" max="3" width="32.140625" customWidth="1"/>
    <col min="6" max="6" width="11.28515625" style="6" customWidth="1"/>
    <col min="7" max="7" width="12" style="6" customWidth="1"/>
    <col min="8" max="9" width="12.5703125" style="4" customWidth="1"/>
    <col min="11" max="11" width="11.42578125" customWidth="1"/>
    <col min="12" max="12" width="12.7109375" customWidth="1"/>
    <col min="14" max="14" width="11.140625" bestFit="1" customWidth="1"/>
    <col min="15" max="15" width="15.42578125" customWidth="1"/>
    <col min="16" max="16" width="18.7109375" customWidth="1"/>
    <col min="17" max="17" width="11.28515625" customWidth="1"/>
    <col min="18" max="18" width="14.140625" customWidth="1"/>
    <col min="19" max="19" width="16.7109375" customWidth="1"/>
  </cols>
  <sheetData>
    <row r="1" spans="1:30" ht="15.75" thickBot="1" x14ac:dyDescent="0.3">
      <c r="D1" s="154" t="s">
        <v>13</v>
      </c>
      <c r="E1" s="155"/>
      <c r="F1" s="155"/>
      <c r="G1" s="155"/>
      <c r="H1" s="155"/>
      <c r="I1" s="155"/>
      <c r="J1" s="155"/>
      <c r="K1" s="156"/>
    </row>
    <row r="2" spans="1:30" x14ac:dyDescent="0.25">
      <c r="D2" s="103" t="s">
        <v>10</v>
      </c>
      <c r="E2" s="104">
        <f>COUNTIF(M:M,1)</f>
        <v>65</v>
      </c>
      <c r="F2" s="42" t="s">
        <v>7</v>
      </c>
      <c r="G2" s="105">
        <f>SUMIF(M:M,1,L:L)</f>
        <v>181370.17753121609</v>
      </c>
      <c r="H2" s="42" t="s">
        <v>5</v>
      </c>
      <c r="I2" s="65">
        <f>E2/E4</f>
        <v>0.56034482758620685</v>
      </c>
      <c r="J2" s="42" t="s">
        <v>9</v>
      </c>
      <c r="K2" s="44">
        <f>G2/G3</f>
        <v>1.7969915686848761</v>
      </c>
      <c r="M2" s="4"/>
      <c r="P2" s="61"/>
      <c r="Q2" s="8"/>
    </row>
    <row r="3" spans="1:30" x14ac:dyDescent="0.25">
      <c r="D3" s="106" t="s">
        <v>11</v>
      </c>
      <c r="E3" s="107">
        <f>COUNTIF(M:M,-1)</f>
        <v>51</v>
      </c>
      <c r="F3" s="43" t="s">
        <v>8</v>
      </c>
      <c r="G3" s="108">
        <f>ABS(SUMIF(M:M,-1,L:L))</f>
        <v>100929.89899999999</v>
      </c>
      <c r="H3" s="43" t="s">
        <v>6</v>
      </c>
      <c r="I3" s="109">
        <f>E3/E4</f>
        <v>0.43965517241379309</v>
      </c>
      <c r="J3" s="43"/>
      <c r="K3" s="51"/>
      <c r="M3" s="9"/>
      <c r="Q3" s="4"/>
    </row>
    <row r="4" spans="1:30" ht="15.75" thickBot="1" x14ac:dyDescent="0.3">
      <c r="D4" s="110" t="s">
        <v>12</v>
      </c>
      <c r="E4" s="111">
        <f>COUNT(M:M)</f>
        <v>116</v>
      </c>
      <c r="F4" s="112" t="s">
        <v>139</v>
      </c>
      <c r="G4" s="113">
        <f>G2-G3</f>
        <v>80440.2785312161</v>
      </c>
      <c r="H4" s="45"/>
      <c r="I4" s="45"/>
      <c r="J4" s="45"/>
      <c r="K4" s="46"/>
      <c r="M4" s="22"/>
      <c r="Q4" s="4"/>
    </row>
    <row r="5" spans="1:30" ht="15.75" thickBot="1" x14ac:dyDescent="0.3"/>
    <row r="6" spans="1:30" ht="30.75" thickBot="1" x14ac:dyDescent="0.3">
      <c r="A6" s="17" t="s">
        <v>14</v>
      </c>
      <c r="B6" s="18" t="s">
        <v>198</v>
      </c>
      <c r="C6" s="18" t="s">
        <v>200</v>
      </c>
      <c r="D6" s="18" t="s">
        <v>15</v>
      </c>
      <c r="E6" s="18" t="s">
        <v>137</v>
      </c>
      <c r="F6" s="19" t="s">
        <v>236</v>
      </c>
      <c r="G6" s="19" t="s">
        <v>237</v>
      </c>
      <c r="H6" s="20" t="s">
        <v>16</v>
      </c>
      <c r="I6" s="20" t="s">
        <v>17</v>
      </c>
      <c r="J6" s="18" t="s">
        <v>18</v>
      </c>
      <c r="K6" s="18" t="s">
        <v>238</v>
      </c>
      <c r="L6" s="18" t="s">
        <v>239</v>
      </c>
      <c r="M6" s="21" t="s">
        <v>19</v>
      </c>
    </row>
    <row r="7" spans="1:30" ht="15.75" thickBot="1" x14ac:dyDescent="0.3">
      <c r="A7" s="12">
        <v>1</v>
      </c>
      <c r="B7" s="13" t="s">
        <v>23</v>
      </c>
      <c r="C7" s="14" t="s">
        <v>24</v>
      </c>
      <c r="D7" s="14" t="s">
        <v>20</v>
      </c>
      <c r="E7" s="14">
        <v>445</v>
      </c>
      <c r="F7" s="15">
        <v>22.74</v>
      </c>
      <c r="G7" s="15">
        <v>20.6</v>
      </c>
      <c r="H7" s="153">
        <v>43854</v>
      </c>
      <c r="I7" s="16">
        <v>43881</v>
      </c>
      <c r="J7" s="114">
        <f>I7-H7</f>
        <v>27</v>
      </c>
      <c r="K7" s="115">
        <f>IF(D7="Long",G7/F7-1,-(G7/F7-1))</f>
        <v>9.4107299912049136E-2</v>
      </c>
      <c r="L7" s="116">
        <f>IF(D7="Long",(G7-F7)*E7,-(G7-F7)*E7)</f>
        <v>952.2999999999987</v>
      </c>
      <c r="M7" s="117">
        <f>IF(K7&gt;0,1,IF(K7&lt;0,-1,0))</f>
        <v>1</v>
      </c>
    </row>
    <row r="8" spans="1:30" ht="15.75" thickBot="1" x14ac:dyDescent="0.3">
      <c r="A8" s="12">
        <v>2</v>
      </c>
      <c r="B8" s="2" t="s">
        <v>196</v>
      </c>
      <c r="C8" s="3" t="s">
        <v>22</v>
      </c>
      <c r="D8" s="3" t="s">
        <v>20</v>
      </c>
      <c r="E8" s="3">
        <v>180</v>
      </c>
      <c r="F8" s="15">
        <v>58.57</v>
      </c>
      <c r="G8" s="15">
        <v>51.9</v>
      </c>
      <c r="H8" s="62">
        <v>43854</v>
      </c>
      <c r="I8" s="5">
        <v>43896</v>
      </c>
      <c r="J8" s="118">
        <f>I8-H8</f>
        <v>42</v>
      </c>
      <c r="K8" s="119">
        <f>IF(D8="Long",G8/F8-1,-(G8/F8-1))</f>
        <v>0.11388082636161856</v>
      </c>
      <c r="L8" s="120">
        <f>IF(D8="Long",(G8-F8)*E8,-(G8-F8)*E8)</f>
        <v>1200.6000000000004</v>
      </c>
      <c r="M8" s="121">
        <f>IF(K8&gt;0,1,IF(K8&lt;0,-1,0))</f>
        <v>1</v>
      </c>
      <c r="O8" s="35" t="s">
        <v>146</v>
      </c>
      <c r="P8" s="36" t="s">
        <v>141</v>
      </c>
      <c r="Q8" s="36" t="s">
        <v>140</v>
      </c>
      <c r="R8" s="36" t="s">
        <v>142</v>
      </c>
      <c r="S8" s="37" t="s">
        <v>143</v>
      </c>
      <c r="T8" s="23"/>
      <c r="U8" s="23"/>
      <c r="V8" s="23"/>
      <c r="W8" s="23"/>
      <c r="X8" s="23"/>
      <c r="Y8" s="23"/>
      <c r="Z8" s="23"/>
      <c r="AA8" s="23"/>
      <c r="AB8" s="23"/>
      <c r="AC8" s="23"/>
      <c r="AD8" s="24"/>
    </row>
    <row r="9" spans="1:30" x14ac:dyDescent="0.25">
      <c r="A9" s="12">
        <v>3</v>
      </c>
      <c r="B9" s="2" t="s">
        <v>150</v>
      </c>
      <c r="C9" s="3" t="s">
        <v>35</v>
      </c>
      <c r="D9" s="3" t="s">
        <v>25</v>
      </c>
      <c r="E9" s="3">
        <v>57</v>
      </c>
      <c r="F9" s="15">
        <v>74.180000000000007</v>
      </c>
      <c r="G9" s="15">
        <v>75</v>
      </c>
      <c r="H9" s="62">
        <v>43854</v>
      </c>
      <c r="I9" s="5">
        <v>43901</v>
      </c>
      <c r="J9" s="118">
        <f>I9-H9</f>
        <v>47</v>
      </c>
      <c r="K9" s="119">
        <f>IF(D9="Long",G9/F9-1,-(G9/F9-1))</f>
        <v>1.1054192504718063E-2</v>
      </c>
      <c r="L9" s="120">
        <f>IF(D9="Long",(G9-F9)*E9,-(G9-F9)*E9)</f>
        <v>46.739999999999611</v>
      </c>
      <c r="M9" s="121">
        <f>IF(K9&gt;0,1,IF(K9&lt;0,-1,0))</f>
        <v>1</v>
      </c>
      <c r="O9" s="134">
        <v>-0.4</v>
      </c>
      <c r="P9" s="135" t="str">
        <f>"x &lt; "&amp;TEXT(O9,"0%")</f>
        <v>x &lt; -40%</v>
      </c>
      <c r="Q9" s="135">
        <f>COUNTIF(K$7:K$10000,"&lt;"&amp;O9)</f>
        <v>0</v>
      </c>
      <c r="R9" s="136">
        <f>Q9/SUM($Q$9:$Q$32)</f>
        <v>0</v>
      </c>
      <c r="S9" s="137">
        <f>R9</f>
        <v>0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8"/>
    </row>
    <row r="10" spans="1:30" x14ac:dyDescent="0.25">
      <c r="A10" s="12">
        <v>4</v>
      </c>
      <c r="B10" s="2" t="s">
        <v>37</v>
      </c>
      <c r="C10" s="3" t="s">
        <v>38</v>
      </c>
      <c r="D10" s="3" t="s">
        <v>20</v>
      </c>
      <c r="E10" s="3">
        <v>93</v>
      </c>
      <c r="F10" s="15">
        <v>63.86</v>
      </c>
      <c r="G10" s="15">
        <v>32.74</v>
      </c>
      <c r="H10" s="5">
        <v>43868</v>
      </c>
      <c r="I10" s="5">
        <v>43907</v>
      </c>
      <c r="J10" s="118">
        <f>I10-H10</f>
        <v>39</v>
      </c>
      <c r="K10" s="119">
        <f>IF(D10="Long",G10/F10-1,-(G10/F10-1))</f>
        <v>0.48731600375822104</v>
      </c>
      <c r="L10" s="120">
        <f>IF(D10="Long",(G10-F10)*E10,-(G10-F10)*E10)</f>
        <v>2894.16</v>
      </c>
      <c r="M10" s="121">
        <f>IF(K10&gt;0,1,IF(K10&lt;0,-1,0))</f>
        <v>1</v>
      </c>
      <c r="O10" s="47">
        <v>-0.35</v>
      </c>
      <c r="P10" s="29" t="str">
        <f>TEXT(O9,"0%")&amp;" &lt;= x &lt; "&amp;TEXT(O10,"0%")</f>
        <v>-40% &lt;= x &lt; -35%</v>
      </c>
      <c r="Q10" s="25">
        <f t="shared" ref="Q10:Q31" si="0">COUNTIFS(K$7:K$10000,"&gt;="&amp;O9,K$7:K$10000,"&lt;"&amp;O10)</f>
        <v>0</v>
      </c>
      <c r="R10" s="26">
        <f>Q10/SUM($Q$9:$Q$32)</f>
        <v>0</v>
      </c>
      <c r="S10" s="38">
        <f>S9+R10</f>
        <v>0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</row>
    <row r="11" spans="1:30" x14ac:dyDescent="0.25">
      <c r="A11" s="12">
        <v>5</v>
      </c>
      <c r="B11" s="2" t="s">
        <v>29</v>
      </c>
      <c r="C11" s="3" t="s">
        <v>30</v>
      </c>
      <c r="D11" s="3" t="s">
        <v>25</v>
      </c>
      <c r="E11" s="3">
        <v>68</v>
      </c>
      <c r="F11" s="15">
        <v>166.58</v>
      </c>
      <c r="G11" s="15">
        <v>116.42</v>
      </c>
      <c r="H11" s="5">
        <v>43854</v>
      </c>
      <c r="I11" s="5">
        <v>43909</v>
      </c>
      <c r="J11" s="118">
        <f>I11-H11</f>
        <v>55</v>
      </c>
      <c r="K11" s="119">
        <f>IF(D11="Long",G11/F11-1,-(G11/F11-1))</f>
        <v>-0.30111658062192348</v>
      </c>
      <c r="L11" s="120">
        <f>IF(D11="Long",(G11-F11)*E11,-(G11-F11)*E11)</f>
        <v>-3410.8800000000006</v>
      </c>
      <c r="M11" s="121">
        <f>IF(K11&gt;0,1,IF(K11&lt;0,-1,0))</f>
        <v>-1</v>
      </c>
      <c r="O11" s="47">
        <v>-0.3</v>
      </c>
      <c r="P11" s="29" t="str">
        <f t="shared" ref="P11:P31" si="1">TEXT(O10,"0%")&amp;" &lt;= x &lt; "&amp;TEXT(O11,"0%")</f>
        <v>-35% &lt;= x &lt; -30%</v>
      </c>
      <c r="Q11" s="25">
        <f t="shared" si="0"/>
        <v>5</v>
      </c>
      <c r="R11" s="26">
        <f t="shared" ref="R11:R31" si="2">Q11/SUM($Q$9:$Q$32)</f>
        <v>4.3103448275862072E-2</v>
      </c>
      <c r="S11" s="38">
        <f t="shared" ref="S11:S26" si="3">S10+R11</f>
        <v>4.3103448275862072E-2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</row>
    <row r="12" spans="1:30" x14ac:dyDescent="0.25">
      <c r="A12" s="12">
        <v>6</v>
      </c>
      <c r="B12" s="2" t="s">
        <v>39</v>
      </c>
      <c r="C12" s="3" t="s">
        <v>40</v>
      </c>
      <c r="D12" s="3" t="s">
        <v>25</v>
      </c>
      <c r="E12" s="3">
        <v>232</v>
      </c>
      <c r="F12" s="15">
        <v>58.84</v>
      </c>
      <c r="G12" s="15">
        <v>56.88</v>
      </c>
      <c r="H12" s="5">
        <v>43908</v>
      </c>
      <c r="I12" s="5">
        <v>43910</v>
      </c>
      <c r="J12" s="118">
        <f>I12-H12</f>
        <v>2</v>
      </c>
      <c r="K12" s="119">
        <f>IF(D12="Long",G12/F12-1,-(G12/F12-1))</f>
        <v>-3.3310673011556768E-2</v>
      </c>
      <c r="L12" s="120">
        <f>IF(D12="Long",(G12-F12)*E12,-(G12-F12)*E12)</f>
        <v>-454.7200000000002</v>
      </c>
      <c r="M12" s="121">
        <f>IF(K12&gt;0,1,IF(K12&lt;0,-1,0))</f>
        <v>-1</v>
      </c>
      <c r="O12" s="47">
        <v>-0.25</v>
      </c>
      <c r="P12" s="29" t="str">
        <f t="shared" si="1"/>
        <v>-30% &lt;= x &lt; -25%</v>
      </c>
      <c r="Q12" s="25">
        <f t="shared" si="0"/>
        <v>2</v>
      </c>
      <c r="R12" s="26">
        <f t="shared" si="2"/>
        <v>1.7241379310344827E-2</v>
      </c>
      <c r="S12" s="38">
        <f t="shared" si="3"/>
        <v>6.0344827586206899E-2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r="13" spans="1:30" x14ac:dyDescent="0.25">
      <c r="A13" s="12">
        <v>7</v>
      </c>
      <c r="B13" s="2" t="s">
        <v>33</v>
      </c>
      <c r="C13" s="3" t="s">
        <v>34</v>
      </c>
      <c r="D13" s="3" t="s">
        <v>20</v>
      </c>
      <c r="E13" s="3">
        <v>501</v>
      </c>
      <c r="F13" s="15">
        <v>23.82</v>
      </c>
      <c r="G13" s="15">
        <v>12.47</v>
      </c>
      <c r="H13" s="5">
        <v>43885</v>
      </c>
      <c r="I13" s="5">
        <v>43913</v>
      </c>
      <c r="J13" s="118">
        <f>I13-H13</f>
        <v>28</v>
      </c>
      <c r="K13" s="119">
        <f>IF(D13="Long",G13/F13-1,-(G13/F13-1))</f>
        <v>0.47649034424853065</v>
      </c>
      <c r="L13" s="120">
        <f>IF(D13="Long",(G13-F13)*E13,-(G13-F13)*E13)</f>
        <v>5686.3499999999995</v>
      </c>
      <c r="M13" s="121">
        <f>IF(K13&gt;0,1,IF(K13&lt;0,-1,0))</f>
        <v>1</v>
      </c>
      <c r="O13" s="47">
        <v>-0.2</v>
      </c>
      <c r="P13" s="29" t="str">
        <f t="shared" si="1"/>
        <v>-25% &lt;= x &lt; -20%</v>
      </c>
      <c r="Q13" s="25">
        <f t="shared" si="0"/>
        <v>4</v>
      </c>
      <c r="R13" s="26">
        <f t="shared" si="2"/>
        <v>3.4482758620689655E-2</v>
      </c>
      <c r="S13" s="38">
        <f t="shared" si="3"/>
        <v>9.4827586206896547E-2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8"/>
    </row>
    <row r="14" spans="1:30" x14ac:dyDescent="0.25">
      <c r="A14" s="12">
        <v>8</v>
      </c>
      <c r="B14" s="2" t="s">
        <v>148</v>
      </c>
      <c r="C14" s="3" t="s">
        <v>32</v>
      </c>
      <c r="D14" s="3" t="s">
        <v>20</v>
      </c>
      <c r="E14" s="3">
        <v>1202</v>
      </c>
      <c r="F14" s="15">
        <v>7.37</v>
      </c>
      <c r="G14" s="15">
        <v>3.12</v>
      </c>
      <c r="H14" s="5">
        <v>43885</v>
      </c>
      <c r="I14" s="5">
        <v>43920</v>
      </c>
      <c r="J14" s="118">
        <f>I14-H14</f>
        <v>35</v>
      </c>
      <c r="K14" s="119">
        <f>IF(D14="Long",G14/F14-1,-(G14/F14-1))</f>
        <v>0.57666214382632286</v>
      </c>
      <c r="L14" s="120">
        <f>IF(D14="Long",(G14-F14)*E14,-(G14-F14)*E14)</f>
        <v>5108.5</v>
      </c>
      <c r="M14" s="121">
        <f>IF(K14&gt;0,1,IF(K14&lt;0,-1,0))</f>
        <v>1</v>
      </c>
      <c r="O14" s="47">
        <v>-0.15</v>
      </c>
      <c r="P14" s="29" t="str">
        <f t="shared" si="1"/>
        <v>-20% &lt;= x &lt; -15%</v>
      </c>
      <c r="Q14" s="25">
        <f t="shared" si="0"/>
        <v>8</v>
      </c>
      <c r="R14" s="26">
        <f t="shared" si="2"/>
        <v>6.8965517241379309E-2</v>
      </c>
      <c r="S14" s="38">
        <f t="shared" si="3"/>
        <v>0.16379310344827586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8"/>
    </row>
    <row r="15" spans="1:30" x14ac:dyDescent="0.25">
      <c r="A15" s="12">
        <v>9</v>
      </c>
      <c r="B15" s="2" t="s">
        <v>150</v>
      </c>
      <c r="C15" s="3" t="s">
        <v>35</v>
      </c>
      <c r="D15" s="3" t="s">
        <v>25</v>
      </c>
      <c r="E15" s="3">
        <v>170</v>
      </c>
      <c r="F15" s="15">
        <v>82.57</v>
      </c>
      <c r="G15" s="15">
        <v>92.4</v>
      </c>
      <c r="H15" s="5">
        <v>43917</v>
      </c>
      <c r="I15" s="5">
        <v>43921</v>
      </c>
      <c r="J15" s="118">
        <f>I15-H15</f>
        <v>4</v>
      </c>
      <c r="K15" s="119">
        <f>IF(D15="Long",G15/F15-1,-(G15/F15-1))</f>
        <v>0.11905050260385153</v>
      </c>
      <c r="L15" s="120">
        <f>IF(D15="Long",(G15-F15)*E15,-(G15-F15)*E15)</f>
        <v>1671.1000000000022</v>
      </c>
      <c r="M15" s="121">
        <f>IF(K15&gt;0,1,IF(K15&lt;0,-1,0))</f>
        <v>1</v>
      </c>
      <c r="O15" s="47">
        <v>-0.1</v>
      </c>
      <c r="P15" s="29" t="str">
        <f t="shared" si="1"/>
        <v>-15% &lt;= x &lt; -10%</v>
      </c>
      <c r="Q15" s="25">
        <f t="shared" si="0"/>
        <v>10</v>
      </c>
      <c r="R15" s="26">
        <f t="shared" si="2"/>
        <v>8.6206896551724144E-2</v>
      </c>
      <c r="S15" s="38">
        <f t="shared" si="3"/>
        <v>0.25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8"/>
    </row>
    <row r="16" spans="1:30" x14ac:dyDescent="0.25">
      <c r="A16" s="12">
        <v>10</v>
      </c>
      <c r="B16" s="2" t="s">
        <v>151</v>
      </c>
      <c r="C16" s="3" t="s">
        <v>28</v>
      </c>
      <c r="D16" s="3" t="s">
        <v>25</v>
      </c>
      <c r="E16" s="3">
        <v>71</v>
      </c>
      <c r="F16" s="15">
        <v>143.44</v>
      </c>
      <c r="G16" s="15">
        <v>122.74</v>
      </c>
      <c r="H16" s="5">
        <v>43843</v>
      </c>
      <c r="I16" s="5">
        <v>43924</v>
      </c>
      <c r="J16" s="118">
        <f>I16-H16</f>
        <v>81</v>
      </c>
      <c r="K16" s="119">
        <f>IF(D16="Long",G16/F16-1,-(G16/F16-1))</f>
        <v>-0.14431121026213056</v>
      </c>
      <c r="L16" s="120">
        <f>IF(D16="Long",(G16-F16)*E16,-(G16-F16)*E16)</f>
        <v>-1469.7000000000003</v>
      </c>
      <c r="M16" s="121">
        <f>IF(K16&gt;0,1,IF(K16&lt;0,-1,0))</f>
        <v>-1</v>
      </c>
      <c r="O16" s="47">
        <v>-0.05</v>
      </c>
      <c r="P16" s="29" t="str">
        <f t="shared" si="1"/>
        <v>-10% &lt;= x &lt; -5%</v>
      </c>
      <c r="Q16" s="25">
        <f t="shared" si="0"/>
        <v>11</v>
      </c>
      <c r="R16" s="26">
        <f t="shared" si="2"/>
        <v>9.4827586206896547E-2</v>
      </c>
      <c r="S16" s="38">
        <f t="shared" si="3"/>
        <v>0.34482758620689657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8"/>
    </row>
    <row r="17" spans="1:30" x14ac:dyDescent="0.25">
      <c r="A17" s="12">
        <v>11</v>
      </c>
      <c r="B17" s="2" t="s">
        <v>153</v>
      </c>
      <c r="C17" s="3" t="s">
        <v>45</v>
      </c>
      <c r="D17" s="3" t="s">
        <v>25</v>
      </c>
      <c r="E17" s="3">
        <v>70</v>
      </c>
      <c r="F17" s="15">
        <v>141.25</v>
      </c>
      <c r="G17" s="15">
        <v>174.25</v>
      </c>
      <c r="H17" s="5">
        <v>43928</v>
      </c>
      <c r="I17" s="5">
        <v>43937</v>
      </c>
      <c r="J17" s="118">
        <f>I17-H17</f>
        <v>9</v>
      </c>
      <c r="K17" s="119">
        <f>IF(D17="Long",G17/F17-1,-(G17/F17-1))</f>
        <v>0.23362831858407085</v>
      </c>
      <c r="L17" s="120">
        <f>IF(D17="Long",(G17-F17)*E17,-(G17-F17)*E17)</f>
        <v>2310</v>
      </c>
      <c r="M17" s="121">
        <f>IF(K17&gt;0,1,IF(K17&lt;0,-1,0))</f>
        <v>1</v>
      </c>
      <c r="O17" s="47">
        <v>0</v>
      </c>
      <c r="P17" s="29" t="str">
        <f t="shared" si="1"/>
        <v>-5% &lt;= x &lt; 0%</v>
      </c>
      <c r="Q17" s="25">
        <f t="shared" si="0"/>
        <v>11</v>
      </c>
      <c r="R17" s="26">
        <f t="shared" si="2"/>
        <v>9.4827586206896547E-2</v>
      </c>
      <c r="S17" s="38">
        <f t="shared" si="3"/>
        <v>0.43965517241379315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x14ac:dyDescent="0.25">
      <c r="A18" s="12">
        <v>12</v>
      </c>
      <c r="B18" s="2" t="s">
        <v>43</v>
      </c>
      <c r="C18" s="3" t="s">
        <v>44</v>
      </c>
      <c r="D18" s="3" t="s">
        <v>20</v>
      </c>
      <c r="E18" s="3">
        <v>378</v>
      </c>
      <c r="F18" s="15">
        <v>38.880000000000003</v>
      </c>
      <c r="G18" s="15">
        <v>41.83</v>
      </c>
      <c r="H18" s="5">
        <v>43922</v>
      </c>
      <c r="I18" s="5">
        <v>43955</v>
      </c>
      <c r="J18" s="118">
        <f>I18-H18</f>
        <v>33</v>
      </c>
      <c r="K18" s="119">
        <f>IF(D18="Long",G18/F18-1,-(G18/F18-1))</f>
        <v>-7.587448559670773E-2</v>
      </c>
      <c r="L18" s="120">
        <f>IF(D18="Long",(G18-F18)*E18,-(G18-F18)*E18)</f>
        <v>-1115.0999999999983</v>
      </c>
      <c r="M18" s="121">
        <f>IF(K18&gt;0,1,IF(K18&lt;0,-1,0))</f>
        <v>-1</v>
      </c>
      <c r="O18" s="47">
        <v>0.05</v>
      </c>
      <c r="P18" s="29" t="str">
        <f t="shared" si="1"/>
        <v>0% &lt;= x &lt; 5%</v>
      </c>
      <c r="Q18" s="25">
        <f t="shared" si="0"/>
        <v>10</v>
      </c>
      <c r="R18" s="26">
        <f t="shared" si="2"/>
        <v>8.6206896551724144E-2</v>
      </c>
      <c r="S18" s="38">
        <f t="shared" si="3"/>
        <v>0.52586206896551735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x14ac:dyDescent="0.25">
      <c r="A19" s="12">
        <v>13</v>
      </c>
      <c r="B19" s="2" t="s">
        <v>41</v>
      </c>
      <c r="C19" s="3" t="s">
        <v>42</v>
      </c>
      <c r="D19" s="3" t="s">
        <v>25</v>
      </c>
      <c r="E19" s="3">
        <v>148</v>
      </c>
      <c r="F19" s="15">
        <v>65.98</v>
      </c>
      <c r="G19" s="15">
        <v>71.22</v>
      </c>
      <c r="H19" s="5">
        <v>43907</v>
      </c>
      <c r="I19" s="5">
        <v>43963</v>
      </c>
      <c r="J19" s="118">
        <f>I19-H19</f>
        <v>56</v>
      </c>
      <c r="K19" s="119">
        <f>IF(D19="Long",G19/F19-1,-(G19/F19-1))</f>
        <v>7.9418005456198815E-2</v>
      </c>
      <c r="L19" s="120">
        <f>IF(D19="Long",(G19-F19)*E19,-(G19-F19)*E19)</f>
        <v>775.5199999999993</v>
      </c>
      <c r="M19" s="121">
        <f>IF(K19&gt;0,1,IF(K19&lt;0,-1,0))</f>
        <v>1</v>
      </c>
      <c r="O19" s="47">
        <v>0.1</v>
      </c>
      <c r="P19" s="29" t="str">
        <f t="shared" si="1"/>
        <v>5% &lt;= x &lt; 10%</v>
      </c>
      <c r="Q19" s="25">
        <f t="shared" si="0"/>
        <v>11</v>
      </c>
      <c r="R19" s="26">
        <f t="shared" si="2"/>
        <v>9.4827586206896547E-2</v>
      </c>
      <c r="S19" s="38">
        <f t="shared" si="3"/>
        <v>0.62068965517241392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8"/>
    </row>
    <row r="20" spans="1:30" x14ac:dyDescent="0.25">
      <c r="A20" s="12">
        <v>14</v>
      </c>
      <c r="B20" s="2" t="s">
        <v>150</v>
      </c>
      <c r="C20" s="3" t="s">
        <v>35</v>
      </c>
      <c r="D20" s="3" t="s">
        <v>25</v>
      </c>
      <c r="E20" s="3">
        <v>170</v>
      </c>
      <c r="F20" s="15">
        <v>92.09</v>
      </c>
      <c r="G20" s="15">
        <v>122.01</v>
      </c>
      <c r="H20" s="5">
        <v>43922</v>
      </c>
      <c r="I20" s="5">
        <v>43965</v>
      </c>
      <c r="J20" s="118">
        <f>I20-H20</f>
        <v>43</v>
      </c>
      <c r="K20" s="119">
        <f>IF(D20="Long",G20/F20-1,-(G20/F20-1))</f>
        <v>0.32489955478336419</v>
      </c>
      <c r="L20" s="120">
        <f>IF(D20="Long",(G20-F20)*E20,-(G20-F20)*E20)</f>
        <v>5086.4000000000005</v>
      </c>
      <c r="M20" s="121">
        <f>IF(K20&gt;0,1,IF(K20&lt;0,-1,0))</f>
        <v>1</v>
      </c>
      <c r="O20" s="47">
        <v>0.15</v>
      </c>
      <c r="P20" s="29" t="str">
        <f t="shared" si="1"/>
        <v>10% &lt;= x &lt; 15%</v>
      </c>
      <c r="Q20" s="25">
        <f t="shared" si="0"/>
        <v>12</v>
      </c>
      <c r="R20" s="26">
        <f t="shared" si="2"/>
        <v>0.10344827586206896</v>
      </c>
      <c r="S20" s="38">
        <f t="shared" si="3"/>
        <v>0.72413793103448287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8"/>
    </row>
    <row r="21" spans="1:30" x14ac:dyDescent="0.25">
      <c r="A21" s="12">
        <v>15</v>
      </c>
      <c r="B21" s="2" t="s">
        <v>149</v>
      </c>
      <c r="C21" s="3" t="s">
        <v>36</v>
      </c>
      <c r="D21" s="3" t="s">
        <v>25</v>
      </c>
      <c r="E21" s="3">
        <v>449</v>
      </c>
      <c r="F21" s="15">
        <v>30.25</v>
      </c>
      <c r="G21" s="15">
        <v>26.93</v>
      </c>
      <c r="H21" s="5">
        <v>43889</v>
      </c>
      <c r="I21" s="5">
        <v>43966</v>
      </c>
      <c r="J21" s="118">
        <f>I21-H21</f>
        <v>77</v>
      </c>
      <c r="K21" s="119">
        <f>IF(D21="Long",G21/F21-1,-(G21/F21-1))</f>
        <v>-0.10975206611570254</v>
      </c>
      <c r="L21" s="120">
        <f>IF(D21="Long",(G21-F21)*E21,-(G21-F21)*E21)</f>
        <v>-1490.68</v>
      </c>
      <c r="M21" s="121">
        <f>IF(K21&gt;0,1,IF(K21&lt;0,-1,0))</f>
        <v>-1</v>
      </c>
      <c r="O21" s="47">
        <v>0.2</v>
      </c>
      <c r="P21" s="29" t="str">
        <f t="shared" si="1"/>
        <v>15% &lt;= x &lt; 20%</v>
      </c>
      <c r="Q21" s="25">
        <f t="shared" si="0"/>
        <v>3</v>
      </c>
      <c r="R21" s="26">
        <f t="shared" si="2"/>
        <v>2.5862068965517241E-2</v>
      </c>
      <c r="S21" s="38">
        <f t="shared" si="3"/>
        <v>0.75000000000000011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8"/>
    </row>
    <row r="22" spans="1:30" x14ac:dyDescent="0.25">
      <c r="A22" s="12">
        <v>16</v>
      </c>
      <c r="B22" s="2" t="s">
        <v>152</v>
      </c>
      <c r="C22" s="3" t="s">
        <v>21</v>
      </c>
      <c r="D22" s="3" t="s">
        <v>20</v>
      </c>
      <c r="E22" s="3">
        <v>106</v>
      </c>
      <c r="F22" s="15">
        <v>137</v>
      </c>
      <c r="G22" s="15">
        <v>174.83</v>
      </c>
      <c r="H22" s="5">
        <v>43922</v>
      </c>
      <c r="I22" s="5">
        <v>43966</v>
      </c>
      <c r="J22" s="118">
        <f>I22-H22</f>
        <v>44</v>
      </c>
      <c r="K22" s="119">
        <f>IF(D22="Long",G22/F22-1,-(G22/F22-1))</f>
        <v>-0.276131386861314</v>
      </c>
      <c r="L22" s="120">
        <f>IF(D22="Long",(G22-F22)*E22,-(G22-F22)*E22)</f>
        <v>-4009.9800000000014</v>
      </c>
      <c r="M22" s="121">
        <f>IF(K22&gt;0,1,IF(K22&lt;0,-1,0))</f>
        <v>-1</v>
      </c>
      <c r="O22" s="47">
        <v>0.25</v>
      </c>
      <c r="P22" s="29" t="str">
        <f t="shared" si="1"/>
        <v>20% &lt;= x &lt; 25%</v>
      </c>
      <c r="Q22" s="25">
        <f t="shared" si="0"/>
        <v>9</v>
      </c>
      <c r="R22" s="26">
        <f t="shared" si="2"/>
        <v>7.7586206896551727E-2</v>
      </c>
      <c r="S22" s="38">
        <f t="shared" si="3"/>
        <v>0.82758620689655182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8"/>
    </row>
    <row r="23" spans="1:30" x14ac:dyDescent="0.25">
      <c r="A23" s="12">
        <v>17</v>
      </c>
      <c r="B23" s="2" t="s">
        <v>26</v>
      </c>
      <c r="C23" s="3" t="s">
        <v>27</v>
      </c>
      <c r="D23" s="3" t="s">
        <v>25</v>
      </c>
      <c r="E23" s="3">
        <v>220</v>
      </c>
      <c r="F23" s="15">
        <v>69.31</v>
      </c>
      <c r="G23" s="15">
        <v>48.25</v>
      </c>
      <c r="H23" s="5">
        <v>43874</v>
      </c>
      <c r="I23" s="5">
        <v>43970</v>
      </c>
      <c r="J23" s="118">
        <f>I23-H23</f>
        <v>96</v>
      </c>
      <c r="K23" s="119">
        <f>IF(D23="Long",G23/F23-1,-(G23/F23-1))</f>
        <v>-0.30385225797143267</v>
      </c>
      <c r="L23" s="120">
        <f>IF(D23="Long",(G23-F23)*E23,-(G23-F23)*E23)</f>
        <v>-4633.2000000000007</v>
      </c>
      <c r="M23" s="121">
        <f>IF(K23&gt;0,1,IF(K23&lt;0,-1,0))</f>
        <v>-1</v>
      </c>
      <c r="O23" s="47">
        <v>0.3</v>
      </c>
      <c r="P23" s="29" t="str">
        <f t="shared" si="1"/>
        <v>25% &lt;= x &lt; 30%</v>
      </c>
      <c r="Q23" s="25">
        <f t="shared" si="0"/>
        <v>5</v>
      </c>
      <c r="R23" s="26">
        <f t="shared" si="2"/>
        <v>4.3103448275862072E-2</v>
      </c>
      <c r="S23" s="38">
        <f t="shared" si="3"/>
        <v>0.87068965517241392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8"/>
    </row>
    <row r="24" spans="1:30" x14ac:dyDescent="0.25">
      <c r="A24" s="12">
        <v>18</v>
      </c>
      <c r="B24" s="2" t="s">
        <v>154</v>
      </c>
      <c r="C24" s="3" t="s">
        <v>48</v>
      </c>
      <c r="D24" s="3" t="s">
        <v>25</v>
      </c>
      <c r="E24" s="3">
        <v>183</v>
      </c>
      <c r="F24" s="15">
        <v>80.03</v>
      </c>
      <c r="G24" s="15">
        <v>87.25</v>
      </c>
      <c r="H24" s="5">
        <v>43941</v>
      </c>
      <c r="I24" s="5">
        <v>43994</v>
      </c>
      <c r="J24" s="118">
        <f>I24-H24</f>
        <v>53</v>
      </c>
      <c r="K24" s="119">
        <f>IF(D24="Long",G24/F24-1,-(G24/F24-1))</f>
        <v>9.0216168936648744E-2</v>
      </c>
      <c r="L24" s="120">
        <f>IF(D24="Long",(G24-F24)*E24,-(G24-F24)*E24)</f>
        <v>1321.2599999999998</v>
      </c>
      <c r="M24" s="121">
        <f>IF(K24&gt;0,1,IF(K24&lt;0,-1,0))</f>
        <v>1</v>
      </c>
      <c r="O24" s="47">
        <v>0.35</v>
      </c>
      <c r="P24" s="29" t="str">
        <f t="shared" si="1"/>
        <v>30% &lt;= x &lt; 35%</v>
      </c>
      <c r="Q24" s="25">
        <f t="shared" si="0"/>
        <v>3</v>
      </c>
      <c r="R24" s="26">
        <f t="shared" si="2"/>
        <v>2.5862068965517241E-2</v>
      </c>
      <c r="S24" s="38">
        <f t="shared" si="3"/>
        <v>0.89655172413793116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x14ac:dyDescent="0.25">
      <c r="A25" s="12">
        <v>19</v>
      </c>
      <c r="B25" s="2" t="s">
        <v>151</v>
      </c>
      <c r="C25" s="3" t="s">
        <v>28</v>
      </c>
      <c r="D25" s="3" t="s">
        <v>25</v>
      </c>
      <c r="E25" s="3">
        <v>44</v>
      </c>
      <c r="F25" s="15">
        <v>130.44999999999999</v>
      </c>
      <c r="G25" s="15">
        <v>162.91</v>
      </c>
      <c r="H25" s="5">
        <v>43941</v>
      </c>
      <c r="I25" s="5">
        <v>44000</v>
      </c>
      <c r="J25" s="118">
        <f>I25-H25</f>
        <v>59</v>
      </c>
      <c r="K25" s="119">
        <f>IF(D25="Long",G25/F25-1,-(G25/F25-1))</f>
        <v>0.24883096972019936</v>
      </c>
      <c r="L25" s="120">
        <f>IF(D25="Long",(G25-F25)*E25,-(G25-F25)*E25)</f>
        <v>1428.2400000000002</v>
      </c>
      <c r="M25" s="121">
        <f>IF(K25&gt;0,1,IF(K25&lt;0,-1,0))</f>
        <v>1</v>
      </c>
      <c r="O25" s="47">
        <v>0.4</v>
      </c>
      <c r="P25" s="29" t="str">
        <f t="shared" si="1"/>
        <v>35% &lt;= x &lt; 40%</v>
      </c>
      <c r="Q25" s="25">
        <f t="shared" si="0"/>
        <v>2</v>
      </c>
      <c r="R25" s="26">
        <f t="shared" si="2"/>
        <v>1.7241379310344827E-2</v>
      </c>
      <c r="S25" s="38">
        <f t="shared" si="3"/>
        <v>0.91379310344827602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x14ac:dyDescent="0.25">
      <c r="A26" s="12">
        <v>20</v>
      </c>
      <c r="B26" s="2" t="s">
        <v>46</v>
      </c>
      <c r="C26" s="3" t="s">
        <v>47</v>
      </c>
      <c r="D26" s="3" t="s">
        <v>20</v>
      </c>
      <c r="E26" s="3">
        <v>388</v>
      </c>
      <c r="F26" s="15">
        <v>33.700000000000003</v>
      </c>
      <c r="G26" s="15">
        <v>40</v>
      </c>
      <c r="H26" s="5">
        <v>43941</v>
      </c>
      <c r="I26" s="5">
        <v>44001</v>
      </c>
      <c r="J26" s="118">
        <f>I26-H26</f>
        <v>60</v>
      </c>
      <c r="K26" s="119">
        <f>IF(D26="Long",G26/F26-1,-(G26/F26-1))</f>
        <v>-0.18694362017804145</v>
      </c>
      <c r="L26" s="120">
        <f>IF(D26="Long",(G26-F26)*E26,-(G26-F26)*E26)</f>
        <v>-2444.3999999999987</v>
      </c>
      <c r="M26" s="121">
        <f>IF(K26&gt;0,1,IF(K26&lt;0,-1,0))</f>
        <v>-1</v>
      </c>
      <c r="O26" s="47">
        <v>0.45</v>
      </c>
      <c r="P26" s="29" t="str">
        <f t="shared" si="1"/>
        <v>40% &lt;= x &lt; 45%</v>
      </c>
      <c r="Q26" s="25">
        <f t="shared" si="0"/>
        <v>3</v>
      </c>
      <c r="R26" s="26">
        <f t="shared" si="2"/>
        <v>2.5862068965517241E-2</v>
      </c>
      <c r="S26" s="38">
        <f t="shared" si="3"/>
        <v>0.93965517241379326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  <row r="27" spans="1:30" x14ac:dyDescent="0.25">
      <c r="A27" s="12">
        <v>21</v>
      </c>
      <c r="B27" s="2" t="s">
        <v>155</v>
      </c>
      <c r="C27" s="3" t="s">
        <v>51</v>
      </c>
      <c r="D27" s="3" t="s">
        <v>25</v>
      </c>
      <c r="E27" s="3">
        <v>72</v>
      </c>
      <c r="F27" s="15">
        <v>355.39</v>
      </c>
      <c r="G27" s="15">
        <v>428.01</v>
      </c>
      <c r="H27" s="5">
        <v>43965</v>
      </c>
      <c r="I27" s="5">
        <v>44001</v>
      </c>
      <c r="J27" s="118">
        <f>I27-H27</f>
        <v>36</v>
      </c>
      <c r="K27" s="119">
        <f>IF(D27="Long",G27/F27-1,-(G27/F27-1))</f>
        <v>0.2043388952981231</v>
      </c>
      <c r="L27" s="120">
        <f>IF(D27="Long",(G27-F27)*E27,-(G27-F27)*E27)</f>
        <v>5228.6400000000003</v>
      </c>
      <c r="M27" s="121">
        <f>IF(K27&gt;0,1,IF(K27&lt;0,-1,0))</f>
        <v>1</v>
      </c>
      <c r="O27" s="47">
        <v>0.5</v>
      </c>
      <c r="P27" s="29" t="str">
        <f t="shared" si="1"/>
        <v>45% &lt;= x &lt; 50%</v>
      </c>
      <c r="Q27" s="25">
        <f t="shared" si="0"/>
        <v>3</v>
      </c>
      <c r="R27" s="26">
        <f t="shared" si="2"/>
        <v>2.5862068965517241E-2</v>
      </c>
      <c r="S27" s="38">
        <f t="shared" ref="S27:S32" si="4">S26+R27</f>
        <v>0.9655172413793105</v>
      </c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8"/>
    </row>
    <row r="28" spans="1:30" x14ac:dyDescent="0.25">
      <c r="A28" s="12">
        <v>22</v>
      </c>
      <c r="B28" s="2" t="s">
        <v>41</v>
      </c>
      <c r="C28" s="3" t="s">
        <v>42</v>
      </c>
      <c r="D28" s="3" t="s">
        <v>25</v>
      </c>
      <c r="E28" s="3">
        <v>68</v>
      </c>
      <c r="F28" s="15">
        <v>70.78</v>
      </c>
      <c r="G28" s="15">
        <v>79.790000000000006</v>
      </c>
      <c r="H28" s="5">
        <v>43966</v>
      </c>
      <c r="I28" s="5">
        <v>44001</v>
      </c>
      <c r="J28" s="118">
        <f>I28-H28</f>
        <v>35</v>
      </c>
      <c r="K28" s="119">
        <f>IF(D28="Long",G28/F28-1,-(G28/F28-1))</f>
        <v>0.12729584628426127</v>
      </c>
      <c r="L28" s="120">
        <f>IF(D28="Long",(G28-F28)*E28,-(G28-F28)*E28)</f>
        <v>612.68000000000029</v>
      </c>
      <c r="M28" s="121">
        <f>IF(K28&gt;0,1,IF(K28&lt;0,-1,0))</f>
        <v>1</v>
      </c>
      <c r="O28" s="47">
        <v>0.55000000000000004</v>
      </c>
      <c r="P28" s="29" t="str">
        <f t="shared" si="1"/>
        <v>50% &lt;= x &lt; 55%</v>
      </c>
      <c r="Q28" s="25">
        <f t="shared" si="0"/>
        <v>0</v>
      </c>
      <c r="R28" s="26">
        <f t="shared" si="2"/>
        <v>0</v>
      </c>
      <c r="S28" s="38">
        <f t="shared" si="4"/>
        <v>0.9655172413793105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8"/>
    </row>
    <row r="29" spans="1:30" x14ac:dyDescent="0.25">
      <c r="A29" s="12">
        <v>23</v>
      </c>
      <c r="B29" s="2" t="s">
        <v>150</v>
      </c>
      <c r="C29" s="3" t="s">
        <v>35</v>
      </c>
      <c r="D29" s="3" t="s">
        <v>25</v>
      </c>
      <c r="E29" s="3">
        <v>78</v>
      </c>
      <c r="F29" s="15">
        <v>147.22</v>
      </c>
      <c r="G29" s="15">
        <v>166.8</v>
      </c>
      <c r="H29" s="5">
        <v>43983</v>
      </c>
      <c r="I29" s="5">
        <v>44005</v>
      </c>
      <c r="J29" s="118">
        <f>I29-H29</f>
        <v>22</v>
      </c>
      <c r="K29" s="119">
        <f>IF(D29="Long",G29/F29-1,-(G29/F29-1))</f>
        <v>0.13299823393560661</v>
      </c>
      <c r="L29" s="120">
        <f>IF(D29="Long",(G29-F29)*E29,-(G29-F29)*E29)</f>
        <v>1527.2400000000009</v>
      </c>
      <c r="M29" s="121">
        <f>IF(K29&gt;0,1,IF(K29&lt;0,-1,0))</f>
        <v>1</v>
      </c>
      <c r="O29" s="47">
        <v>0.6</v>
      </c>
      <c r="P29" s="29" t="str">
        <f t="shared" si="1"/>
        <v>55% &lt;= x &lt; 60%</v>
      </c>
      <c r="Q29" s="25">
        <f t="shared" si="0"/>
        <v>1</v>
      </c>
      <c r="R29" s="26">
        <f t="shared" si="2"/>
        <v>8.6206896551724137E-3</v>
      </c>
      <c r="S29" s="38">
        <f t="shared" si="4"/>
        <v>0.97413793103448287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8"/>
    </row>
    <row r="30" spans="1:30" x14ac:dyDescent="0.25">
      <c r="A30" s="12">
        <v>24</v>
      </c>
      <c r="B30" s="2" t="s">
        <v>153</v>
      </c>
      <c r="C30" s="3" t="s">
        <v>45</v>
      </c>
      <c r="D30" s="3" t="s">
        <v>25</v>
      </c>
      <c r="E30" s="3">
        <v>59</v>
      </c>
      <c r="F30" s="15">
        <v>179.54</v>
      </c>
      <c r="G30" s="15">
        <v>218.45</v>
      </c>
      <c r="H30" s="5">
        <v>43965</v>
      </c>
      <c r="I30" s="5">
        <v>44025</v>
      </c>
      <c r="J30" s="118">
        <f>I30-H30</f>
        <v>60</v>
      </c>
      <c r="K30" s="119">
        <f>IF(D30="Long",G30/F30-1,-(G30/F30-1))</f>
        <v>0.21672050796479891</v>
      </c>
      <c r="L30" s="120">
        <f>IF(D30="Long",(G30-F30)*E30,-(G30-F30)*E30)</f>
        <v>2295.6899999999996</v>
      </c>
      <c r="M30" s="121">
        <f>IF(K30&gt;0,1,IF(K30&lt;0,-1,0))</f>
        <v>1</v>
      </c>
      <c r="O30" s="47">
        <v>0.65</v>
      </c>
      <c r="P30" s="29" t="str">
        <f t="shared" si="1"/>
        <v>60% &lt;= x &lt; 65%</v>
      </c>
      <c r="Q30" s="25">
        <f t="shared" si="0"/>
        <v>0</v>
      </c>
      <c r="R30" s="26">
        <f t="shared" si="2"/>
        <v>0</v>
      </c>
      <c r="S30" s="38">
        <f t="shared" si="4"/>
        <v>0.97413793103448287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8"/>
    </row>
    <row r="31" spans="1:30" x14ac:dyDescent="0.25">
      <c r="A31" s="12">
        <v>25</v>
      </c>
      <c r="B31" s="2" t="s">
        <v>39</v>
      </c>
      <c r="C31" s="3" t="s">
        <v>40</v>
      </c>
      <c r="D31" s="3" t="s">
        <v>25</v>
      </c>
      <c r="E31" s="3">
        <v>202</v>
      </c>
      <c r="F31" s="15">
        <v>80.180000000000007</v>
      </c>
      <c r="G31" s="15">
        <v>89.75</v>
      </c>
      <c r="H31" s="5">
        <v>43972</v>
      </c>
      <c r="I31" s="5">
        <v>44029</v>
      </c>
      <c r="J31" s="118">
        <f>I31-H31</f>
        <v>57</v>
      </c>
      <c r="K31" s="119">
        <f>IF(D31="Long",G31/F31-1,-(G31/F31-1))</f>
        <v>0.11935644799201794</v>
      </c>
      <c r="L31" s="120">
        <f>IF(D31="Long",(G31-F31)*E31,-(G31-F31)*E31)</f>
        <v>1933.1399999999985</v>
      </c>
      <c r="M31" s="121">
        <f>IF(K31&gt;0,1,IF(K31&lt;0,-1,0))</f>
        <v>1</v>
      </c>
      <c r="O31" s="47">
        <v>0.7</v>
      </c>
      <c r="P31" s="29" t="str">
        <f t="shared" si="1"/>
        <v>65% &lt;= x &lt; 70%</v>
      </c>
      <c r="Q31" s="25">
        <f t="shared" si="0"/>
        <v>0</v>
      </c>
      <c r="R31" s="26">
        <f t="shared" si="2"/>
        <v>0</v>
      </c>
      <c r="S31" s="38">
        <f t="shared" si="4"/>
        <v>0.97413793103448287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8"/>
    </row>
    <row r="32" spans="1:30" ht="15.75" thickBot="1" x14ac:dyDescent="0.3">
      <c r="A32" s="12">
        <v>26</v>
      </c>
      <c r="B32" s="2" t="s">
        <v>152</v>
      </c>
      <c r="C32" s="3" t="s">
        <v>21</v>
      </c>
      <c r="D32" s="3" t="s">
        <v>20</v>
      </c>
      <c r="E32" s="3">
        <v>67</v>
      </c>
      <c r="F32" s="15">
        <v>204.15</v>
      </c>
      <c r="G32" s="15">
        <v>246.54</v>
      </c>
      <c r="H32" s="5">
        <v>43983</v>
      </c>
      <c r="I32" s="5">
        <v>44029</v>
      </c>
      <c r="J32" s="118">
        <f>I32-H32</f>
        <v>46</v>
      </c>
      <c r="K32" s="119">
        <f>IF(D32="Long",G32/F32-1,-(G32/F32-1))</f>
        <v>-0.20764144011756058</v>
      </c>
      <c r="L32" s="120">
        <f>IF(D32="Long",(G32-F32)*E32,-(G32-F32)*E32)</f>
        <v>-2840.1299999999992</v>
      </c>
      <c r="M32" s="121">
        <f>IF(K32&gt;0,1,IF(K32&lt;0,-1,0))</f>
        <v>-1</v>
      </c>
      <c r="O32" s="48"/>
      <c r="P32" s="39" t="str">
        <f>"x &gt; "&amp;TEXT(O31,"0%")</f>
        <v>x &gt; 70%</v>
      </c>
      <c r="Q32" s="39">
        <f>COUNTIF(K$7:K$10000,"&gt;"&amp;O31)</f>
        <v>3</v>
      </c>
      <c r="R32" s="40">
        <f>Q32/SUM($Q$9:$Q$32)</f>
        <v>2.5862068965517241E-2</v>
      </c>
      <c r="S32" s="41">
        <f t="shared" si="4"/>
        <v>1.0000000000000002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8"/>
    </row>
    <row r="33" spans="1:30" x14ac:dyDescent="0.25">
      <c r="A33" s="12">
        <v>27</v>
      </c>
      <c r="B33" s="2" t="s">
        <v>156</v>
      </c>
      <c r="C33" s="3" t="s">
        <v>50</v>
      </c>
      <c r="D33" s="3" t="s">
        <v>25</v>
      </c>
      <c r="E33" s="3">
        <v>113</v>
      </c>
      <c r="F33" s="15">
        <v>135.53</v>
      </c>
      <c r="G33" s="15">
        <v>140.61000000000001</v>
      </c>
      <c r="H33" s="5">
        <v>43977</v>
      </c>
      <c r="I33" s="5">
        <v>44033</v>
      </c>
      <c r="J33" s="118">
        <f>I33-H33</f>
        <v>56</v>
      </c>
      <c r="K33" s="119">
        <f>IF(D33="Long",G33/F33-1,-(G33/F33-1))</f>
        <v>3.748247620453049E-2</v>
      </c>
      <c r="L33" s="120">
        <f>IF(D33="Long",(G33-F33)*E33,-(G33-F33)*E33)</f>
        <v>574.04000000000144</v>
      </c>
      <c r="M33" s="121">
        <f>IF(K33&gt;0,1,IF(K33&lt;0,-1,0))</f>
        <v>1</v>
      </c>
      <c r="O33" s="30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8"/>
    </row>
    <row r="34" spans="1:30" x14ac:dyDescent="0.25">
      <c r="A34" s="12">
        <v>28</v>
      </c>
      <c r="B34" s="2" t="s">
        <v>197</v>
      </c>
      <c r="C34" s="3" t="s">
        <v>52</v>
      </c>
      <c r="D34" s="3" t="s">
        <v>25</v>
      </c>
      <c r="E34" s="3">
        <v>191</v>
      </c>
      <c r="F34" s="15">
        <v>71.186057259999998</v>
      </c>
      <c r="G34" s="15">
        <v>128.85445275999999</v>
      </c>
      <c r="H34" s="5">
        <v>44008</v>
      </c>
      <c r="I34" s="5">
        <v>44062</v>
      </c>
      <c r="J34" s="118">
        <f>I34-H34</f>
        <v>54</v>
      </c>
      <c r="K34" s="119">
        <f>IF(D34="Long",G34/F34-1,-(G34/F34-1))</f>
        <v>0.81010801440192015</v>
      </c>
      <c r="L34" s="120">
        <f>IF(D34="Long",(G34-F34)*E34,-(G34-F34)*E34)</f>
        <v>11014.663540499998</v>
      </c>
      <c r="M34" s="121">
        <f>IF(K34&gt;0,1,IF(K34&lt;0,-1,0))</f>
        <v>1</v>
      </c>
      <c r="O34" s="31" t="s">
        <v>147</v>
      </c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8"/>
    </row>
    <row r="35" spans="1:30" x14ac:dyDescent="0.25">
      <c r="A35" s="12">
        <v>29</v>
      </c>
      <c r="B35" s="2" t="s">
        <v>160</v>
      </c>
      <c r="C35" s="3" t="s">
        <v>57</v>
      </c>
      <c r="D35" s="3" t="s">
        <v>20</v>
      </c>
      <c r="E35" s="3">
        <v>115</v>
      </c>
      <c r="F35" s="15">
        <v>75.33</v>
      </c>
      <c r="G35" s="15">
        <v>67.81</v>
      </c>
      <c r="H35" s="5">
        <v>44035</v>
      </c>
      <c r="I35" s="5">
        <v>44063</v>
      </c>
      <c r="J35" s="118">
        <f>I35-H35</f>
        <v>28</v>
      </c>
      <c r="K35" s="119">
        <f>IF(D35="Long",G35/F35-1,-(G35/F35-1))</f>
        <v>9.9827425992300545E-2</v>
      </c>
      <c r="L35" s="120">
        <f>IF(D35="Long",(G35-F35)*E35,-(G35-F35)*E35)</f>
        <v>864.7999999999995</v>
      </c>
      <c r="M35" s="121">
        <f>IF(K35&gt;0,1,IF(K35&lt;0,-1,0))</f>
        <v>1</v>
      </c>
      <c r="O35" s="31" t="s">
        <v>144</v>
      </c>
      <c r="P35" s="49">
        <f>AVERAGE(K$7:K$10000)</f>
        <v>6.3505830720108042E-2</v>
      </c>
      <c r="Q35" s="27"/>
      <c r="R35" s="132" t="s">
        <v>240</v>
      </c>
      <c r="S35" s="49">
        <f>AVERAGEIF(K$7:K$10000,"&gt;0")</f>
        <v>0.21602504467939124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8"/>
    </row>
    <row r="36" spans="1:30" ht="15.75" thickBot="1" x14ac:dyDescent="0.3">
      <c r="A36" s="12">
        <v>30</v>
      </c>
      <c r="B36" s="2" t="s">
        <v>26</v>
      </c>
      <c r="C36" s="3" t="s">
        <v>27</v>
      </c>
      <c r="D36" s="3" t="s">
        <v>25</v>
      </c>
      <c r="E36" s="3">
        <v>256</v>
      </c>
      <c r="F36" s="15">
        <v>49.03</v>
      </c>
      <c r="G36" s="15">
        <v>48.52</v>
      </c>
      <c r="H36" s="5">
        <v>43983</v>
      </c>
      <c r="I36" s="5">
        <v>44064</v>
      </c>
      <c r="J36" s="118">
        <f>I36-H36</f>
        <v>81</v>
      </c>
      <c r="K36" s="119">
        <f>IF(D36="Long",G36/F36-1,-(G36/F36-1))</f>
        <v>-1.0401794819498211E-2</v>
      </c>
      <c r="L36" s="120">
        <f>IF(D36="Long",(G36-F36)*E36,-(G36-F36)*E36)</f>
        <v>-130.55999999999949</v>
      </c>
      <c r="M36" s="121">
        <f>IF(K36&gt;0,1,IF(K36&lt;0,-1,0))</f>
        <v>-1</v>
      </c>
      <c r="O36" s="32" t="s">
        <v>145</v>
      </c>
      <c r="P36" s="50">
        <f>MEDIAN(K$7:K$10000)</f>
        <v>4.6194790296857413E-2</v>
      </c>
      <c r="Q36" s="33"/>
      <c r="R36" s="133" t="s">
        <v>241</v>
      </c>
      <c r="S36" s="50">
        <f>AVERAGEIF(K$7:K$10000,"&lt;0")</f>
        <v>-0.13088140275740989</v>
      </c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4"/>
    </row>
    <row r="37" spans="1:30" x14ac:dyDescent="0.25">
      <c r="A37" s="12">
        <v>31</v>
      </c>
      <c r="B37" s="2" t="s">
        <v>157</v>
      </c>
      <c r="C37" s="3" t="s">
        <v>53</v>
      </c>
      <c r="D37" s="3" t="s">
        <v>20</v>
      </c>
      <c r="E37" s="3">
        <v>52</v>
      </c>
      <c r="F37" s="15">
        <v>432.89</v>
      </c>
      <c r="G37" s="15">
        <v>463.71</v>
      </c>
      <c r="H37" s="5">
        <v>44018</v>
      </c>
      <c r="I37" s="5">
        <v>44064</v>
      </c>
      <c r="J37" s="118">
        <f>I37-H37</f>
        <v>46</v>
      </c>
      <c r="K37" s="119">
        <f>IF(D37="Long",G37/F37-1,-(G37/F37-1))</f>
        <v>-7.1195915821571365E-2</v>
      </c>
      <c r="L37" s="120">
        <f>IF(D37="Long",(G37-F37)*E37,-(G37-F37)*E37)</f>
        <v>-1602.6399999999996</v>
      </c>
      <c r="M37" s="121">
        <f>IF(K37&gt;0,1,IF(K37&lt;0,-1,0))</f>
        <v>-1</v>
      </c>
    </row>
    <row r="38" spans="1:30" x14ac:dyDescent="0.25">
      <c r="A38" s="12">
        <v>32</v>
      </c>
      <c r="B38" s="2" t="s">
        <v>43</v>
      </c>
      <c r="C38" s="3" t="s">
        <v>44</v>
      </c>
      <c r="D38" s="3" t="s">
        <v>20</v>
      </c>
      <c r="E38" s="3">
        <v>199</v>
      </c>
      <c r="F38" s="15">
        <v>46.44</v>
      </c>
      <c r="G38" s="15">
        <v>51.12</v>
      </c>
      <c r="H38" s="5">
        <v>44022</v>
      </c>
      <c r="I38" s="5">
        <v>44064</v>
      </c>
      <c r="J38" s="118">
        <f>I38-H38</f>
        <v>42</v>
      </c>
      <c r="K38" s="119">
        <f>IF(D38="Long",G38/F38-1,-(G38/F38-1))</f>
        <v>-0.10077519379844957</v>
      </c>
      <c r="L38" s="120">
        <f>IF(D38="Long",(G38-F38)*E38,-(G38-F38)*E38)</f>
        <v>-931.31999999999994</v>
      </c>
      <c r="M38" s="121">
        <f>IF(K38&gt;0,1,IF(K38&lt;0,-1,0))</f>
        <v>-1</v>
      </c>
    </row>
    <row r="39" spans="1:30" x14ac:dyDescent="0.25">
      <c r="A39" s="12">
        <v>33</v>
      </c>
      <c r="B39" s="2" t="s">
        <v>149</v>
      </c>
      <c r="C39" s="3" t="s">
        <v>36</v>
      </c>
      <c r="D39" s="3" t="s">
        <v>25</v>
      </c>
      <c r="E39" s="3">
        <v>348</v>
      </c>
      <c r="F39" s="15">
        <v>45.76</v>
      </c>
      <c r="G39" s="15">
        <v>51.26</v>
      </c>
      <c r="H39" s="5">
        <v>44033</v>
      </c>
      <c r="I39" s="5">
        <v>44071</v>
      </c>
      <c r="J39" s="118">
        <f>I39-H39</f>
        <v>38</v>
      </c>
      <c r="K39" s="119">
        <f>IF(D39="Long",G39/F39-1,-(G39/F39-1))</f>
        <v>0.12019230769230771</v>
      </c>
      <c r="L39" s="120">
        <f>IF(D39="Long",(G39-F39)*E39,-(G39-F39)*E39)</f>
        <v>1914</v>
      </c>
      <c r="M39" s="121">
        <f>IF(K39&gt;0,1,IF(K39&lt;0,-1,0))</f>
        <v>1</v>
      </c>
    </row>
    <row r="40" spans="1:30" x14ac:dyDescent="0.25">
      <c r="A40" s="12">
        <v>34</v>
      </c>
      <c r="B40" s="2" t="s">
        <v>39</v>
      </c>
      <c r="C40" s="3" t="s">
        <v>40</v>
      </c>
      <c r="D40" s="3" t="s">
        <v>25</v>
      </c>
      <c r="E40" s="3">
        <v>69</v>
      </c>
      <c r="F40" s="15">
        <v>96.15</v>
      </c>
      <c r="G40" s="15">
        <v>106.79</v>
      </c>
      <c r="H40" s="5">
        <v>44032</v>
      </c>
      <c r="I40" s="5">
        <v>44076</v>
      </c>
      <c r="J40" s="118">
        <f>I40-H40</f>
        <v>44</v>
      </c>
      <c r="K40" s="119">
        <f>IF(D40="Long",G40/F40-1,-(G40/F40-1))</f>
        <v>0.11066042641705676</v>
      </c>
      <c r="L40" s="120">
        <f>IF(D40="Long",(G40-F40)*E40,-(G40-F40)*E40)</f>
        <v>734.16000000000008</v>
      </c>
      <c r="M40" s="121">
        <f>IF(K40&gt;0,1,IF(K40&lt;0,-1,0))</f>
        <v>1</v>
      </c>
    </row>
    <row r="41" spans="1:30" x14ac:dyDescent="0.25">
      <c r="A41" s="12">
        <v>35</v>
      </c>
      <c r="B41" s="2" t="s">
        <v>159</v>
      </c>
      <c r="C41" s="3" t="s">
        <v>60</v>
      </c>
      <c r="D41" s="3" t="s">
        <v>25</v>
      </c>
      <c r="E41" s="3">
        <v>410</v>
      </c>
      <c r="F41" s="15">
        <v>13.54</v>
      </c>
      <c r="G41" s="15">
        <v>16.04</v>
      </c>
      <c r="H41" s="5">
        <v>44035</v>
      </c>
      <c r="I41" s="5">
        <v>44082</v>
      </c>
      <c r="J41" s="118">
        <f>I41-H41</f>
        <v>47</v>
      </c>
      <c r="K41" s="119">
        <f>IF(D41="Long",G41/F41-1,-(G41/F41-1))</f>
        <v>0.18463810930576074</v>
      </c>
      <c r="L41" s="120">
        <f>IF(D41="Long",(G41-F41)*E41,-(G41-F41)*E41)</f>
        <v>1025</v>
      </c>
      <c r="M41" s="121">
        <f>IF(K41&gt;0,1,IF(K41&lt;0,-1,0))</f>
        <v>1</v>
      </c>
    </row>
    <row r="42" spans="1:30" x14ac:dyDescent="0.25">
      <c r="A42" s="12">
        <v>36</v>
      </c>
      <c r="B42" s="2" t="s">
        <v>58</v>
      </c>
      <c r="C42" s="3" t="s">
        <v>59</v>
      </c>
      <c r="D42" s="3" t="s">
        <v>25</v>
      </c>
      <c r="E42" s="3">
        <v>474</v>
      </c>
      <c r="F42" s="15">
        <v>13.56</v>
      </c>
      <c r="G42" s="15">
        <v>16.350000000000001</v>
      </c>
      <c r="H42" s="5">
        <v>44035</v>
      </c>
      <c r="I42" s="5">
        <v>44082</v>
      </c>
      <c r="J42" s="118">
        <f>I42-H42</f>
        <v>47</v>
      </c>
      <c r="K42" s="119">
        <f>IF(D42="Long",G42/F42-1,-(G42/F42-1))</f>
        <v>0.20575221238938068</v>
      </c>
      <c r="L42" s="120">
        <f>IF(D42="Long",(G42-F42)*E42,-(G42-F42)*E42)</f>
        <v>1322.4600000000005</v>
      </c>
      <c r="M42" s="121">
        <f>IF(K42&gt;0,1,IF(K42&lt;0,-1,0))</f>
        <v>1</v>
      </c>
    </row>
    <row r="43" spans="1:30" x14ac:dyDescent="0.25">
      <c r="A43" s="12">
        <v>37</v>
      </c>
      <c r="B43" s="2" t="s">
        <v>157</v>
      </c>
      <c r="C43" s="3" t="s">
        <v>53</v>
      </c>
      <c r="D43" s="3" t="s">
        <v>20</v>
      </c>
      <c r="E43" s="3">
        <v>33</v>
      </c>
      <c r="F43" s="15">
        <v>485.53</v>
      </c>
      <c r="G43" s="15">
        <v>329.68</v>
      </c>
      <c r="H43" s="5">
        <v>44057</v>
      </c>
      <c r="I43" s="5">
        <v>44091</v>
      </c>
      <c r="J43" s="118">
        <f>I43-H43</f>
        <v>34</v>
      </c>
      <c r="K43" s="119">
        <f>IF(D43="Long",G43/F43-1,-(G43/F43-1))</f>
        <v>0.32098943422651527</v>
      </c>
      <c r="L43" s="120">
        <f>IF(D43="Long",(G43-F43)*E43,-(G43-F43)*E43)</f>
        <v>5143.0499999999993</v>
      </c>
      <c r="M43" s="121">
        <f>IF(K43&gt;0,1,IF(K43&lt;0,-1,0))</f>
        <v>1</v>
      </c>
    </row>
    <row r="44" spans="1:30" x14ac:dyDescent="0.25">
      <c r="A44" s="12">
        <v>38</v>
      </c>
      <c r="B44" s="2" t="s">
        <v>161</v>
      </c>
      <c r="C44" s="3" t="s">
        <v>55</v>
      </c>
      <c r="D44" s="3" t="s">
        <v>20</v>
      </c>
      <c r="E44" s="3">
        <v>56</v>
      </c>
      <c r="F44" s="15">
        <v>204.01</v>
      </c>
      <c r="G44" s="15">
        <v>231.74</v>
      </c>
      <c r="H44" s="5">
        <v>44049</v>
      </c>
      <c r="I44" s="5">
        <v>44092</v>
      </c>
      <c r="J44" s="118">
        <f>I44-H44</f>
        <v>43</v>
      </c>
      <c r="K44" s="119">
        <f>IF(D44="Long",G44/F44-1,-(G44/F44-1))</f>
        <v>-0.13592470957306024</v>
      </c>
      <c r="L44" s="120">
        <f>IF(D44="Long",(G44-F44)*E44,-(G44-F44)*E44)</f>
        <v>-1552.880000000001</v>
      </c>
      <c r="M44" s="121">
        <f>IF(K44&gt;0,1,IF(K44&lt;0,-1,0))</f>
        <v>-1</v>
      </c>
    </row>
    <row r="45" spans="1:30" x14ac:dyDescent="0.25">
      <c r="A45" s="12">
        <v>39</v>
      </c>
      <c r="B45" s="2" t="s">
        <v>153</v>
      </c>
      <c r="C45" s="3" t="s">
        <v>45</v>
      </c>
      <c r="D45" s="3" t="s">
        <v>25</v>
      </c>
      <c r="E45" s="3">
        <v>60</v>
      </c>
      <c r="F45" s="15">
        <v>193.74</v>
      </c>
      <c r="G45" s="15">
        <v>217.34</v>
      </c>
      <c r="H45" s="5">
        <v>44053</v>
      </c>
      <c r="I45" s="5">
        <v>44103</v>
      </c>
      <c r="J45" s="118">
        <f>I45-H45</f>
        <v>50</v>
      </c>
      <c r="K45" s="119">
        <f>IF(D45="Long",G45/F45-1,-(G45/F45-1))</f>
        <v>0.12181273872199849</v>
      </c>
      <c r="L45" s="120">
        <f>IF(D45="Long",(G45-F45)*E45,-(G45-F45)*E45)</f>
        <v>1415.9999999999995</v>
      </c>
      <c r="M45" s="121">
        <f>IF(K45&gt;0,1,IF(K45&lt;0,-1,0))</f>
        <v>1</v>
      </c>
    </row>
    <row r="46" spans="1:30" x14ac:dyDescent="0.25">
      <c r="A46" s="12">
        <v>40</v>
      </c>
      <c r="B46" s="2" t="s">
        <v>158</v>
      </c>
      <c r="C46" s="3" t="s">
        <v>54</v>
      </c>
      <c r="D46" s="3" t="s">
        <v>25</v>
      </c>
      <c r="E46" s="3">
        <v>956</v>
      </c>
      <c r="F46" s="15">
        <v>7.09</v>
      </c>
      <c r="G46" s="15">
        <v>10.31</v>
      </c>
      <c r="H46" s="5">
        <v>44035</v>
      </c>
      <c r="I46" s="5">
        <v>44104</v>
      </c>
      <c r="J46" s="118">
        <f>I46-H46</f>
        <v>69</v>
      </c>
      <c r="K46" s="119">
        <f>IF(D46="Long",G46/F46-1,-(G46/F46-1))</f>
        <v>0.45416078984485209</v>
      </c>
      <c r="L46" s="120">
        <f>IF(D46="Long",(G46-F46)*E46,-(G46-F46)*E46)</f>
        <v>3078.3200000000006</v>
      </c>
      <c r="M46" s="121">
        <f>IF(K46&gt;0,1,IF(K46&lt;0,-1,0))</f>
        <v>1</v>
      </c>
    </row>
    <row r="47" spans="1:30" x14ac:dyDescent="0.25">
      <c r="A47" s="12">
        <v>41</v>
      </c>
      <c r="B47" s="2" t="s">
        <v>164</v>
      </c>
      <c r="C47" s="3" t="s">
        <v>61</v>
      </c>
      <c r="D47" s="3" t="s">
        <v>25</v>
      </c>
      <c r="E47" s="3">
        <v>120</v>
      </c>
      <c r="F47" s="15">
        <v>162.41999999999999</v>
      </c>
      <c r="G47" s="15">
        <v>235.34</v>
      </c>
      <c r="H47" s="5">
        <v>44089</v>
      </c>
      <c r="I47" s="5">
        <v>44106</v>
      </c>
      <c r="J47" s="118">
        <f>I47-H47</f>
        <v>17</v>
      </c>
      <c r="K47" s="119">
        <f>IF(D47="Long",G47/F47-1,-(G47/F47-1))</f>
        <v>0.44895948774781447</v>
      </c>
      <c r="L47" s="120">
        <f>IF(D47="Long",(G47-F47)*E47,-(G47-F47)*E47)</f>
        <v>8750.4000000000015</v>
      </c>
      <c r="M47" s="121">
        <f>IF(K47&gt;0,1,IF(K47&lt;0,-1,0))</f>
        <v>1</v>
      </c>
    </row>
    <row r="48" spans="1:30" x14ac:dyDescent="0.25">
      <c r="A48" s="12">
        <v>42</v>
      </c>
      <c r="B48" s="2" t="s">
        <v>162</v>
      </c>
      <c r="C48" s="3" t="s">
        <v>56</v>
      </c>
      <c r="D48" s="3" t="s">
        <v>25</v>
      </c>
      <c r="E48" s="3">
        <v>245</v>
      </c>
      <c r="F48" s="15">
        <v>49.09</v>
      </c>
      <c r="G48" s="15">
        <v>58</v>
      </c>
      <c r="H48" s="5">
        <v>44049</v>
      </c>
      <c r="I48" s="5">
        <v>44119</v>
      </c>
      <c r="J48" s="118">
        <f>I48-H48</f>
        <v>70</v>
      </c>
      <c r="K48" s="119">
        <f>IF(D48="Long",G48/F48-1,-(G48/F48-1))</f>
        <v>0.18150336117335497</v>
      </c>
      <c r="L48" s="120">
        <f>IF(D48="Long",(G48-F48)*E48,-(G48-F48)*E48)</f>
        <v>2182.9499999999994</v>
      </c>
      <c r="M48" s="121">
        <f>IF(K48&gt;0,1,IF(K48&lt;0,-1,0))</f>
        <v>1</v>
      </c>
    </row>
    <row r="49" spans="1:13" x14ac:dyDescent="0.25">
      <c r="A49" s="12">
        <v>43</v>
      </c>
      <c r="B49" s="2" t="s">
        <v>26</v>
      </c>
      <c r="C49" s="3" t="s">
        <v>27</v>
      </c>
      <c r="D49" s="3" t="s">
        <v>25</v>
      </c>
      <c r="E49" s="3">
        <v>243</v>
      </c>
      <c r="F49" s="15">
        <v>49.96</v>
      </c>
      <c r="G49" s="15">
        <v>45.37</v>
      </c>
      <c r="H49" s="5">
        <v>44068</v>
      </c>
      <c r="I49" s="5">
        <v>44120</v>
      </c>
      <c r="J49" s="118">
        <f>I49-H49</f>
        <v>52</v>
      </c>
      <c r="K49" s="119">
        <f>IF(D49="Long",G49/F49-1,-(G49/F49-1))</f>
        <v>-9.1873498799039277E-2</v>
      </c>
      <c r="L49" s="120">
        <f>IF(D49="Long",(G49-F49)*E49,-(G49-F49)*E49)</f>
        <v>-1115.3700000000008</v>
      </c>
      <c r="M49" s="121">
        <f>IF(K49&gt;0,1,IF(K49&lt;0,-1,0))</f>
        <v>-1</v>
      </c>
    </row>
    <row r="50" spans="1:13" x14ac:dyDescent="0.25">
      <c r="A50" s="12">
        <v>44</v>
      </c>
      <c r="B50" s="2" t="s">
        <v>65</v>
      </c>
      <c r="C50" s="3" t="s">
        <v>66</v>
      </c>
      <c r="D50" s="3" t="s">
        <v>25</v>
      </c>
      <c r="E50" s="3">
        <v>934</v>
      </c>
      <c r="F50" s="15">
        <v>14.2</v>
      </c>
      <c r="G50" s="15">
        <v>17.260000000000002</v>
      </c>
      <c r="H50" s="5">
        <v>44096</v>
      </c>
      <c r="I50" s="5">
        <v>44134</v>
      </c>
      <c r="J50" s="118">
        <f>I50-H50</f>
        <v>38</v>
      </c>
      <c r="K50" s="119">
        <f>IF(D50="Long",G50/F50-1,-(G50/F50-1))</f>
        <v>0.21549295774647903</v>
      </c>
      <c r="L50" s="120">
        <f>IF(D50="Long",(G50-F50)*E50,-(G50-F50)*E50)</f>
        <v>2858.0400000000022</v>
      </c>
      <c r="M50" s="121">
        <f>IF(K50&gt;0,1,IF(K50&lt;0,-1,0))</f>
        <v>1</v>
      </c>
    </row>
    <row r="51" spans="1:13" x14ac:dyDescent="0.25">
      <c r="A51" s="12">
        <v>45</v>
      </c>
      <c r="B51" s="2" t="s">
        <v>71</v>
      </c>
      <c r="C51" s="3" t="s">
        <v>72</v>
      </c>
      <c r="D51" s="3" t="s">
        <v>20</v>
      </c>
      <c r="E51" s="3">
        <v>330</v>
      </c>
      <c r="F51" s="15">
        <v>28.26</v>
      </c>
      <c r="G51" s="15">
        <v>37.17</v>
      </c>
      <c r="H51" s="5">
        <v>44068</v>
      </c>
      <c r="I51" s="5">
        <v>44155</v>
      </c>
      <c r="J51" s="118">
        <f>I51-H51</f>
        <v>87</v>
      </c>
      <c r="K51" s="119">
        <f>IF(D51="Long",G51/F51-1,-(G51/F51-1))</f>
        <v>-0.3152866242038217</v>
      </c>
      <c r="L51" s="120">
        <f>IF(D51="Long",(G51-F51)*E51,-(G51-F51)*E51)</f>
        <v>-2940.3</v>
      </c>
      <c r="M51" s="121">
        <f>IF(K51&gt;0,1,IF(K51&lt;0,-1,0))</f>
        <v>-1</v>
      </c>
    </row>
    <row r="52" spans="1:13" x14ac:dyDescent="0.25">
      <c r="A52" s="12">
        <v>46</v>
      </c>
      <c r="B52" s="2" t="s">
        <v>43</v>
      </c>
      <c r="C52" s="3" t="s">
        <v>44</v>
      </c>
      <c r="D52" s="3" t="s">
        <v>20</v>
      </c>
      <c r="E52" s="3">
        <v>130</v>
      </c>
      <c r="F52" s="15">
        <v>58.85</v>
      </c>
      <c r="G52" s="15">
        <v>66.31</v>
      </c>
      <c r="H52" s="5">
        <v>44089</v>
      </c>
      <c r="I52" s="5">
        <v>44155</v>
      </c>
      <c r="J52" s="118">
        <f>I52-H52</f>
        <v>66</v>
      </c>
      <c r="K52" s="119">
        <f>IF(D52="Long",G52/F52-1,-(G52/F52-1))</f>
        <v>-0.12676295666949877</v>
      </c>
      <c r="L52" s="120">
        <f>IF(D52="Long",(G52-F52)*E52,-(G52-F52)*E52)</f>
        <v>-969.80000000000007</v>
      </c>
      <c r="M52" s="121">
        <f>IF(K52&gt;0,1,IF(K52&lt;0,-1,0))</f>
        <v>-1</v>
      </c>
    </row>
    <row r="53" spans="1:13" x14ac:dyDescent="0.25">
      <c r="A53" s="12">
        <v>47</v>
      </c>
      <c r="B53" s="2" t="s">
        <v>156</v>
      </c>
      <c r="C53" s="3" t="s">
        <v>50</v>
      </c>
      <c r="D53" s="3" t="s">
        <v>25</v>
      </c>
      <c r="E53" s="3">
        <v>86</v>
      </c>
      <c r="F53" s="15">
        <v>131.05000000000001</v>
      </c>
      <c r="G53" s="15">
        <v>123.67</v>
      </c>
      <c r="H53" s="5">
        <v>44116</v>
      </c>
      <c r="I53" s="5">
        <v>44155</v>
      </c>
      <c r="J53" s="118">
        <f>I53-H53</f>
        <v>39</v>
      </c>
      <c r="K53" s="119">
        <f>IF(D53="Long",G53/F53-1,-(G53/F53-1))</f>
        <v>-5.6314383822968384E-2</v>
      </c>
      <c r="L53" s="120">
        <f>IF(D53="Long",(G53-F53)*E53,-(G53-F53)*E53)</f>
        <v>-634.68000000000086</v>
      </c>
      <c r="M53" s="121">
        <f>IF(K53&gt;0,1,IF(K53&lt;0,-1,0))</f>
        <v>-1</v>
      </c>
    </row>
    <row r="54" spans="1:13" x14ac:dyDescent="0.25">
      <c r="A54" s="12">
        <v>48</v>
      </c>
      <c r="B54" s="2" t="s">
        <v>165</v>
      </c>
      <c r="C54" s="3" t="s">
        <v>31</v>
      </c>
      <c r="D54" s="3" t="s">
        <v>20</v>
      </c>
      <c r="E54" s="3">
        <v>192</v>
      </c>
      <c r="F54" s="15">
        <v>103.08</v>
      </c>
      <c r="G54" s="15">
        <v>135.28</v>
      </c>
      <c r="H54" s="5">
        <v>44116</v>
      </c>
      <c r="I54" s="5">
        <v>44155</v>
      </c>
      <c r="J54" s="118">
        <f>I54-H54</f>
        <v>39</v>
      </c>
      <c r="K54" s="119">
        <f>IF(D54="Long",G54/F54-1,-(G54/F54-1))</f>
        <v>-0.31237873496313551</v>
      </c>
      <c r="L54" s="120">
        <f>IF(D54="Long",(G54-F54)*E54,-(G54-F54)*E54)</f>
        <v>-6182.4000000000005</v>
      </c>
      <c r="M54" s="121">
        <f>IF(K54&gt;0,1,IF(K54&lt;0,-1,0))</f>
        <v>-1</v>
      </c>
    </row>
    <row r="55" spans="1:13" x14ac:dyDescent="0.25">
      <c r="A55" s="12">
        <v>49</v>
      </c>
      <c r="B55" s="2" t="s">
        <v>26</v>
      </c>
      <c r="C55" s="3" t="s">
        <v>27</v>
      </c>
      <c r="D55" s="3" t="s">
        <v>25</v>
      </c>
      <c r="E55" s="3">
        <v>450</v>
      </c>
      <c r="F55" s="15">
        <v>46.2</v>
      </c>
      <c r="G55" s="15">
        <v>58.66</v>
      </c>
      <c r="H55" s="5">
        <v>44124</v>
      </c>
      <c r="I55" s="5">
        <v>44168</v>
      </c>
      <c r="J55" s="118">
        <f>I55-H55</f>
        <v>44</v>
      </c>
      <c r="K55" s="119">
        <f>IF(D55="Long",G55/F55-1,-(G55/F55-1))</f>
        <v>0.26969696969696955</v>
      </c>
      <c r="L55" s="120">
        <f>IF(D55="Long",(G55-F55)*E55,-(G55-F55)*E55)</f>
        <v>5606.9999999999973</v>
      </c>
      <c r="M55" s="121">
        <f>IF(K55&gt;0,1,IF(K55&lt;0,-1,0))</f>
        <v>1</v>
      </c>
    </row>
    <row r="56" spans="1:13" x14ac:dyDescent="0.25">
      <c r="A56" s="12">
        <v>50</v>
      </c>
      <c r="B56" s="2" t="s">
        <v>168</v>
      </c>
      <c r="C56" s="3" t="s">
        <v>80</v>
      </c>
      <c r="D56" s="3" t="s">
        <v>25</v>
      </c>
      <c r="E56" s="3">
        <v>91</v>
      </c>
      <c r="F56" s="15">
        <v>113.22</v>
      </c>
      <c r="G56" s="15">
        <v>128.85</v>
      </c>
      <c r="H56" s="5">
        <v>44154</v>
      </c>
      <c r="I56" s="5">
        <v>44181</v>
      </c>
      <c r="J56" s="118">
        <f>I56-H56</f>
        <v>27</v>
      </c>
      <c r="K56" s="119">
        <f>IF(D56="Long",G56/F56-1,-(G56/F56-1))</f>
        <v>0.13804981452040277</v>
      </c>
      <c r="L56" s="120">
        <f>IF(D56="Long",(G56-F56)*E56,-(G56-F56)*E56)</f>
        <v>1422.3299999999995</v>
      </c>
      <c r="M56" s="121">
        <f>IF(K56&gt;0,1,IF(K56&lt;0,-1,0))</f>
        <v>1</v>
      </c>
    </row>
    <row r="57" spans="1:13" x14ac:dyDescent="0.25">
      <c r="A57" s="12">
        <v>51</v>
      </c>
      <c r="B57" s="2" t="s">
        <v>163</v>
      </c>
      <c r="C57" s="3" t="s">
        <v>62</v>
      </c>
      <c r="D57" s="3" t="s">
        <v>25</v>
      </c>
      <c r="E57" s="3">
        <v>272</v>
      </c>
      <c r="F57" s="15">
        <v>63.24</v>
      </c>
      <c r="G57" s="15">
        <v>62.57</v>
      </c>
      <c r="H57" s="5">
        <v>44082</v>
      </c>
      <c r="I57" s="5">
        <v>44183</v>
      </c>
      <c r="J57" s="118">
        <f>I57-H57</f>
        <v>101</v>
      </c>
      <c r="K57" s="119">
        <f>IF(D57="Long",G57/F57-1,-(G57/F57-1))</f>
        <v>-1.0594560404807107E-2</v>
      </c>
      <c r="L57" s="120">
        <f>IF(D57="Long",(G57-F57)*E57,-(G57-F57)*E57)</f>
        <v>-182.24000000000046</v>
      </c>
      <c r="M57" s="121">
        <f>IF(K57&gt;0,1,IF(K57&lt;0,-1,0))</f>
        <v>-1</v>
      </c>
    </row>
    <row r="58" spans="1:13" x14ac:dyDescent="0.25">
      <c r="A58" s="12">
        <v>52</v>
      </c>
      <c r="B58" s="2" t="s">
        <v>69</v>
      </c>
      <c r="C58" s="3" t="s">
        <v>70</v>
      </c>
      <c r="D58" s="3" t="s">
        <v>20</v>
      </c>
      <c r="E58" s="3">
        <v>41</v>
      </c>
      <c r="F58" s="15">
        <v>171.16</v>
      </c>
      <c r="G58" s="15">
        <v>200.05</v>
      </c>
      <c r="H58" s="5">
        <v>44140</v>
      </c>
      <c r="I58" s="5">
        <v>44183</v>
      </c>
      <c r="J58" s="118">
        <f>I58-H58</f>
        <v>43</v>
      </c>
      <c r="K58" s="119">
        <f>IF(D58="Long",G58/F58-1,-(G58/F58-1))</f>
        <v>-0.16878943678429548</v>
      </c>
      <c r="L58" s="120">
        <f>IF(D58="Long",(G58-F58)*E58,-(G58-F58)*E58)</f>
        <v>-1184.4900000000007</v>
      </c>
      <c r="M58" s="121">
        <f>IF(K58&gt;0,1,IF(K58&lt;0,-1,0))</f>
        <v>-1</v>
      </c>
    </row>
    <row r="59" spans="1:13" x14ac:dyDescent="0.25">
      <c r="A59" s="12">
        <v>53</v>
      </c>
      <c r="B59" s="2" t="s">
        <v>162</v>
      </c>
      <c r="C59" s="3" t="s">
        <v>56</v>
      </c>
      <c r="D59" s="3" t="s">
        <v>25</v>
      </c>
      <c r="E59" s="3">
        <v>289</v>
      </c>
      <c r="F59" s="15">
        <v>62.22</v>
      </c>
      <c r="G59" s="15">
        <v>84.97</v>
      </c>
      <c r="H59" s="5">
        <v>44141</v>
      </c>
      <c r="I59" s="5">
        <v>44186</v>
      </c>
      <c r="J59" s="118">
        <f>I59-H59</f>
        <v>45</v>
      </c>
      <c r="K59" s="119">
        <f>IF(D59="Long",G59/F59-1,-(G59/F59-1))</f>
        <v>0.3656380585020893</v>
      </c>
      <c r="L59" s="120">
        <f>IF(D59="Long",(G59-F59)*E59,-(G59-F59)*E59)</f>
        <v>6574.75</v>
      </c>
      <c r="M59" s="121">
        <f>IF(K59&gt;0,1,IF(K59&lt;0,-1,0))</f>
        <v>1</v>
      </c>
    </row>
    <row r="60" spans="1:13" x14ac:dyDescent="0.25">
      <c r="A60" s="12">
        <v>54</v>
      </c>
      <c r="B60" s="2" t="s">
        <v>171</v>
      </c>
      <c r="C60" s="3" t="s">
        <v>82</v>
      </c>
      <c r="D60" s="3" t="s">
        <v>20</v>
      </c>
      <c r="E60" s="3">
        <v>124</v>
      </c>
      <c r="F60" s="15">
        <v>51.984999999999999</v>
      </c>
      <c r="G60" s="15">
        <v>48.75</v>
      </c>
      <c r="H60" s="5">
        <v>44169</v>
      </c>
      <c r="I60" s="5">
        <v>44195</v>
      </c>
      <c r="J60" s="118">
        <f>I60-H60</f>
        <v>26</v>
      </c>
      <c r="K60" s="119">
        <f>IF(D60="Long",G60/F60-1,-(G60/F60-1))</f>
        <v>6.2229489275752559E-2</v>
      </c>
      <c r="L60" s="120">
        <f>IF(D60="Long",(G60-F60)*E60,-(G60-F60)*E60)</f>
        <v>401.13999999999993</v>
      </c>
      <c r="M60" s="121">
        <f>IF(K60&gt;0,1,IF(K60&lt;0,-1,0))</f>
        <v>1</v>
      </c>
    </row>
    <row r="61" spans="1:13" x14ac:dyDescent="0.25">
      <c r="A61" s="12">
        <v>55</v>
      </c>
      <c r="B61" s="2" t="s">
        <v>63</v>
      </c>
      <c r="C61" s="3" t="s">
        <v>64</v>
      </c>
      <c r="D61" s="3" t="s">
        <v>25</v>
      </c>
      <c r="E61" s="3">
        <v>322</v>
      </c>
      <c r="F61" s="15">
        <v>41.27</v>
      </c>
      <c r="G61" s="15">
        <v>33.47</v>
      </c>
      <c r="H61" s="5">
        <v>44116</v>
      </c>
      <c r="I61" s="5">
        <v>44200</v>
      </c>
      <c r="J61" s="118">
        <f>I61-H61</f>
        <v>84</v>
      </c>
      <c r="K61" s="119">
        <f>IF(D61="Long",G61/F61-1,-(G61/F61-1))</f>
        <v>-0.18899927307971898</v>
      </c>
      <c r="L61" s="120">
        <f>IF(D61="Long",(G61-F61)*E61,-(G61-F61)*E61)</f>
        <v>-2511.6000000000013</v>
      </c>
      <c r="M61" s="121">
        <f>IF(K61&gt;0,1,IF(K61&lt;0,-1,0))</f>
        <v>-1</v>
      </c>
    </row>
    <row r="62" spans="1:13" x14ac:dyDescent="0.25">
      <c r="A62" s="12">
        <v>56</v>
      </c>
      <c r="B62" s="2" t="s">
        <v>67</v>
      </c>
      <c r="C62" s="3" t="s">
        <v>68</v>
      </c>
      <c r="D62" s="3" t="s">
        <v>25</v>
      </c>
      <c r="E62" s="3">
        <v>217</v>
      </c>
      <c r="F62" s="15">
        <v>75.367500000000007</v>
      </c>
      <c r="G62" s="15">
        <v>74.77</v>
      </c>
      <c r="H62" s="5">
        <v>44117</v>
      </c>
      <c r="I62" s="5">
        <v>44201</v>
      </c>
      <c r="J62" s="118">
        <f>I62-H62</f>
        <v>84</v>
      </c>
      <c r="K62" s="119">
        <f>IF(D62="Long",G62/F62-1,-(G62/F62-1))</f>
        <v>-7.9278203469667075E-3</v>
      </c>
      <c r="L62" s="120">
        <f>IF(D62="Long",(G62-F62)*E62,-(G62-F62)*E62)</f>
        <v>-129.65750000000236</v>
      </c>
      <c r="M62" s="121">
        <f>IF(K62&gt;0,1,IF(K62&lt;0,-1,0))</f>
        <v>-1</v>
      </c>
    </row>
    <row r="63" spans="1:13" x14ac:dyDescent="0.25">
      <c r="A63" s="12">
        <v>57</v>
      </c>
      <c r="B63" s="2" t="s">
        <v>173</v>
      </c>
      <c r="C63" s="3" t="s">
        <v>81</v>
      </c>
      <c r="D63" s="3" t="s">
        <v>25</v>
      </c>
      <c r="E63" s="3">
        <v>588</v>
      </c>
      <c r="F63" s="15">
        <v>35.32</v>
      </c>
      <c r="G63" s="15">
        <v>27.31</v>
      </c>
      <c r="H63" s="5">
        <v>44182</v>
      </c>
      <c r="I63" s="5">
        <v>44204</v>
      </c>
      <c r="J63" s="118">
        <f>I63-H63</f>
        <v>22</v>
      </c>
      <c r="K63" s="119">
        <f>IF(D63="Long",G63/F63-1,-(G63/F63-1))</f>
        <v>-0.22678369195922998</v>
      </c>
      <c r="L63" s="120">
        <f>IF(D63="Long",(G63-F63)*E63,-(G63-F63)*E63)</f>
        <v>-4709.880000000001</v>
      </c>
      <c r="M63" s="121">
        <f>IF(K63&gt;0,1,IF(K63&lt;0,-1,0))</f>
        <v>-1</v>
      </c>
    </row>
    <row r="64" spans="1:13" x14ac:dyDescent="0.25">
      <c r="A64" s="12">
        <v>58</v>
      </c>
      <c r="B64" s="2" t="s">
        <v>166</v>
      </c>
      <c r="C64" s="3" t="s">
        <v>78</v>
      </c>
      <c r="D64" s="3" t="s">
        <v>25</v>
      </c>
      <c r="E64" s="3">
        <v>366</v>
      </c>
      <c r="F64" s="15">
        <v>32.06</v>
      </c>
      <c r="G64" s="15">
        <v>42.85</v>
      </c>
      <c r="H64" s="5">
        <v>44153</v>
      </c>
      <c r="I64" s="5">
        <v>44211</v>
      </c>
      <c r="J64" s="118">
        <f>I64-H64</f>
        <v>58</v>
      </c>
      <c r="K64" s="119">
        <f>IF(D64="Long",G64/F64-1,-(G64/F64-1))</f>
        <v>0.33655645664379286</v>
      </c>
      <c r="L64" s="120">
        <f>IF(D64="Long",(G64-F64)*E64,-(G64-F64)*E64)</f>
        <v>3949.14</v>
      </c>
      <c r="M64" s="121">
        <f>IF(K64&gt;0,1,IF(K64&lt;0,-1,0))</f>
        <v>1</v>
      </c>
    </row>
    <row r="65" spans="1:13" x14ac:dyDescent="0.25">
      <c r="A65" s="12">
        <v>59</v>
      </c>
      <c r="B65" s="2" t="s">
        <v>170</v>
      </c>
      <c r="C65" s="3" t="s">
        <v>91</v>
      </c>
      <c r="D65" s="3" t="s">
        <v>25</v>
      </c>
      <c r="E65" s="3">
        <v>219</v>
      </c>
      <c r="F65" s="15">
        <v>80.290000000000006</v>
      </c>
      <c r="G65" s="15">
        <v>62.37</v>
      </c>
      <c r="H65" s="5">
        <v>44169</v>
      </c>
      <c r="I65" s="5">
        <v>44214</v>
      </c>
      <c r="J65" s="118">
        <f>I65-H65</f>
        <v>45</v>
      </c>
      <c r="K65" s="119">
        <f>IF(D65="Long",G65/F65-1,-(G65/F65-1))</f>
        <v>-0.22319093286835234</v>
      </c>
      <c r="L65" s="120">
        <f>IF(D65="Long",(G65-F65)*E65,-(G65-F65)*E65)</f>
        <v>-3924.4800000000018</v>
      </c>
      <c r="M65" s="121">
        <f>IF(K65&gt;0,1,IF(K65&lt;0,-1,0))</f>
        <v>-1</v>
      </c>
    </row>
    <row r="66" spans="1:13" x14ac:dyDescent="0.25">
      <c r="A66" s="12">
        <v>60</v>
      </c>
      <c r="B66" s="2" t="s">
        <v>167</v>
      </c>
      <c r="C66" s="3" t="s">
        <v>75</v>
      </c>
      <c r="D66" s="3" t="s">
        <v>20</v>
      </c>
      <c r="E66" s="3">
        <v>25</v>
      </c>
      <c r="F66" s="15">
        <v>244.01</v>
      </c>
      <c r="G66" s="15">
        <v>273.83999999999997</v>
      </c>
      <c r="H66" s="5">
        <v>44154</v>
      </c>
      <c r="I66" s="5">
        <v>44215</v>
      </c>
      <c r="J66" s="118">
        <f>I66-H66</f>
        <v>61</v>
      </c>
      <c r="K66" s="119">
        <f>IF(D66="Long",G66/F66-1,-(G66/F66-1))</f>
        <v>-0.12224908815212476</v>
      </c>
      <c r="L66" s="120">
        <f>IF(D66="Long",(G66-F66)*E66,-(G66-F66)*E66)</f>
        <v>-745.74999999999955</v>
      </c>
      <c r="M66" s="121">
        <f>IF(K66&gt;0,1,IF(K66&lt;0,-1,0))</f>
        <v>-1</v>
      </c>
    </row>
    <row r="67" spans="1:13" x14ac:dyDescent="0.25">
      <c r="A67" s="12">
        <v>61</v>
      </c>
      <c r="B67" s="2" t="s">
        <v>76</v>
      </c>
      <c r="C67" s="3" t="s">
        <v>77</v>
      </c>
      <c r="D67" s="3" t="s">
        <v>20</v>
      </c>
      <c r="E67" s="3">
        <v>361</v>
      </c>
      <c r="F67" s="15">
        <v>39.045772456000002</v>
      </c>
      <c r="G67" s="15">
        <v>34.871781900000002</v>
      </c>
      <c r="H67" s="5">
        <v>44154</v>
      </c>
      <c r="I67" s="5">
        <v>44223</v>
      </c>
      <c r="J67" s="118">
        <f>I67-H67</f>
        <v>69</v>
      </c>
      <c r="K67" s="119">
        <f>IF(D67="Long",G67/F67-1,-(G67/F67-1))</f>
        <v>0.10689993547197962</v>
      </c>
      <c r="L67" s="120">
        <f>IF(D67="Long",(G67-F67)*E67,-(G67-F67)*E67)</f>
        <v>1506.810590716</v>
      </c>
      <c r="M67" s="121">
        <f>IF(K67&gt;0,1,IF(K67&lt;0,-1,0))</f>
        <v>1</v>
      </c>
    </row>
    <row r="68" spans="1:13" x14ac:dyDescent="0.25">
      <c r="A68" s="12">
        <v>62</v>
      </c>
      <c r="B68" s="2" t="s">
        <v>169</v>
      </c>
      <c r="C68" s="3" t="s">
        <v>83</v>
      </c>
      <c r="D68" s="3" t="s">
        <v>25</v>
      </c>
      <c r="E68" s="3">
        <v>37</v>
      </c>
      <c r="F68" s="15">
        <v>144.07</v>
      </c>
      <c r="G68" s="15">
        <v>270.13</v>
      </c>
      <c r="H68" s="5">
        <v>44169</v>
      </c>
      <c r="I68" s="5">
        <v>44232</v>
      </c>
      <c r="J68" s="118">
        <f>I68-H68</f>
        <v>63</v>
      </c>
      <c r="K68" s="119">
        <f>IF(D68="Long",G68/F68-1,-(G68/F68-1))</f>
        <v>0.87499132366210874</v>
      </c>
      <c r="L68" s="120">
        <f>IF(D68="Long",(G68-F68)*E68,-(G68-F68)*E68)</f>
        <v>4664.22</v>
      </c>
      <c r="M68" s="121">
        <f>IF(K68&gt;0,1,IF(K68&lt;0,-1,0))</f>
        <v>1</v>
      </c>
    </row>
    <row r="69" spans="1:13" x14ac:dyDescent="0.25">
      <c r="A69" s="12">
        <v>63</v>
      </c>
      <c r="B69" s="2" t="s">
        <v>73</v>
      </c>
      <c r="C69" s="3" t="s">
        <v>74</v>
      </c>
      <c r="D69" s="3" t="s">
        <v>25</v>
      </c>
      <c r="E69" s="3">
        <v>715</v>
      </c>
      <c r="F69" s="15">
        <v>15.19</v>
      </c>
      <c r="G69" s="15">
        <v>21.61</v>
      </c>
      <c r="H69" s="5">
        <v>44126</v>
      </c>
      <c r="I69" s="5">
        <v>44235</v>
      </c>
      <c r="J69" s="118">
        <f>I69-H69</f>
        <v>109</v>
      </c>
      <c r="K69" s="119">
        <f>IF(D69="Long",G69/F69-1,-(G69/F69-1))</f>
        <v>0.42264647794601706</v>
      </c>
      <c r="L69" s="120">
        <f>IF(D69="Long",(G69-F69)*E69,-(G69-F69)*E69)</f>
        <v>4590.3</v>
      </c>
      <c r="M69" s="121">
        <f>IF(K69&gt;0,1,IF(K69&lt;0,-1,0))</f>
        <v>1</v>
      </c>
    </row>
    <row r="70" spans="1:13" x14ac:dyDescent="0.25">
      <c r="A70" s="12">
        <v>64</v>
      </c>
      <c r="B70" s="2" t="s">
        <v>172</v>
      </c>
      <c r="C70" s="3" t="s">
        <v>79</v>
      </c>
      <c r="D70" s="3" t="s">
        <v>20</v>
      </c>
      <c r="E70" s="3">
        <v>23</v>
      </c>
      <c r="F70" s="15">
        <v>609.99</v>
      </c>
      <c r="G70" s="15">
        <v>781.3</v>
      </c>
      <c r="H70" s="5">
        <v>44176</v>
      </c>
      <c r="I70" s="5">
        <v>44246</v>
      </c>
      <c r="J70" s="118">
        <f>I70-H70</f>
        <v>70</v>
      </c>
      <c r="K70" s="119">
        <f>IF(D70="Long",G70/F70-1,-(G70/F70-1))</f>
        <v>-0.2808406695191723</v>
      </c>
      <c r="L70" s="120">
        <f>IF(D70="Long",(G70-F70)*E70,-(G70-F70)*E70)</f>
        <v>-3940.1299999999987</v>
      </c>
      <c r="M70" s="121">
        <f>IF(K70&gt;0,1,IF(K70&lt;0,-1,0))</f>
        <v>-1</v>
      </c>
    </row>
    <row r="71" spans="1:13" x14ac:dyDescent="0.25">
      <c r="A71" s="12">
        <v>65</v>
      </c>
      <c r="B71" s="2" t="s">
        <v>43</v>
      </c>
      <c r="C71" s="3" t="s">
        <v>44</v>
      </c>
      <c r="D71" s="3" t="s">
        <v>20</v>
      </c>
      <c r="E71" s="3">
        <v>282</v>
      </c>
      <c r="F71" s="15">
        <v>73.33</v>
      </c>
      <c r="G71" s="15">
        <v>87.26</v>
      </c>
      <c r="H71" s="5">
        <v>44210</v>
      </c>
      <c r="I71" s="5">
        <v>44264</v>
      </c>
      <c r="J71" s="118">
        <f>I71-H71</f>
        <v>54</v>
      </c>
      <c r="K71" s="119">
        <f>IF(D71="Long",G71/F71-1,-(G71/F71-1))</f>
        <v>-0.18996318014455205</v>
      </c>
      <c r="L71" s="120">
        <f>IF(D71="Long",(G71-F71)*E71,-(G71-F71)*E71)</f>
        <v>-3928.260000000002</v>
      </c>
      <c r="M71" s="121">
        <f>IF(K71&gt;0,1,IF(K71&lt;0,-1,0))</f>
        <v>-1</v>
      </c>
    </row>
    <row r="72" spans="1:13" x14ac:dyDescent="0.25">
      <c r="A72" s="12">
        <v>66</v>
      </c>
      <c r="B72" s="2" t="s">
        <v>175</v>
      </c>
      <c r="C72" s="3" t="s">
        <v>90</v>
      </c>
      <c r="D72" s="3" t="s">
        <v>25</v>
      </c>
      <c r="E72" s="3">
        <v>116</v>
      </c>
      <c r="F72" s="15">
        <v>150.15</v>
      </c>
      <c r="G72" s="15">
        <v>160.46</v>
      </c>
      <c r="H72" s="5">
        <v>44236</v>
      </c>
      <c r="I72" s="5">
        <v>44271</v>
      </c>
      <c r="J72" s="118">
        <f>I72-H72</f>
        <v>35</v>
      </c>
      <c r="K72" s="119">
        <f>IF(D72="Long",G72/F72-1,-(G72/F72-1))</f>
        <v>6.8664668664668582E-2</v>
      </c>
      <c r="L72" s="120">
        <f>IF(D72="Long",(G72-F72)*E72,-(G72-F72)*E72)</f>
        <v>1195.9600000000003</v>
      </c>
      <c r="M72" s="121">
        <f>IF(K72&gt;0,1,IF(K72&lt;0,-1,0))</f>
        <v>1</v>
      </c>
    </row>
    <row r="73" spans="1:13" x14ac:dyDescent="0.25">
      <c r="A73" s="12">
        <v>67</v>
      </c>
      <c r="B73" s="2" t="s">
        <v>176</v>
      </c>
      <c r="C73" s="3" t="s">
        <v>84</v>
      </c>
      <c r="D73" s="3" t="s">
        <v>20</v>
      </c>
      <c r="E73" s="3">
        <v>264</v>
      </c>
      <c r="F73" s="15">
        <v>59</v>
      </c>
      <c r="G73" s="15">
        <v>42.68</v>
      </c>
      <c r="H73" s="5">
        <v>44243</v>
      </c>
      <c r="I73" s="5">
        <v>44271</v>
      </c>
      <c r="J73" s="118">
        <f>I73-H73</f>
        <v>28</v>
      </c>
      <c r="K73" s="119">
        <f>IF(D73="Long",G73/F73-1,-(G73/F73-1))</f>
        <v>0.27661016949152539</v>
      </c>
      <c r="L73" s="120">
        <f>IF(D73="Long",(G73-F73)*E73,-(G73-F73)*E73)</f>
        <v>4308.4800000000005</v>
      </c>
      <c r="M73" s="121">
        <f>IF(K73&gt;0,1,IF(K73&lt;0,-1,0))</f>
        <v>1</v>
      </c>
    </row>
    <row r="74" spans="1:13" x14ac:dyDescent="0.25">
      <c r="A74" s="12">
        <v>68</v>
      </c>
      <c r="B74" s="2" t="s">
        <v>85</v>
      </c>
      <c r="C74" s="3" t="s">
        <v>86</v>
      </c>
      <c r="D74" s="3" t="s">
        <v>25</v>
      </c>
      <c r="E74" s="3">
        <v>350</v>
      </c>
      <c r="F74" s="15">
        <v>54.41</v>
      </c>
      <c r="G74" s="15">
        <v>57.8</v>
      </c>
      <c r="H74" s="5">
        <v>44232</v>
      </c>
      <c r="I74" s="5">
        <v>44287</v>
      </c>
      <c r="J74" s="118">
        <f>I74-H74</f>
        <v>55</v>
      </c>
      <c r="K74" s="119">
        <f>IF(D74="Long",G74/F74-1,-(G74/F74-1))</f>
        <v>6.2304723396434447E-2</v>
      </c>
      <c r="L74" s="120">
        <f>IF(D74="Long",(G74-F74)*E74,-(G74-F74)*E74)</f>
        <v>1186.5000000000002</v>
      </c>
      <c r="M74" s="121">
        <f>IF(K74&gt;0,1,IF(K74&lt;0,-1,0))</f>
        <v>1</v>
      </c>
    </row>
    <row r="75" spans="1:13" x14ac:dyDescent="0.25">
      <c r="A75" s="12">
        <v>69</v>
      </c>
      <c r="B75" s="2" t="s">
        <v>149</v>
      </c>
      <c r="C75" s="3" t="s">
        <v>36</v>
      </c>
      <c r="D75" s="3" t="s">
        <v>25</v>
      </c>
      <c r="E75" s="3">
        <v>239</v>
      </c>
      <c r="F75" s="15">
        <v>65.63</v>
      </c>
      <c r="G75" s="15">
        <v>79</v>
      </c>
      <c r="H75" s="5">
        <v>44260</v>
      </c>
      <c r="I75" s="5">
        <v>44295</v>
      </c>
      <c r="J75" s="118">
        <f>I75-H75</f>
        <v>35</v>
      </c>
      <c r="K75" s="119">
        <f>IF(D75="Long",G75/F75-1,-(G75/F75-1))</f>
        <v>0.2037178119762304</v>
      </c>
      <c r="L75" s="120">
        <f>IF(D75="Long",(G75-F75)*E75,-(G75-F75)*E75)</f>
        <v>3195.4300000000012</v>
      </c>
      <c r="M75" s="121">
        <f>IF(K75&gt;0,1,IF(K75&lt;0,-1,0))</f>
        <v>1</v>
      </c>
    </row>
    <row r="76" spans="1:13" x14ac:dyDescent="0.25">
      <c r="A76" s="12">
        <v>70</v>
      </c>
      <c r="B76" s="2" t="s">
        <v>105</v>
      </c>
      <c r="C76" s="3" t="s">
        <v>106</v>
      </c>
      <c r="D76" s="3" t="s">
        <v>20</v>
      </c>
      <c r="E76" s="3">
        <v>47</v>
      </c>
      <c r="F76" s="15">
        <v>387.03</v>
      </c>
      <c r="G76" s="15">
        <v>411.64</v>
      </c>
      <c r="H76" s="5">
        <v>44249</v>
      </c>
      <c r="I76" s="5">
        <v>44298</v>
      </c>
      <c r="J76" s="118">
        <f>I76-H76</f>
        <v>49</v>
      </c>
      <c r="K76" s="119">
        <f>IF(D76="Long",G76/F76-1,-(G76/F76-1))</f>
        <v>-6.3586802056688096E-2</v>
      </c>
      <c r="L76" s="120">
        <f>IF(D76="Long",(G76-F76)*E76,-(G76-F76)*E76)</f>
        <v>-1156.6700000000005</v>
      </c>
      <c r="M76" s="121">
        <f>IF(K76&gt;0,1,IF(K76&lt;0,-1,0))</f>
        <v>-1</v>
      </c>
    </row>
    <row r="77" spans="1:13" x14ac:dyDescent="0.25">
      <c r="A77" s="12">
        <v>71</v>
      </c>
      <c r="B77" s="2" t="s">
        <v>174</v>
      </c>
      <c r="C77" s="3" t="s">
        <v>87</v>
      </c>
      <c r="D77" s="3" t="s">
        <v>25</v>
      </c>
      <c r="E77" s="3">
        <v>166</v>
      </c>
      <c r="F77" s="15">
        <v>110.7</v>
      </c>
      <c r="G77" s="15">
        <v>84.15</v>
      </c>
      <c r="H77" s="5">
        <v>44232</v>
      </c>
      <c r="I77" s="5">
        <v>44302</v>
      </c>
      <c r="J77" s="118">
        <f>I77-H77</f>
        <v>70</v>
      </c>
      <c r="K77" s="119">
        <f>IF(D77="Long",G77/F77-1,-(G77/F77-1))</f>
        <v>-0.23983739837398366</v>
      </c>
      <c r="L77" s="120">
        <f>IF(D77="Long",(G77-F77)*E77,-(G77-F77)*E77)</f>
        <v>-4407.2999999999993</v>
      </c>
      <c r="M77" s="121">
        <f>IF(K77&gt;0,1,IF(K77&lt;0,-1,0))</f>
        <v>-1</v>
      </c>
    </row>
    <row r="78" spans="1:13" x14ac:dyDescent="0.25">
      <c r="A78" s="12">
        <v>72</v>
      </c>
      <c r="B78" s="2" t="s">
        <v>99</v>
      </c>
      <c r="C78" s="3" t="s">
        <v>100</v>
      </c>
      <c r="D78" s="3" t="s">
        <v>20</v>
      </c>
      <c r="E78" s="3">
        <v>132</v>
      </c>
      <c r="F78" s="15">
        <v>108.94</v>
      </c>
      <c r="G78" s="15">
        <v>109</v>
      </c>
      <c r="H78" s="5">
        <v>44249</v>
      </c>
      <c r="I78" s="5">
        <v>44302</v>
      </c>
      <c r="J78" s="118">
        <f>I78-H78</f>
        <v>53</v>
      </c>
      <c r="K78" s="119">
        <f>IF(D78="Long",G78/F78-1,-(G78/F78-1))</f>
        <v>-5.507618872773179E-4</v>
      </c>
      <c r="L78" s="120">
        <f>IF(D78="Long",(G78-F78)*E78,-(G78-F78)*E78)</f>
        <v>-7.9200000000003001</v>
      </c>
      <c r="M78" s="121">
        <f>IF(K78&gt;0,1,IF(K78&lt;0,-1,0))</f>
        <v>-1</v>
      </c>
    </row>
    <row r="79" spans="1:13" x14ac:dyDescent="0.25">
      <c r="A79" s="12">
        <v>73</v>
      </c>
      <c r="B79" s="2" t="s">
        <v>88</v>
      </c>
      <c r="C79" s="3" t="s">
        <v>89</v>
      </c>
      <c r="D79" s="3" t="s">
        <v>20</v>
      </c>
      <c r="E79" s="3">
        <v>270</v>
      </c>
      <c r="F79" s="15">
        <v>58.03</v>
      </c>
      <c r="G79" s="15">
        <v>63.7</v>
      </c>
      <c r="H79" s="5">
        <v>44232</v>
      </c>
      <c r="I79" s="5">
        <v>44305</v>
      </c>
      <c r="J79" s="118">
        <f>I79-H79</f>
        <v>73</v>
      </c>
      <c r="K79" s="119">
        <f>IF(D79="Long",G79/F79-1,-(G79/F79-1))</f>
        <v>-9.7708082026538134E-2</v>
      </c>
      <c r="L79" s="120">
        <f>IF(D79="Long",(G79-F79)*E79,-(G79-F79)*E79)</f>
        <v>-1530.9000000000005</v>
      </c>
      <c r="M79" s="121">
        <f>IF(K79&gt;0,1,IF(K79&lt;0,-1,0))</f>
        <v>-1</v>
      </c>
    </row>
    <row r="80" spans="1:13" x14ac:dyDescent="0.25">
      <c r="A80" s="12">
        <v>74</v>
      </c>
      <c r="B80" s="2" t="s">
        <v>179</v>
      </c>
      <c r="C80" s="3" t="s">
        <v>96</v>
      </c>
      <c r="D80" s="3" t="s">
        <v>25</v>
      </c>
      <c r="E80" s="3">
        <v>776</v>
      </c>
      <c r="F80" s="15">
        <v>13.6</v>
      </c>
      <c r="G80" s="15">
        <v>18.63</v>
      </c>
      <c r="H80" s="5">
        <v>44260</v>
      </c>
      <c r="I80" s="5">
        <v>44316</v>
      </c>
      <c r="J80" s="118">
        <f>I80-H80</f>
        <v>56</v>
      </c>
      <c r="K80" s="119">
        <f>IF(D80="Long",G80/F80-1,-(G80/F80-1))</f>
        <v>0.36985294117647061</v>
      </c>
      <c r="L80" s="120">
        <f>IF(D80="Long",(G80-F80)*E80,-(G80-F80)*E80)</f>
        <v>3903.2799999999993</v>
      </c>
      <c r="M80" s="121">
        <f>IF(K80&gt;0,1,IF(K80&lt;0,-1,0))</f>
        <v>1</v>
      </c>
    </row>
    <row r="81" spans="1:13" x14ac:dyDescent="0.25">
      <c r="A81" s="12">
        <v>75</v>
      </c>
      <c r="B81" s="2" t="s">
        <v>178</v>
      </c>
      <c r="C81" s="3" t="s">
        <v>92</v>
      </c>
      <c r="D81" s="3" t="s">
        <v>25</v>
      </c>
      <c r="E81" s="3">
        <v>512</v>
      </c>
      <c r="F81" s="15">
        <v>40.4</v>
      </c>
      <c r="G81" s="15">
        <v>39.93</v>
      </c>
      <c r="H81" s="5">
        <v>44260</v>
      </c>
      <c r="I81" s="5">
        <v>44330</v>
      </c>
      <c r="J81" s="118">
        <f>I81-H81</f>
        <v>70</v>
      </c>
      <c r="K81" s="119">
        <f>IF(D81="Long",G81/F81-1,-(G81/F81-1))</f>
        <v>-1.1633663366336644E-2</v>
      </c>
      <c r="L81" s="120">
        <f>IF(D81="Long",(G81-F81)*E81,-(G81-F81)*E81)</f>
        <v>-240.63999999999942</v>
      </c>
      <c r="M81" s="121">
        <f>IF(K81&gt;0,1,IF(K81&lt;0,-1,0))</f>
        <v>-1</v>
      </c>
    </row>
    <row r="82" spans="1:13" x14ac:dyDescent="0.25">
      <c r="A82" s="12">
        <v>76</v>
      </c>
      <c r="B82" s="2" t="s">
        <v>114</v>
      </c>
      <c r="C82" s="3" t="s">
        <v>115</v>
      </c>
      <c r="D82" s="3" t="s">
        <v>25</v>
      </c>
      <c r="E82" s="3">
        <v>1108</v>
      </c>
      <c r="F82" s="15">
        <v>12.08</v>
      </c>
      <c r="G82" s="15">
        <v>10.77</v>
      </c>
      <c r="H82" s="5">
        <v>44237</v>
      </c>
      <c r="I82" s="5">
        <v>44334</v>
      </c>
      <c r="J82" s="118">
        <f>I82-H82</f>
        <v>97</v>
      </c>
      <c r="K82" s="119">
        <f>IF(D82="Long",G82/F82-1,-(G82/F82-1))</f>
        <v>-0.10844370860927155</v>
      </c>
      <c r="L82" s="120">
        <f>IF(D82="Long",(G82-F82)*E82,-(G82-F82)*E82)</f>
        <v>-1451.4800000000005</v>
      </c>
      <c r="M82" s="121">
        <f>IF(K82&gt;0,1,IF(K82&lt;0,-1,0))</f>
        <v>-1</v>
      </c>
    </row>
    <row r="83" spans="1:13" x14ac:dyDescent="0.25">
      <c r="A83" s="12">
        <v>77</v>
      </c>
      <c r="B83" s="2" t="s">
        <v>163</v>
      </c>
      <c r="C83" s="3" t="s">
        <v>62</v>
      </c>
      <c r="D83" s="3" t="s">
        <v>25</v>
      </c>
      <c r="E83" s="3">
        <v>269</v>
      </c>
      <c r="F83" s="15">
        <v>70.14</v>
      </c>
      <c r="G83" s="15">
        <v>77.52</v>
      </c>
      <c r="H83" s="5">
        <v>44252</v>
      </c>
      <c r="I83" s="5">
        <v>44336</v>
      </c>
      <c r="J83" s="118">
        <f>I83-H83</f>
        <v>84</v>
      </c>
      <c r="K83" s="119">
        <f>IF(D83="Long",G83/F83-1,-(G83/F83-1))</f>
        <v>0.10521813515825484</v>
      </c>
      <c r="L83" s="120">
        <f>IF(D83="Long",(G83-F83)*E83,-(G83-F83)*E83)</f>
        <v>1985.2199999999989</v>
      </c>
      <c r="M83" s="121">
        <f>IF(K83&gt;0,1,IF(K83&lt;0,-1,0))</f>
        <v>1</v>
      </c>
    </row>
    <row r="84" spans="1:13" x14ac:dyDescent="0.25">
      <c r="A84" s="12">
        <v>78</v>
      </c>
      <c r="B84" s="2" t="s">
        <v>177</v>
      </c>
      <c r="C84" s="3" t="s">
        <v>93</v>
      </c>
      <c r="D84" s="3" t="s">
        <v>20</v>
      </c>
      <c r="E84" s="3">
        <v>199</v>
      </c>
      <c r="F84" s="15">
        <v>105.13</v>
      </c>
      <c r="G84" s="15">
        <v>100.9</v>
      </c>
      <c r="H84" s="5">
        <v>44260</v>
      </c>
      <c r="I84" s="5">
        <v>44337</v>
      </c>
      <c r="J84" s="118">
        <f>I84-H84</f>
        <v>77</v>
      </c>
      <c r="K84" s="119">
        <f>IF(D84="Long",G84/F84-1,-(G84/F84-1))</f>
        <v>4.0235898411490445E-2</v>
      </c>
      <c r="L84" s="120">
        <f>IF(D84="Long",(G84-F84)*E84,-(G84-F84)*E84)</f>
        <v>841.76999999999794</v>
      </c>
      <c r="M84" s="121">
        <f>IF(K84&gt;0,1,IF(K84&lt;0,-1,0))</f>
        <v>1</v>
      </c>
    </row>
    <row r="85" spans="1:13" x14ac:dyDescent="0.25">
      <c r="A85" s="12">
        <v>79</v>
      </c>
      <c r="B85" s="2" t="s">
        <v>94</v>
      </c>
      <c r="C85" s="3" t="s">
        <v>95</v>
      </c>
      <c r="D85" s="3" t="s">
        <v>20</v>
      </c>
      <c r="E85" s="3">
        <v>214</v>
      </c>
      <c r="F85" s="15">
        <v>95.53</v>
      </c>
      <c r="G85" s="15">
        <v>102.86</v>
      </c>
      <c r="H85" s="5">
        <v>44280</v>
      </c>
      <c r="I85" s="5">
        <v>44337</v>
      </c>
      <c r="J85" s="118">
        <f>I85-H85</f>
        <v>57</v>
      </c>
      <c r="K85" s="119">
        <f>IF(D85="Long",G85/F85-1,-(G85/F85-1))</f>
        <v>-7.6729823092222427E-2</v>
      </c>
      <c r="L85" s="120">
        <f>IF(D85="Long",(G85-F85)*E85,-(G85-F85)*E85)</f>
        <v>-1568.6199999999997</v>
      </c>
      <c r="M85" s="121">
        <f>IF(K85&gt;0,1,IF(K85&lt;0,-1,0))</f>
        <v>-1</v>
      </c>
    </row>
    <row r="86" spans="1:13" x14ac:dyDescent="0.25">
      <c r="A86" s="12">
        <v>80</v>
      </c>
      <c r="B86" s="2" t="s">
        <v>180</v>
      </c>
      <c r="C86" s="3" t="s">
        <v>98</v>
      </c>
      <c r="D86" s="3" t="s">
        <v>20</v>
      </c>
      <c r="E86" s="3">
        <v>348</v>
      </c>
      <c r="F86" s="15">
        <v>37.69</v>
      </c>
      <c r="G86" s="15">
        <v>44.05</v>
      </c>
      <c r="H86" s="5">
        <v>44291</v>
      </c>
      <c r="I86" s="5">
        <v>44337</v>
      </c>
      <c r="J86" s="118">
        <f>I86-H86</f>
        <v>46</v>
      </c>
      <c r="K86" s="119">
        <f>IF(D86="Long",G86/F86-1,-(G86/F86-1))</f>
        <v>-0.16874502520562484</v>
      </c>
      <c r="L86" s="120">
        <f>IF(D86="Long",(G86-F86)*E86,-(G86-F86)*E86)</f>
        <v>-2213.2799999999997</v>
      </c>
      <c r="M86" s="121">
        <f>IF(K86&gt;0,1,IF(K86&lt;0,-1,0))</f>
        <v>-1</v>
      </c>
    </row>
    <row r="87" spans="1:13" x14ac:dyDescent="0.25">
      <c r="A87" s="12">
        <v>81</v>
      </c>
      <c r="B87" s="2" t="s">
        <v>183</v>
      </c>
      <c r="C87" s="3" t="s">
        <v>101</v>
      </c>
      <c r="D87" s="3" t="s">
        <v>20</v>
      </c>
      <c r="E87" s="3">
        <v>14</v>
      </c>
      <c r="F87" s="15">
        <v>1208.3399999999999</v>
      </c>
      <c r="G87" s="15">
        <v>1238.83</v>
      </c>
      <c r="H87" s="5">
        <v>44301</v>
      </c>
      <c r="I87" s="5">
        <v>44342</v>
      </c>
      <c r="J87" s="118">
        <f>I87-H87</f>
        <v>41</v>
      </c>
      <c r="K87" s="119">
        <f>IF(D87="Long",G87/F87-1,-(G87/F87-1))</f>
        <v>-2.5232964231921562E-2</v>
      </c>
      <c r="L87" s="120">
        <f>IF(D87="Long",(G87-F87)*E87,-(G87-F87)*E87)</f>
        <v>-426.86000000000013</v>
      </c>
      <c r="M87" s="121">
        <f>IF(K87&gt;0,1,IF(K87&lt;0,-1,0))</f>
        <v>-1</v>
      </c>
    </row>
    <row r="88" spans="1:13" x14ac:dyDescent="0.25">
      <c r="A88" s="12">
        <v>82</v>
      </c>
      <c r="B88" s="2" t="s">
        <v>103</v>
      </c>
      <c r="C88" s="3" t="s">
        <v>104</v>
      </c>
      <c r="D88" s="3" t="s">
        <v>25</v>
      </c>
      <c r="E88" s="3">
        <v>321</v>
      </c>
      <c r="F88" s="15">
        <v>70.88</v>
      </c>
      <c r="G88" s="15">
        <v>71.400000000000006</v>
      </c>
      <c r="H88" s="5">
        <v>44280</v>
      </c>
      <c r="I88" s="5">
        <v>44348</v>
      </c>
      <c r="J88" s="118">
        <f>I88-H88</f>
        <v>68</v>
      </c>
      <c r="K88" s="119">
        <f>IF(D88="Long",G88/F88-1,-(G88/F88-1))</f>
        <v>7.3363431151243219E-3</v>
      </c>
      <c r="L88" s="120">
        <f>IF(D88="Long",(G88-F88)*E88,-(G88-F88)*E88)</f>
        <v>166.92000000000328</v>
      </c>
      <c r="M88" s="121">
        <f>IF(K88&gt;0,1,IF(K88&lt;0,-1,0))</f>
        <v>1</v>
      </c>
    </row>
    <row r="89" spans="1:13" x14ac:dyDescent="0.25">
      <c r="A89" s="12">
        <v>83</v>
      </c>
      <c r="B89" s="2" t="s">
        <v>107</v>
      </c>
      <c r="C89" s="3" t="s">
        <v>108</v>
      </c>
      <c r="D89" s="3" t="s">
        <v>25</v>
      </c>
      <c r="E89" s="3">
        <v>315</v>
      </c>
      <c r="F89" s="15">
        <v>55.65</v>
      </c>
      <c r="G89" s="15">
        <v>67.260000000000005</v>
      </c>
      <c r="H89" s="5">
        <v>44328</v>
      </c>
      <c r="I89" s="5">
        <v>44354</v>
      </c>
      <c r="J89" s="118">
        <f>I89-H89</f>
        <v>26</v>
      </c>
      <c r="K89" s="119">
        <f>IF(D89="Long",G89/F89-1,-(G89/F89-1))</f>
        <v>0.20862533692722374</v>
      </c>
      <c r="L89" s="120">
        <f>IF(D89="Long",(G89-F89)*E89,-(G89-F89)*E89)</f>
        <v>3657.1500000000019</v>
      </c>
      <c r="M89" s="121">
        <f>IF(K89&gt;0,1,IF(K89&lt;0,-1,0))</f>
        <v>1</v>
      </c>
    </row>
    <row r="90" spans="1:13" x14ac:dyDescent="0.25">
      <c r="A90" s="12">
        <v>84</v>
      </c>
      <c r="B90" s="2" t="s">
        <v>184</v>
      </c>
      <c r="C90" s="3" t="s">
        <v>109</v>
      </c>
      <c r="D90" s="3" t="s">
        <v>25</v>
      </c>
      <c r="E90" s="3">
        <v>259</v>
      </c>
      <c r="F90" s="15">
        <v>90.68</v>
      </c>
      <c r="G90" s="15">
        <v>116.77</v>
      </c>
      <c r="H90" s="5">
        <v>44330</v>
      </c>
      <c r="I90" s="5">
        <v>44362</v>
      </c>
      <c r="J90" s="118">
        <f>I90-H90</f>
        <v>32</v>
      </c>
      <c r="K90" s="119">
        <f>IF(D90="Long",G90/F90-1,-(G90/F90-1))</f>
        <v>0.28771504190560204</v>
      </c>
      <c r="L90" s="120">
        <f>IF(D90="Long",(G90-F90)*E90,-(G90-F90)*E90)</f>
        <v>6757.3099999999968</v>
      </c>
      <c r="M90" s="121">
        <f>IF(K90&gt;0,1,IF(K90&lt;0,-1,0))</f>
        <v>1</v>
      </c>
    </row>
    <row r="91" spans="1:13" x14ac:dyDescent="0.25">
      <c r="A91" s="12">
        <v>85</v>
      </c>
      <c r="B91" s="2" t="s">
        <v>181</v>
      </c>
      <c r="C91" s="3" t="s">
        <v>97</v>
      </c>
      <c r="D91" s="3" t="s">
        <v>20</v>
      </c>
      <c r="E91" s="3">
        <v>90</v>
      </c>
      <c r="F91" s="15">
        <v>232.32</v>
      </c>
      <c r="G91" s="15">
        <v>249.4</v>
      </c>
      <c r="H91" s="5">
        <v>44291</v>
      </c>
      <c r="I91" s="5">
        <v>44365</v>
      </c>
      <c r="J91" s="118">
        <f>I91-H91</f>
        <v>74</v>
      </c>
      <c r="K91" s="119">
        <f>IF(D91="Long",G91/F91-1,-(G91/F91-1))</f>
        <v>-7.3519283746556585E-2</v>
      </c>
      <c r="L91" s="120">
        <f>IF(D91="Long",(G91-F91)*E91,-(G91-F91)*E91)</f>
        <v>-1537.2000000000012</v>
      </c>
      <c r="M91" s="121">
        <f>IF(K91&gt;0,1,IF(K91&lt;0,-1,0))</f>
        <v>-1</v>
      </c>
    </row>
    <row r="92" spans="1:13" x14ac:dyDescent="0.25">
      <c r="A92" s="12">
        <v>86</v>
      </c>
      <c r="B92" s="2" t="s">
        <v>116</v>
      </c>
      <c r="C92" s="3" t="s">
        <v>117</v>
      </c>
      <c r="D92" s="3" t="s">
        <v>25</v>
      </c>
      <c r="E92" s="3">
        <v>1140</v>
      </c>
      <c r="F92" s="15">
        <v>10.7</v>
      </c>
      <c r="G92" s="15">
        <v>19.809999999999999</v>
      </c>
      <c r="H92" s="5">
        <v>44291</v>
      </c>
      <c r="I92" s="5">
        <v>44365</v>
      </c>
      <c r="J92" s="118">
        <f>I92-H92</f>
        <v>74</v>
      </c>
      <c r="K92" s="119">
        <f>IF(D92="Long",G92/F92-1,-(G92/F92-1))</f>
        <v>0.8514018691588785</v>
      </c>
      <c r="L92" s="120">
        <f>IF(D92="Long",(G92-F92)*E92,-(G92-F92)*E92)</f>
        <v>10385.4</v>
      </c>
      <c r="M92" s="121">
        <f>IF(K92&gt;0,1,IF(K92&lt;0,-1,0))</f>
        <v>1</v>
      </c>
    </row>
    <row r="93" spans="1:13" x14ac:dyDescent="0.25">
      <c r="A93" s="12">
        <v>87</v>
      </c>
      <c r="B93" s="2" t="s">
        <v>73</v>
      </c>
      <c r="C93" s="3" t="s">
        <v>74</v>
      </c>
      <c r="D93" s="3" t="s">
        <v>25</v>
      </c>
      <c r="E93" s="3">
        <v>375</v>
      </c>
      <c r="F93" s="15">
        <v>28.6</v>
      </c>
      <c r="G93" s="15">
        <v>28.18</v>
      </c>
      <c r="H93" s="5">
        <v>44292</v>
      </c>
      <c r="I93" s="5">
        <v>44365</v>
      </c>
      <c r="J93" s="118">
        <f>I93-H93</f>
        <v>73</v>
      </c>
      <c r="K93" s="119">
        <f>IF(D93="Long",G93/F93-1,-(G93/F93-1))</f>
        <v>-1.4685314685314754E-2</v>
      </c>
      <c r="L93" s="120">
        <f>IF(D93="Long",(G93-F93)*E93,-(G93-F93)*E93)</f>
        <v>-157.50000000000063</v>
      </c>
      <c r="M93" s="121">
        <f>IF(K93&gt;0,1,IF(K93&lt;0,-1,0))</f>
        <v>-1</v>
      </c>
    </row>
    <row r="94" spans="1:13" x14ac:dyDescent="0.25">
      <c r="A94" s="12">
        <v>88</v>
      </c>
      <c r="B94" s="2" t="s">
        <v>112</v>
      </c>
      <c r="C94" s="3" t="s">
        <v>113</v>
      </c>
      <c r="D94" s="3" t="s">
        <v>20</v>
      </c>
      <c r="E94" s="3">
        <v>132</v>
      </c>
      <c r="F94" s="15">
        <v>187.99</v>
      </c>
      <c r="G94" s="15">
        <v>179.4</v>
      </c>
      <c r="H94" s="5">
        <v>44326</v>
      </c>
      <c r="I94" s="5">
        <v>44376</v>
      </c>
      <c r="J94" s="118">
        <f>I94-H94</f>
        <v>50</v>
      </c>
      <c r="K94" s="119">
        <f>IF(D94="Long",G94/F94-1,-(G94/F94-1))</f>
        <v>4.5693919889355783E-2</v>
      </c>
      <c r="L94" s="120">
        <f>IF(D94="Long",(G94-F94)*E94,-(G94-F94)*E94)</f>
        <v>1133.8800000000006</v>
      </c>
      <c r="M94" s="121">
        <f>IF(K94&gt;0,1,IF(K94&lt;0,-1,0))</f>
        <v>1</v>
      </c>
    </row>
    <row r="95" spans="1:13" x14ac:dyDescent="0.25">
      <c r="A95" s="12">
        <v>89</v>
      </c>
      <c r="B95" s="2" t="s">
        <v>110</v>
      </c>
      <c r="C95" s="3" t="s">
        <v>111</v>
      </c>
      <c r="D95" s="3" t="s">
        <v>20</v>
      </c>
      <c r="E95" s="3">
        <v>148</v>
      </c>
      <c r="F95" s="15">
        <v>135.33000000000001</v>
      </c>
      <c r="G95" s="15">
        <v>128.58000000000001</v>
      </c>
      <c r="H95" s="5">
        <v>44330</v>
      </c>
      <c r="I95" s="5">
        <v>44383</v>
      </c>
      <c r="J95" s="118">
        <f>I95-H95</f>
        <v>53</v>
      </c>
      <c r="K95" s="119">
        <f>IF(D95="Long",G95/F95-1,-(G95/F95-1))</f>
        <v>4.9878075814675182E-2</v>
      </c>
      <c r="L95" s="120">
        <f>IF(D95="Long",(G95-F95)*E95,-(G95-F95)*E95)</f>
        <v>999</v>
      </c>
      <c r="M95" s="121">
        <f>IF(K95&gt;0,1,IF(K95&lt;0,-1,0))</f>
        <v>1</v>
      </c>
    </row>
    <row r="96" spans="1:13" x14ac:dyDescent="0.25">
      <c r="A96" s="12">
        <v>90</v>
      </c>
      <c r="B96" s="2" t="s">
        <v>182</v>
      </c>
      <c r="C96" s="3" t="s">
        <v>102</v>
      </c>
      <c r="D96" s="3" t="s">
        <v>20</v>
      </c>
      <c r="E96" s="3">
        <v>387</v>
      </c>
      <c r="F96" s="15">
        <v>22.13</v>
      </c>
      <c r="G96" s="15">
        <v>20.309999999999999</v>
      </c>
      <c r="H96" s="5">
        <v>44301</v>
      </c>
      <c r="I96" s="5">
        <v>44384</v>
      </c>
      <c r="J96" s="118">
        <f>I96-H96</f>
        <v>83</v>
      </c>
      <c r="K96" s="119">
        <f>IF(D96="Long",G96/F96-1,-(G96/F96-1))</f>
        <v>8.2241301400813427E-2</v>
      </c>
      <c r="L96" s="120">
        <f>IF(D96="Long",(G96-F96)*E96,-(G96-F96)*E96)</f>
        <v>704.34000000000015</v>
      </c>
      <c r="M96" s="121">
        <f>IF(K96&gt;0,1,IF(K96&lt;0,-1,0))</f>
        <v>1</v>
      </c>
    </row>
    <row r="97" spans="1:13" x14ac:dyDescent="0.25">
      <c r="A97" s="12">
        <v>91</v>
      </c>
      <c r="B97" s="2" t="s">
        <v>174</v>
      </c>
      <c r="C97" s="3" t="s">
        <v>87</v>
      </c>
      <c r="D97" s="3" t="s">
        <v>25</v>
      </c>
      <c r="E97" s="3">
        <v>255</v>
      </c>
      <c r="F97" s="15">
        <v>78.849999999999994</v>
      </c>
      <c r="G97" s="15">
        <v>78.91</v>
      </c>
      <c r="H97" s="5">
        <v>44370</v>
      </c>
      <c r="I97" s="5">
        <v>44391</v>
      </c>
      <c r="J97" s="118">
        <f>I97-H97</f>
        <v>21</v>
      </c>
      <c r="K97" s="119">
        <f>IF(D97="Long",G97/F97-1,-(G97/F97-1))</f>
        <v>7.6093849080538511E-4</v>
      </c>
      <c r="L97" s="120">
        <f>IF(D97="Long",(G97-F97)*E97,-(G97-F97)*E97)</f>
        <v>15.30000000000058</v>
      </c>
      <c r="M97" s="121">
        <f>IF(K97&gt;0,1,IF(K97&lt;0,-1,0))</f>
        <v>1</v>
      </c>
    </row>
    <row r="98" spans="1:13" x14ac:dyDescent="0.25">
      <c r="A98" s="12">
        <v>92</v>
      </c>
      <c r="B98" s="2" t="s">
        <v>120</v>
      </c>
      <c r="C98" s="3" t="s">
        <v>121</v>
      </c>
      <c r="D98" s="3" t="s">
        <v>25</v>
      </c>
      <c r="E98" s="3">
        <v>309</v>
      </c>
      <c r="F98" s="15">
        <v>59.44</v>
      </c>
      <c r="G98" s="15">
        <v>53.16</v>
      </c>
      <c r="H98" s="5">
        <v>44337</v>
      </c>
      <c r="I98" s="5">
        <v>44393</v>
      </c>
      <c r="J98" s="118">
        <f>I98-H98</f>
        <v>56</v>
      </c>
      <c r="K98" s="119">
        <f>IF(D98="Long",G98/F98-1,-(G98/F98-1))</f>
        <v>-0.10565275908479144</v>
      </c>
      <c r="L98" s="120">
        <f>IF(D98="Long",(G98-F98)*E98,-(G98-F98)*E98)</f>
        <v>-1940.5200000000004</v>
      </c>
      <c r="M98" s="121">
        <f>IF(K98&gt;0,1,IF(K98&lt;0,-1,0))</f>
        <v>-1</v>
      </c>
    </row>
    <row r="99" spans="1:13" x14ac:dyDescent="0.25">
      <c r="A99" s="12">
        <v>93</v>
      </c>
      <c r="B99" s="2" t="s">
        <v>186</v>
      </c>
      <c r="C99" s="3" t="s">
        <v>122</v>
      </c>
      <c r="D99" s="3" t="s">
        <v>25</v>
      </c>
      <c r="E99" s="3">
        <v>308</v>
      </c>
      <c r="F99" s="15">
        <v>74.290000000000006</v>
      </c>
      <c r="G99" s="15">
        <v>62.26</v>
      </c>
      <c r="H99" s="5">
        <v>44368</v>
      </c>
      <c r="I99" s="5">
        <v>44398</v>
      </c>
      <c r="J99" s="118">
        <f>I99-H99</f>
        <v>30</v>
      </c>
      <c r="K99" s="119">
        <f>IF(D99="Long",G99/F99-1,-(G99/F99-1))</f>
        <v>-0.16193296540584212</v>
      </c>
      <c r="L99" s="120">
        <f>IF(D99="Long",(G99-F99)*E99,-(G99-F99)*E99)</f>
        <v>-3705.2400000000025</v>
      </c>
      <c r="M99" s="121">
        <f>IF(K99&gt;0,1,IF(K99&lt;0,-1,0))</f>
        <v>-1</v>
      </c>
    </row>
    <row r="100" spans="1:13" x14ac:dyDescent="0.25">
      <c r="A100" s="12">
        <v>94</v>
      </c>
      <c r="B100" s="2" t="s">
        <v>187</v>
      </c>
      <c r="C100" s="3" t="s">
        <v>123</v>
      </c>
      <c r="D100" s="3" t="s">
        <v>25</v>
      </c>
      <c r="E100" s="3">
        <v>110</v>
      </c>
      <c r="F100" s="15">
        <v>63.36</v>
      </c>
      <c r="G100" s="15">
        <v>81.81</v>
      </c>
      <c r="H100" s="5">
        <v>44368</v>
      </c>
      <c r="I100" s="5">
        <v>44405</v>
      </c>
      <c r="J100" s="118">
        <f>I100-H100</f>
        <v>37</v>
      </c>
      <c r="K100" s="119">
        <f>IF(D100="Long",G100/F100-1,-(G100/F100-1))</f>
        <v>0.29119318181818188</v>
      </c>
      <c r="L100" s="120">
        <f>IF(D100="Long",(G100-F100)*E100,-(G100-F100)*E100)</f>
        <v>2029.5000000000002</v>
      </c>
      <c r="M100" s="121">
        <f>IF(K100&gt;0,1,IF(K100&lt;0,-1,0))</f>
        <v>1</v>
      </c>
    </row>
    <row r="101" spans="1:13" x14ac:dyDescent="0.25">
      <c r="A101" s="12">
        <v>95</v>
      </c>
      <c r="B101" s="2" t="s">
        <v>186</v>
      </c>
      <c r="C101" s="3" t="s">
        <v>122</v>
      </c>
      <c r="D101" s="3" t="s">
        <v>25</v>
      </c>
      <c r="E101" s="3">
        <v>344</v>
      </c>
      <c r="F101" s="15">
        <v>74.290000000000006</v>
      </c>
      <c r="G101" s="15">
        <v>60.7</v>
      </c>
      <c r="H101" s="5">
        <v>44368</v>
      </c>
      <c r="I101" s="5">
        <v>44407</v>
      </c>
      <c r="J101" s="118">
        <f>I101-H101</f>
        <v>39</v>
      </c>
      <c r="K101" s="119">
        <f>IF(D101="Long",G101/F101-1,-(G101/F101-1))</f>
        <v>-0.1829317539372729</v>
      </c>
      <c r="L101" s="120">
        <f>IF(D101="Long",(G101-F101)*E101,-(G101-F101)*E101)</f>
        <v>-4674.9600000000009</v>
      </c>
      <c r="M101" s="121">
        <f>IF(K101&gt;0,1,IF(K101&lt;0,-1,0))</f>
        <v>-1</v>
      </c>
    </row>
    <row r="102" spans="1:13" x14ac:dyDescent="0.25">
      <c r="A102" s="12">
        <v>96</v>
      </c>
      <c r="B102" s="2" t="s">
        <v>185</v>
      </c>
      <c r="C102" s="3" t="s">
        <v>118</v>
      </c>
      <c r="D102" s="3" t="s">
        <v>25</v>
      </c>
      <c r="E102" s="3">
        <v>563</v>
      </c>
      <c r="F102" s="15">
        <v>40.799999999999997</v>
      </c>
      <c r="G102" s="15">
        <v>58.14</v>
      </c>
      <c r="H102" s="5">
        <v>44364</v>
      </c>
      <c r="I102" s="5">
        <v>44414</v>
      </c>
      <c r="J102" s="118">
        <f>I102-H102</f>
        <v>50</v>
      </c>
      <c r="K102" s="119">
        <f>IF(D102="Long",G102/F102-1,-(G102/F102-1))</f>
        <v>0.42500000000000004</v>
      </c>
      <c r="L102" s="120">
        <f>IF(D102="Long",(G102-F102)*E102,-(G102-F102)*E102)</f>
        <v>9762.4200000000019</v>
      </c>
      <c r="M102" s="121">
        <f>IF(K102&gt;0,1,IF(K102&lt;0,-1,0))</f>
        <v>1</v>
      </c>
    </row>
    <row r="103" spans="1:13" x14ac:dyDescent="0.25">
      <c r="A103" s="12">
        <v>97</v>
      </c>
      <c r="B103" s="2" t="s">
        <v>124</v>
      </c>
      <c r="C103" s="3" t="s">
        <v>125</v>
      </c>
      <c r="D103" s="3" t="s">
        <v>20</v>
      </c>
      <c r="E103" s="3">
        <v>126</v>
      </c>
      <c r="F103" s="15">
        <v>55.94</v>
      </c>
      <c r="G103" s="15">
        <v>51.69</v>
      </c>
      <c r="H103" s="5">
        <v>44335</v>
      </c>
      <c r="I103" s="5">
        <v>44419</v>
      </c>
      <c r="J103" s="118">
        <f>I103-H103</f>
        <v>84</v>
      </c>
      <c r="K103" s="119">
        <f>IF(D103="Long",G103/F103-1,-(G103/F103-1))</f>
        <v>7.5974258133714723E-2</v>
      </c>
      <c r="L103" s="120">
        <f>IF(D103="Long",(G103-F103)*E103,-(G103-F103)*E103)</f>
        <v>535.5</v>
      </c>
      <c r="M103" s="121">
        <f>IF(K103&gt;0,1,IF(K103&lt;0,-1,0))</f>
        <v>1</v>
      </c>
    </row>
    <row r="104" spans="1:13" x14ac:dyDescent="0.25">
      <c r="A104" s="12">
        <v>98</v>
      </c>
      <c r="B104" s="2" t="s">
        <v>178</v>
      </c>
      <c r="C104" s="3" t="s">
        <v>92</v>
      </c>
      <c r="D104" s="3" t="s">
        <v>25</v>
      </c>
      <c r="E104" s="3">
        <v>367</v>
      </c>
      <c r="F104" s="15">
        <v>43.97</v>
      </c>
      <c r="G104" s="15">
        <v>35.72</v>
      </c>
      <c r="H104" s="5">
        <v>44370</v>
      </c>
      <c r="I104" s="5">
        <v>44420</v>
      </c>
      <c r="J104" s="118">
        <f>I104-H104</f>
        <v>50</v>
      </c>
      <c r="K104" s="119">
        <f>IF(D104="Long",G104/F104-1,-(G104/F104-1))</f>
        <v>-0.18762792813281781</v>
      </c>
      <c r="L104" s="120">
        <f>IF(D104="Long",(G104-F104)*E104,-(G104-F104)*E104)</f>
        <v>-3027.75</v>
      </c>
      <c r="M104" s="121">
        <f>IF(K104&gt;0,1,IF(K104&lt;0,-1,0))</f>
        <v>-1</v>
      </c>
    </row>
    <row r="105" spans="1:13" x14ac:dyDescent="0.25">
      <c r="A105" s="12">
        <v>99</v>
      </c>
      <c r="B105" s="2" t="s">
        <v>172</v>
      </c>
      <c r="C105" s="3" t="s">
        <v>79</v>
      </c>
      <c r="D105" s="3" t="s">
        <v>20</v>
      </c>
      <c r="E105" s="3">
        <v>15</v>
      </c>
      <c r="F105" s="15">
        <v>656.95</v>
      </c>
      <c r="G105" s="15">
        <v>722.25</v>
      </c>
      <c r="H105" s="5">
        <v>44386</v>
      </c>
      <c r="I105" s="5">
        <v>44420</v>
      </c>
      <c r="J105" s="118">
        <f>I105-H105</f>
        <v>34</v>
      </c>
      <c r="K105" s="119">
        <f>IF(D105="Long",G105/F105-1,-(G105/F105-1))</f>
        <v>-9.9398736585736946E-2</v>
      </c>
      <c r="L105" s="120">
        <f>IF(D105="Long",(G105-F105)*E105,-(G105-F105)*E105)</f>
        <v>-979.49999999999932</v>
      </c>
      <c r="M105" s="121">
        <f>IF(K105&gt;0,1,IF(K105&lt;0,-1,0))</f>
        <v>-1</v>
      </c>
    </row>
    <row r="106" spans="1:13" x14ac:dyDescent="0.25">
      <c r="A106" s="12">
        <v>100</v>
      </c>
      <c r="B106" s="2" t="s">
        <v>103</v>
      </c>
      <c r="C106" s="3" t="s">
        <v>104</v>
      </c>
      <c r="D106" s="3" t="s">
        <v>25</v>
      </c>
      <c r="E106" s="3">
        <v>256</v>
      </c>
      <c r="F106" s="15">
        <v>64.53</v>
      </c>
      <c r="G106" s="15">
        <v>73</v>
      </c>
      <c r="H106" s="5">
        <v>44370</v>
      </c>
      <c r="I106" s="5">
        <v>44431</v>
      </c>
      <c r="J106" s="118">
        <f>I106-H106</f>
        <v>61</v>
      </c>
      <c r="K106" s="119">
        <f>IF(D106="Long",G106/F106-1,-(G106/F106-1))</f>
        <v>0.13125677979234474</v>
      </c>
      <c r="L106" s="120">
        <f>IF(D106="Long",(G106-F106)*E106,-(G106-F106)*E106)</f>
        <v>2168.3199999999997</v>
      </c>
      <c r="M106" s="121">
        <f>IF(K106&gt;0,1,IF(K106&lt;0,-1,0))</f>
        <v>1</v>
      </c>
    </row>
    <row r="107" spans="1:13" x14ac:dyDescent="0.25">
      <c r="A107" s="12">
        <v>101</v>
      </c>
      <c r="B107" s="2" t="s">
        <v>120</v>
      </c>
      <c r="C107" s="3" t="s">
        <v>121</v>
      </c>
      <c r="D107" s="3" t="s">
        <v>25</v>
      </c>
      <c r="E107" s="3">
        <v>300</v>
      </c>
      <c r="F107" s="15">
        <v>54.2</v>
      </c>
      <c r="G107" s="15">
        <v>58.25</v>
      </c>
      <c r="H107" s="5">
        <v>44397</v>
      </c>
      <c r="I107" s="5">
        <v>44431</v>
      </c>
      <c r="J107" s="118">
        <f>I107-H107</f>
        <v>34</v>
      </c>
      <c r="K107" s="119">
        <f>IF(D107="Long",G107/F107-1,-(G107/F107-1))</f>
        <v>7.4723247232472367E-2</v>
      </c>
      <c r="L107" s="120">
        <f>IF(D107="Long",(G107-F107)*E107,-(G107-F107)*E107)</f>
        <v>1214.9999999999991</v>
      </c>
      <c r="M107" s="121">
        <f>IF(K107&gt;0,1,IF(K107&lt;0,-1,0))</f>
        <v>1</v>
      </c>
    </row>
    <row r="108" spans="1:13" x14ac:dyDescent="0.25">
      <c r="A108" s="12">
        <v>102</v>
      </c>
      <c r="B108" s="2" t="s">
        <v>188</v>
      </c>
      <c r="C108" s="3" t="s">
        <v>128</v>
      </c>
      <c r="D108" s="3" t="s">
        <v>20</v>
      </c>
      <c r="E108" s="3">
        <v>85</v>
      </c>
      <c r="F108" s="15">
        <v>225.21</v>
      </c>
      <c r="G108" s="15">
        <v>231.51</v>
      </c>
      <c r="H108" s="5">
        <v>44403</v>
      </c>
      <c r="I108" s="5">
        <v>44447</v>
      </c>
      <c r="J108" s="118">
        <f>I108-H108</f>
        <v>44</v>
      </c>
      <c r="K108" s="119">
        <f>IF(D108="Long",G108/F108-1,-(G108/F108-1))</f>
        <v>-2.7973891035033782E-2</v>
      </c>
      <c r="L108" s="120">
        <f>IF(D108="Long",(G108-F108)*E108,-(G108-F108)*E108)</f>
        <v>-535.49999999999852</v>
      </c>
      <c r="M108" s="121">
        <f>IF(K108&gt;0,1,IF(K108&lt;0,-1,0))</f>
        <v>-1</v>
      </c>
    </row>
    <row r="109" spans="1:13" x14ac:dyDescent="0.25">
      <c r="A109" s="12">
        <v>103</v>
      </c>
      <c r="B109" s="2" t="s">
        <v>138</v>
      </c>
      <c r="C109" s="3" t="s">
        <v>119</v>
      </c>
      <c r="D109" s="3" t="s">
        <v>20</v>
      </c>
      <c r="E109" s="3">
        <v>9</v>
      </c>
      <c r="F109" s="15">
        <v>2238.8642</v>
      </c>
      <c r="G109" s="15">
        <v>2182.2015999999999</v>
      </c>
      <c r="H109" s="5">
        <v>44390</v>
      </c>
      <c r="I109" s="5">
        <v>44459</v>
      </c>
      <c r="J109" s="118">
        <f>I109-H109</f>
        <v>69</v>
      </c>
      <c r="K109" s="119">
        <f>IF(D109="Long",G109/F109-1,-(G109/F109-1))</f>
        <v>2.5308636405906193E-2</v>
      </c>
      <c r="L109" s="120">
        <f>IF(D109="Long",(G109-F109)*E109,-(G109-F109)*E109)</f>
        <v>509.963400000001</v>
      </c>
      <c r="M109" s="121">
        <f>IF(K109&gt;0,1,IF(K109&lt;0,-1,0))</f>
        <v>1</v>
      </c>
    </row>
    <row r="110" spans="1:13" x14ac:dyDescent="0.25">
      <c r="A110" s="12">
        <v>104</v>
      </c>
      <c r="B110" s="2" t="s">
        <v>189</v>
      </c>
      <c r="C110" s="3" t="s">
        <v>131</v>
      </c>
      <c r="D110" s="3" t="s">
        <v>20</v>
      </c>
      <c r="E110" s="3">
        <v>496</v>
      </c>
      <c r="F110" s="15">
        <v>41.81</v>
      </c>
      <c r="G110" s="15">
        <v>44.36</v>
      </c>
      <c r="H110" s="5">
        <v>44412</v>
      </c>
      <c r="I110" s="5">
        <v>44460</v>
      </c>
      <c r="J110" s="118">
        <f>I110-H110</f>
        <v>48</v>
      </c>
      <c r="K110" s="119">
        <f>IF(D110="Long",G110/F110-1,-(G110/F110-1))</f>
        <v>-6.0990193733556408E-2</v>
      </c>
      <c r="L110" s="120">
        <f>IF(D110="Long",(G110-F110)*E110,-(G110-F110)*E110)</f>
        <v>-1264.7999999999986</v>
      </c>
      <c r="M110" s="121">
        <f>IF(K110&gt;0,1,IF(K110&lt;0,-1,0))</f>
        <v>-1</v>
      </c>
    </row>
    <row r="111" spans="1:13" x14ac:dyDescent="0.25">
      <c r="A111" s="12">
        <v>105</v>
      </c>
      <c r="B111" s="2" t="s">
        <v>116</v>
      </c>
      <c r="C111" s="3" t="s">
        <v>117</v>
      </c>
      <c r="D111" s="3" t="s">
        <v>25</v>
      </c>
      <c r="E111" s="3">
        <v>1208</v>
      </c>
      <c r="F111" s="15">
        <v>13.54</v>
      </c>
      <c r="G111" s="15">
        <v>14.27</v>
      </c>
      <c r="H111" s="5">
        <v>44448</v>
      </c>
      <c r="I111" s="5">
        <v>44469</v>
      </c>
      <c r="J111" s="118">
        <f>I111-H111</f>
        <v>21</v>
      </c>
      <c r="K111" s="119">
        <f>IF(D111="Long",G111/F111-1,-(G111/F111-1))</f>
        <v>5.3914327917282234E-2</v>
      </c>
      <c r="L111" s="120">
        <f>IF(D111="Long",(G111-F111)*E111,-(G111-F111)*E111)</f>
        <v>881.84000000000049</v>
      </c>
      <c r="M111" s="121">
        <f>IF(K111&gt;0,1,IF(K111&lt;0,-1,0))</f>
        <v>1</v>
      </c>
    </row>
    <row r="112" spans="1:13" x14ac:dyDescent="0.25">
      <c r="A112" s="12">
        <v>106</v>
      </c>
      <c r="B112" s="2" t="s">
        <v>138</v>
      </c>
      <c r="C112" s="3" t="s">
        <v>119</v>
      </c>
      <c r="D112" s="3" t="s">
        <v>20</v>
      </c>
      <c r="E112" s="3">
        <v>11</v>
      </c>
      <c r="F112" s="15">
        <v>2182.2015999999999</v>
      </c>
      <c r="G112" s="15">
        <v>2214.9580999999998</v>
      </c>
      <c r="H112" s="5">
        <v>44459</v>
      </c>
      <c r="I112" s="5">
        <v>44475</v>
      </c>
      <c r="J112" s="118">
        <f>I112-H112</f>
        <v>16</v>
      </c>
      <c r="K112" s="119">
        <f>IF(D112="Long",G112/F112-1,-(G112/F112-1))</f>
        <v>-1.5010757942804265E-2</v>
      </c>
      <c r="L112" s="120">
        <f>IF(D112="Long",(G112-F112)*E112,-(G112-F112)*E112)</f>
        <v>-360.32149999999956</v>
      </c>
      <c r="M112" s="121">
        <f>IF(K112&gt;0,1,IF(K112&lt;0,-1,0))</f>
        <v>-1</v>
      </c>
    </row>
    <row r="113" spans="1:13" x14ac:dyDescent="0.25">
      <c r="A113" s="12">
        <v>107</v>
      </c>
      <c r="B113" s="2" t="s">
        <v>126</v>
      </c>
      <c r="C113" s="3" t="s">
        <v>127</v>
      </c>
      <c r="D113" s="3" t="s">
        <v>25</v>
      </c>
      <c r="E113" s="3">
        <v>80</v>
      </c>
      <c r="F113" s="15">
        <v>117.37</v>
      </c>
      <c r="G113" s="15">
        <v>123.2</v>
      </c>
      <c r="H113" s="5">
        <v>44432</v>
      </c>
      <c r="I113" s="5">
        <v>44481</v>
      </c>
      <c r="J113" s="118">
        <f>I113-H113</f>
        <v>49</v>
      </c>
      <c r="K113" s="119">
        <f>IF(D113="Long",G113/F113-1,-(G113/F113-1))</f>
        <v>4.9671977507029119E-2</v>
      </c>
      <c r="L113" s="120">
        <f>IF(D113="Long",(G113-F113)*E113,-(G113-F113)*E113)</f>
        <v>466.39999999999986</v>
      </c>
      <c r="M113" s="121">
        <f>IF(K113&gt;0,1,IF(K113&lt;0,-1,0))</f>
        <v>1</v>
      </c>
    </row>
    <row r="114" spans="1:13" x14ac:dyDescent="0.25">
      <c r="A114" s="12">
        <v>108</v>
      </c>
      <c r="B114" s="2" t="s">
        <v>178</v>
      </c>
      <c r="C114" s="3" t="s">
        <v>92</v>
      </c>
      <c r="D114" s="3" t="s">
        <v>25</v>
      </c>
      <c r="E114" s="3">
        <v>274</v>
      </c>
      <c r="F114" s="15">
        <v>31.07</v>
      </c>
      <c r="G114" s="15">
        <v>20.92</v>
      </c>
      <c r="H114" s="5">
        <v>44431</v>
      </c>
      <c r="I114" s="5">
        <v>44482</v>
      </c>
      <c r="J114" s="118">
        <f>I114-H114</f>
        <v>51</v>
      </c>
      <c r="K114" s="119">
        <f>IF(D114="Long",G114/F114-1,-(G114/F114-1))</f>
        <v>-0.3266816865143225</v>
      </c>
      <c r="L114" s="120">
        <f>IF(D114="Long",(G114-F114)*E114,-(G114-F114)*E114)</f>
        <v>-2781.0999999999995</v>
      </c>
      <c r="M114" s="121">
        <f>IF(K114&gt;0,1,IF(K114&lt;0,-1,0))</f>
        <v>-1</v>
      </c>
    </row>
    <row r="115" spans="1:13" x14ac:dyDescent="0.25">
      <c r="A115" s="12">
        <v>109</v>
      </c>
      <c r="B115" s="2" t="s">
        <v>129</v>
      </c>
      <c r="C115" s="3" t="s">
        <v>130</v>
      </c>
      <c r="D115" s="3" t="s">
        <v>25</v>
      </c>
      <c r="E115" s="3">
        <v>793</v>
      </c>
      <c r="F115" s="15">
        <v>23.81</v>
      </c>
      <c r="G115" s="15">
        <v>20.51</v>
      </c>
      <c r="H115" s="5">
        <v>44412</v>
      </c>
      <c r="I115" s="5">
        <v>44484</v>
      </c>
      <c r="J115" s="118">
        <f>I115-H115</f>
        <v>72</v>
      </c>
      <c r="K115" s="119">
        <f>IF(D115="Long",G115/F115-1,-(G115/F115-1))</f>
        <v>-0.13859722805543873</v>
      </c>
      <c r="L115" s="120">
        <f>IF(D115="Long",(G115-F115)*E115,-(G115-F115)*E115)</f>
        <v>-2616.8999999999978</v>
      </c>
      <c r="M115" s="121">
        <f>IF(K115&gt;0,1,IF(K115&lt;0,-1,0))</f>
        <v>-1</v>
      </c>
    </row>
    <row r="116" spans="1:13" x14ac:dyDescent="0.25">
      <c r="A116" s="12">
        <v>110</v>
      </c>
      <c r="B116" s="2" t="s">
        <v>194</v>
      </c>
      <c r="C116" s="3" t="s">
        <v>49</v>
      </c>
      <c r="D116" s="3" t="s">
        <v>20</v>
      </c>
      <c r="E116" s="3">
        <v>87</v>
      </c>
      <c r="F116" s="15">
        <v>305.81</v>
      </c>
      <c r="G116" s="15">
        <v>291.52999999999997</v>
      </c>
      <c r="H116" s="5">
        <v>44468</v>
      </c>
      <c r="I116" s="5">
        <v>44496</v>
      </c>
      <c r="J116" s="118">
        <f>I116-H116</f>
        <v>28</v>
      </c>
      <c r="K116" s="119">
        <f>IF(D116="Long",G116/F116-1,-(G116/F116-1))</f>
        <v>4.6695660704359043E-2</v>
      </c>
      <c r="L116" s="120">
        <f>IF(D116="Long",(G116-F116)*E116,-(G116-F116)*E116)</f>
        <v>1242.3600000000026</v>
      </c>
      <c r="M116" s="121">
        <f>IF(K116&gt;0,1,IF(K116&lt;0,-1,0))</f>
        <v>1</v>
      </c>
    </row>
    <row r="117" spans="1:13" x14ac:dyDescent="0.25">
      <c r="A117" s="12">
        <v>111</v>
      </c>
      <c r="B117" s="2" t="s">
        <v>190</v>
      </c>
      <c r="C117" s="3" t="s">
        <v>134</v>
      </c>
      <c r="D117" s="3" t="s">
        <v>20</v>
      </c>
      <c r="E117" s="3">
        <v>446</v>
      </c>
      <c r="F117" s="15">
        <v>43.35</v>
      </c>
      <c r="G117" s="15">
        <v>34.97</v>
      </c>
      <c r="H117" s="5">
        <v>44442</v>
      </c>
      <c r="I117" s="5">
        <v>44498</v>
      </c>
      <c r="J117" s="118">
        <f>I117-H117</f>
        <v>56</v>
      </c>
      <c r="K117" s="119">
        <f>IF(D117="Long",G117/F117-1,-(G117/F117-1))</f>
        <v>0.19331026528258366</v>
      </c>
      <c r="L117" s="120">
        <f>IF(D117="Long",(G117-F117)*E117,-(G117-F117)*E117)</f>
        <v>3737.4800000000009</v>
      </c>
      <c r="M117" s="121">
        <f>IF(K117&gt;0,1,IF(K117&lt;0,-1,0))</f>
        <v>1</v>
      </c>
    </row>
    <row r="118" spans="1:13" x14ac:dyDescent="0.25">
      <c r="A118" s="12">
        <v>112</v>
      </c>
      <c r="B118" s="2" t="s">
        <v>163</v>
      </c>
      <c r="C118" s="3" t="s">
        <v>62</v>
      </c>
      <c r="D118" s="3" t="s">
        <v>25</v>
      </c>
      <c r="E118" s="3">
        <v>228</v>
      </c>
      <c r="F118" s="15">
        <v>87.03</v>
      </c>
      <c r="G118" s="15">
        <v>104.8</v>
      </c>
      <c r="H118" s="5">
        <v>44369</v>
      </c>
      <c r="I118" s="5">
        <v>44503</v>
      </c>
      <c r="J118" s="118">
        <f>I118-H118</f>
        <v>134</v>
      </c>
      <c r="K118" s="119">
        <f>IF(D118="Long",G118/F118-1,-(G118/F118-1))</f>
        <v>0.20418246581638511</v>
      </c>
      <c r="L118" s="120">
        <f>IF(D118="Long",(G118-F118)*E118,-(G118-F118)*E118)</f>
        <v>4051.559999999999</v>
      </c>
      <c r="M118" s="121">
        <f>IF(K118&gt;0,1,IF(K118&lt;0,-1,0))</f>
        <v>1</v>
      </c>
    </row>
    <row r="119" spans="1:13" x14ac:dyDescent="0.25">
      <c r="A119" s="12">
        <v>113</v>
      </c>
      <c r="B119" s="2" t="s">
        <v>191</v>
      </c>
      <c r="C119" s="3" t="s">
        <v>132</v>
      </c>
      <c r="D119" s="3" t="s">
        <v>25</v>
      </c>
      <c r="E119" s="3">
        <v>384</v>
      </c>
      <c r="F119" s="15">
        <v>45.71</v>
      </c>
      <c r="G119" s="15">
        <v>57.85</v>
      </c>
      <c r="H119" s="5">
        <v>44442</v>
      </c>
      <c r="I119" s="5">
        <v>44503</v>
      </c>
      <c r="J119" s="118">
        <f>I119-H119</f>
        <v>61</v>
      </c>
      <c r="K119" s="119">
        <f>IF(D119="Long",G119/F119-1,-(G119/F119-1))</f>
        <v>0.26558739881863924</v>
      </c>
      <c r="L119" s="120">
        <f>IF(D119="Long",(G119-F119)*E119,-(G119-F119)*E119)</f>
        <v>4661.76</v>
      </c>
      <c r="M119" s="121">
        <f>IF(K119&gt;0,1,IF(K119&lt;0,-1,0))</f>
        <v>1</v>
      </c>
    </row>
    <row r="120" spans="1:13" x14ac:dyDescent="0.25">
      <c r="A120" s="12">
        <v>114</v>
      </c>
      <c r="B120" s="2" t="s">
        <v>192</v>
      </c>
      <c r="C120" s="3" t="s">
        <v>135</v>
      </c>
      <c r="D120" s="3" t="s">
        <v>25</v>
      </c>
      <c r="E120" s="3">
        <v>247</v>
      </c>
      <c r="F120" s="15">
        <v>106.17</v>
      </c>
      <c r="G120" s="15">
        <v>94.16</v>
      </c>
      <c r="H120" s="5">
        <v>44456</v>
      </c>
      <c r="I120" s="5">
        <v>44510</v>
      </c>
      <c r="J120" s="118">
        <f>I120-H120</f>
        <v>54</v>
      </c>
      <c r="K120" s="119">
        <f>IF(D120="Long",G120/F120-1,-(G120/F120-1))</f>
        <v>-0.11312046717528501</v>
      </c>
      <c r="L120" s="120">
        <f>IF(D120="Long",(G120-F120)*E120,-(G120-F120)*E120)</f>
        <v>-2966.4700000000012</v>
      </c>
      <c r="M120" s="121">
        <f>IF(K120&gt;0,1,IF(K120&lt;0,-1,0))</f>
        <v>-1</v>
      </c>
    </row>
    <row r="121" spans="1:13" x14ac:dyDescent="0.25">
      <c r="A121" s="12">
        <v>115</v>
      </c>
      <c r="B121" s="2" t="s">
        <v>193</v>
      </c>
      <c r="C121" s="3" t="s">
        <v>133</v>
      </c>
      <c r="D121" s="3" t="s">
        <v>25</v>
      </c>
      <c r="E121" s="3">
        <v>228</v>
      </c>
      <c r="F121" s="15">
        <v>66.86</v>
      </c>
      <c r="G121" s="15">
        <v>66.430000000000007</v>
      </c>
      <c r="H121" s="5">
        <v>44456</v>
      </c>
      <c r="I121" s="5">
        <v>44515</v>
      </c>
      <c r="J121" s="118">
        <f>I121-H121</f>
        <v>59</v>
      </c>
      <c r="K121" s="119">
        <f>IF(D121="Long",G121/F121-1,-(G121/F121-1))</f>
        <v>-6.4313490876457546E-3</v>
      </c>
      <c r="L121" s="120">
        <f>IF(D121="Long",(G121-F121)*E121,-(G121-F121)*E121)</f>
        <v>-98.039999999998315</v>
      </c>
      <c r="M121" s="121">
        <f>IF(K121&gt;0,1,IF(K121&lt;0,-1,0))</f>
        <v>-1</v>
      </c>
    </row>
    <row r="122" spans="1:13" x14ac:dyDescent="0.25">
      <c r="A122" s="12">
        <v>116</v>
      </c>
      <c r="B122" s="2" t="s">
        <v>195</v>
      </c>
      <c r="C122" s="3" t="s">
        <v>136</v>
      </c>
      <c r="D122" s="3" t="s">
        <v>25</v>
      </c>
      <c r="E122" s="3">
        <v>388</v>
      </c>
      <c r="F122" s="15">
        <v>60.85</v>
      </c>
      <c r="G122" s="15">
        <v>55.45</v>
      </c>
      <c r="H122" s="5">
        <v>44497</v>
      </c>
      <c r="I122" s="5">
        <v>44515</v>
      </c>
      <c r="J122" s="118">
        <f>I122-H122</f>
        <v>18</v>
      </c>
      <c r="K122" s="119">
        <f>IF(D122="Long",G122/F122-1,-(G122/F122-1))</f>
        <v>-8.8742810188989329E-2</v>
      </c>
      <c r="L122" s="120">
        <f>IF(D122="Long",(G122-F122)*E122,-(G122-F122)*E122)</f>
        <v>-2095.1999999999994</v>
      </c>
      <c r="M122" s="121">
        <f>IF(K122&gt;0,1,IF(K122&lt;0,-1,0))</f>
        <v>-1</v>
      </c>
    </row>
    <row r="123" spans="1:13" x14ac:dyDescent="0.25">
      <c r="F123" s="10"/>
      <c r="G123" s="10"/>
    </row>
    <row r="124" spans="1:13" x14ac:dyDescent="0.25">
      <c r="F124" s="11"/>
      <c r="G124" s="11"/>
    </row>
    <row r="125" spans="1:13" x14ac:dyDescent="0.25">
      <c r="F125" s="11"/>
      <c r="G125" s="11"/>
    </row>
  </sheetData>
  <mergeCells count="1">
    <mergeCell ref="D1:K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6CB-9F30-484B-88FC-120AC75CB786}">
  <dimension ref="A1:P116"/>
  <sheetViews>
    <sheetView tabSelected="1" zoomScaleNormal="100" workbookViewId="0">
      <pane ySplit="18" topLeftCell="A100" activePane="bottomLeft" state="frozen"/>
      <selection pane="bottomLeft"/>
    </sheetView>
  </sheetViews>
  <sheetFormatPr defaultRowHeight="15" x14ac:dyDescent="0.25"/>
  <cols>
    <col min="1" max="1" width="10.7109375" style="100" bestFit="1" customWidth="1"/>
    <col min="2" max="2" width="19.7109375" style="99" customWidth="1"/>
    <col min="3" max="3" width="15.7109375" style="99" customWidth="1"/>
    <col min="4" max="4" width="17.7109375" style="99" customWidth="1"/>
    <col min="5" max="5" width="15.7109375" style="99" customWidth="1"/>
    <col min="6" max="6" width="19.85546875" style="99" customWidth="1"/>
    <col min="7" max="7" width="17.85546875" style="83" customWidth="1"/>
    <col min="8" max="8" width="16.42578125" style="83" customWidth="1"/>
    <col min="9" max="9" width="18" style="83" customWidth="1"/>
    <col min="10" max="10" width="20.42578125" style="101" customWidth="1"/>
    <col min="11" max="11" width="20.42578125" style="102" customWidth="1"/>
    <col min="12" max="12" width="16.85546875" style="97" customWidth="1"/>
    <col min="13" max="13" width="20.42578125" customWidth="1"/>
    <col min="14" max="14" width="15.85546875" customWidth="1"/>
    <col min="15" max="15" width="10.7109375" customWidth="1"/>
  </cols>
  <sheetData>
    <row r="1" spans="1:12" ht="15.75" thickBot="1" x14ac:dyDescent="0.3">
      <c r="A1" t="s">
        <v>242</v>
      </c>
      <c r="B1" s="7"/>
      <c r="C1" s="7"/>
      <c r="D1" s="7"/>
      <c r="E1" s="7"/>
      <c r="F1" s="7"/>
      <c r="G1" s="7"/>
      <c r="H1" s="7"/>
      <c r="I1" s="7"/>
      <c r="J1" s="64"/>
      <c r="K1" s="6"/>
      <c r="L1" s="64"/>
    </row>
    <row r="2" spans="1:12" ht="16.5" thickBot="1" x14ac:dyDescent="0.3">
      <c r="A2"/>
      <c r="B2" s="80" t="s">
        <v>230</v>
      </c>
      <c r="C2" s="72" t="s">
        <v>220</v>
      </c>
      <c r="D2" s="73" t="s">
        <v>219</v>
      </c>
      <c r="E2" s="7"/>
      <c r="F2" s="7"/>
      <c r="G2" s="7"/>
      <c r="H2" s="7"/>
      <c r="I2" s="7"/>
      <c r="J2" s="64"/>
      <c r="K2" s="6"/>
      <c r="L2" s="64"/>
    </row>
    <row r="3" spans="1:12" ht="15.75" thickBot="1" x14ac:dyDescent="0.3">
      <c r="A3"/>
      <c r="B3" s="77" t="s">
        <v>232</v>
      </c>
      <c r="C3" s="78">
        <f>AVERAGE(J:J)</f>
        <v>4.9721237979507638E-3</v>
      </c>
      <c r="D3" s="79">
        <f>((1+C3)^52)-1</f>
        <v>0.29422205876085838</v>
      </c>
      <c r="E3" s="7"/>
      <c r="F3" s="7"/>
      <c r="G3" s="7"/>
      <c r="H3" s="7"/>
      <c r="I3" s="7"/>
      <c r="J3" s="64"/>
      <c r="K3" s="6"/>
      <c r="L3" s="64"/>
    </row>
    <row r="4" spans="1:12" ht="15.75" thickBot="1" x14ac:dyDescent="0.3">
      <c r="A4"/>
      <c r="B4" s="71"/>
      <c r="C4" s="72"/>
      <c r="D4" s="73"/>
      <c r="E4" s="7"/>
      <c r="F4" s="7"/>
      <c r="G4" s="7"/>
      <c r="H4" s="7"/>
      <c r="I4" s="7"/>
      <c r="J4" s="64"/>
      <c r="K4" s="6"/>
      <c r="L4" s="64"/>
    </row>
    <row r="5" spans="1:12" ht="15.75" thickBot="1" x14ac:dyDescent="0.3">
      <c r="A5"/>
      <c r="B5" s="74" t="s">
        <v>227</v>
      </c>
      <c r="C5" s="75">
        <f>VLOOKUP(LARGE(A:A,1),$A:$K,11,FALSE)/$K$19-1</f>
        <v>0.57223043112535232</v>
      </c>
      <c r="D5" s="76"/>
      <c r="E5" s="7"/>
      <c r="F5" s="7"/>
      <c r="G5" s="7"/>
      <c r="H5" s="7"/>
      <c r="I5" s="7"/>
      <c r="J5" s="64"/>
      <c r="K5" s="6"/>
      <c r="L5" s="64"/>
    </row>
    <row r="6" spans="1:12" ht="15.75" thickBot="1" x14ac:dyDescent="0.3">
      <c r="A6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 ht="16.5" thickBot="1" x14ac:dyDescent="0.3">
      <c r="A7"/>
      <c r="B7" s="81" t="s">
        <v>231</v>
      </c>
      <c r="C7" s="72" t="s">
        <v>220</v>
      </c>
      <c r="D7" s="73" t="s">
        <v>219</v>
      </c>
      <c r="E7" s="7"/>
      <c r="F7" s="7"/>
      <c r="G7" s="64"/>
      <c r="H7" s="7"/>
      <c r="I7" s="7"/>
      <c r="J7" s="7"/>
      <c r="K7" s="64"/>
      <c r="L7" s="7"/>
    </row>
    <row r="8" spans="1:12" x14ac:dyDescent="0.25">
      <c r="A8"/>
      <c r="B8" s="68" t="s">
        <v>228</v>
      </c>
      <c r="C8" s="65">
        <f>_xlfn.STDEV.P(J:J)</f>
        <v>2.4376540278714949E-2</v>
      </c>
      <c r="D8" s="66">
        <f>C8*SQRT(52)</f>
        <v>0.17578173178663997</v>
      </c>
      <c r="E8" s="7"/>
      <c r="F8" s="7"/>
      <c r="G8" s="64"/>
      <c r="H8" s="7"/>
      <c r="I8" s="7"/>
      <c r="J8" s="7"/>
      <c r="K8" s="64"/>
      <c r="L8" s="7"/>
    </row>
    <row r="9" spans="1:12" ht="15.75" thickBot="1" x14ac:dyDescent="0.3">
      <c r="A9"/>
      <c r="B9" s="69" t="s">
        <v>229</v>
      </c>
      <c r="C9" s="67">
        <f t="array" ref="C9">SQRT(SUMSQ(IF(J:J&lt;0,J:J))/COUNT(J:J))</f>
        <v>1.4764798337575519E-2</v>
      </c>
      <c r="D9" s="70">
        <f>C9*SQRT(52)</f>
        <v>0.106470474956028</v>
      </c>
      <c r="E9" s="7"/>
      <c r="F9" s="7"/>
      <c r="G9" s="64"/>
      <c r="H9" s="7"/>
      <c r="I9" s="7"/>
      <c r="J9" s="7"/>
      <c r="K9" s="64"/>
      <c r="L9" s="7"/>
    </row>
    <row r="10" spans="1:12" x14ac:dyDescent="0.25">
      <c r="A10"/>
      <c r="B10" s="91"/>
      <c r="C10" s="138"/>
      <c r="D10" s="91"/>
      <c r="E10" s="7"/>
      <c r="F10" s="7"/>
      <c r="G10" s="64"/>
      <c r="H10" s="7"/>
      <c r="I10" s="7"/>
      <c r="J10" s="7"/>
      <c r="K10" s="64"/>
      <c r="L10" s="7"/>
    </row>
    <row r="11" spans="1:12" x14ac:dyDescent="0.25">
      <c r="A11"/>
      <c r="B11" s="92"/>
      <c r="C11" s="94"/>
      <c r="D11" s="95"/>
      <c r="E11" s="7"/>
      <c r="F11" s="7"/>
      <c r="G11" s="64"/>
      <c r="H11" s="7"/>
      <c r="I11" s="7"/>
      <c r="J11" s="7"/>
      <c r="K11" s="64"/>
      <c r="L11" s="7"/>
    </row>
    <row r="12" spans="1:12" x14ac:dyDescent="0.25">
      <c r="A12"/>
      <c r="B12" s="7"/>
      <c r="C12" s="7"/>
      <c r="D12" s="7"/>
      <c r="E12" s="7"/>
      <c r="F12" s="7"/>
      <c r="G12" s="64"/>
      <c r="H12" s="7"/>
      <c r="I12" s="7"/>
      <c r="J12" s="7"/>
      <c r="K12" s="64"/>
      <c r="L12" s="82"/>
    </row>
    <row r="13" spans="1:12" ht="15.75" x14ac:dyDescent="0.25">
      <c r="A13"/>
      <c r="B13" s="90"/>
      <c r="C13" s="91"/>
      <c r="D13" s="91"/>
      <c r="E13" s="7"/>
      <c r="F13" s="7"/>
      <c r="G13" s="64"/>
      <c r="H13" s="7"/>
      <c r="I13" s="7"/>
      <c r="J13" s="7"/>
      <c r="K13" s="64"/>
      <c r="L13" s="7"/>
    </row>
    <row r="14" spans="1:12" x14ac:dyDescent="0.25">
      <c r="A14"/>
      <c r="B14" s="92"/>
      <c r="C14" s="93"/>
      <c r="D14" s="94"/>
      <c r="E14" s="7"/>
      <c r="F14" s="7"/>
      <c r="G14" s="64"/>
      <c r="H14" s="7"/>
      <c r="I14" s="7"/>
      <c r="J14" s="7"/>
      <c r="K14" s="64"/>
      <c r="L14" s="7"/>
    </row>
    <row r="15" spans="1:12" x14ac:dyDescent="0.25">
      <c r="A15"/>
      <c r="B15" s="92"/>
      <c r="C15" s="93"/>
      <c r="D15" s="95"/>
      <c r="E15" s="7"/>
      <c r="F15" s="7"/>
      <c r="G15" s="64"/>
      <c r="H15" s="7"/>
      <c r="I15" s="7"/>
      <c r="J15" s="7"/>
      <c r="K15" s="64"/>
      <c r="L15" s="7"/>
    </row>
    <row r="16" spans="1:12" x14ac:dyDescent="0.25">
      <c r="A16"/>
      <c r="B16" s="92"/>
      <c r="C16" s="93"/>
      <c r="D16" s="95"/>
      <c r="E16" s="7"/>
      <c r="F16" s="7"/>
      <c r="G16" s="64"/>
      <c r="H16" s="7"/>
      <c r="I16" s="7"/>
      <c r="J16" s="7"/>
      <c r="K16" s="64"/>
      <c r="L16" s="7"/>
    </row>
    <row r="17" spans="1:16" x14ac:dyDescent="0.25">
      <c r="A17"/>
      <c r="B17" s="7"/>
      <c r="C17" s="7"/>
      <c r="D17" s="7"/>
      <c r="E17" s="7"/>
      <c r="F17" s="7"/>
      <c r="G17" s="64"/>
      <c r="H17" s="7"/>
      <c r="I17" s="7"/>
      <c r="J17" s="7"/>
      <c r="K17" s="64"/>
      <c r="L17" s="7"/>
    </row>
    <row r="18" spans="1:16" ht="39" customHeight="1" x14ac:dyDescent="0.25">
      <c r="A18" s="84" t="s">
        <v>0</v>
      </c>
      <c r="B18" s="85" t="s">
        <v>1</v>
      </c>
      <c r="C18" s="85" t="s">
        <v>2</v>
      </c>
      <c r="D18" s="88" t="s">
        <v>233</v>
      </c>
      <c r="E18" s="85" t="s">
        <v>221</v>
      </c>
      <c r="F18" s="85" t="s">
        <v>222</v>
      </c>
      <c r="G18" s="85" t="s">
        <v>223</v>
      </c>
      <c r="H18" s="88" t="s">
        <v>235</v>
      </c>
      <c r="I18" s="85" t="s">
        <v>3</v>
      </c>
      <c r="J18" s="86" t="s">
        <v>4</v>
      </c>
      <c r="K18" s="87" t="s">
        <v>224</v>
      </c>
      <c r="L18" s="96"/>
      <c r="M18" s="1"/>
      <c r="O18" s="63"/>
    </row>
    <row r="19" spans="1:16" x14ac:dyDescent="0.25">
      <c r="A19" s="98">
        <v>43835</v>
      </c>
      <c r="B19" s="99">
        <v>0</v>
      </c>
      <c r="C19" s="99">
        <v>0</v>
      </c>
      <c r="E19" s="99">
        <v>150000</v>
      </c>
      <c r="G19" s="83">
        <f t="shared" ref="G19:G50" si="0">E19-F19</f>
        <v>150000</v>
      </c>
      <c r="H19" s="83">
        <f>G19</f>
        <v>150000</v>
      </c>
      <c r="I19" s="83">
        <f>H19+B19+C19-D19</f>
        <v>150000</v>
      </c>
      <c r="K19" s="102">
        <v>100</v>
      </c>
      <c r="N19" s="1"/>
      <c r="O19" s="1"/>
      <c r="P19" s="1"/>
    </row>
    <row r="20" spans="1:16" x14ac:dyDescent="0.25">
      <c r="A20" s="98">
        <v>43842</v>
      </c>
      <c r="B20" s="99">
        <v>0</v>
      </c>
      <c r="C20" s="99">
        <v>0</v>
      </c>
      <c r="G20" s="83">
        <f t="shared" si="0"/>
        <v>0</v>
      </c>
      <c r="H20" s="83">
        <f>H19+G20</f>
        <v>150000</v>
      </c>
      <c r="I20" s="83">
        <f>H20+B20+C20-D20</f>
        <v>150000</v>
      </c>
      <c r="J20" s="101">
        <f t="shared" ref="J20:J51" si="1">(I20-G20)/I19-1</f>
        <v>0</v>
      </c>
      <c r="K20" s="102">
        <f>K19*(1+J20)</f>
        <v>100</v>
      </c>
    </row>
    <row r="21" spans="1:16" x14ac:dyDescent="0.25">
      <c r="A21" s="98">
        <v>43849</v>
      </c>
      <c r="B21" s="99">
        <v>8665.5830577345332</v>
      </c>
      <c r="C21" s="99">
        <v>0</v>
      </c>
      <c r="G21" s="83">
        <f t="shared" si="0"/>
        <v>0</v>
      </c>
      <c r="H21" s="83">
        <f t="shared" ref="H21:H84" si="2">H20+G21</f>
        <v>150000</v>
      </c>
      <c r="I21" s="83">
        <f t="shared" ref="I21:I84" si="3">H21+B21+C21-D21</f>
        <v>158665.58305773453</v>
      </c>
      <c r="J21" s="101">
        <f t="shared" si="1"/>
        <v>5.7770553718230255E-2</v>
      </c>
      <c r="K21" s="102">
        <f t="shared" ref="K21:K84" si="4">K20*(1+J21)</f>
        <v>105.77705537182302</v>
      </c>
    </row>
    <row r="22" spans="1:16" x14ac:dyDescent="0.25">
      <c r="A22" s="98">
        <v>43856</v>
      </c>
      <c r="B22" s="99">
        <v>8401.2565715600504</v>
      </c>
      <c r="C22" s="99">
        <v>0</v>
      </c>
      <c r="G22" s="83">
        <f t="shared" si="0"/>
        <v>0</v>
      </c>
      <c r="H22" s="83">
        <f t="shared" si="2"/>
        <v>150000</v>
      </c>
      <c r="I22" s="83">
        <f t="shared" si="3"/>
        <v>158401.25657156005</v>
      </c>
      <c r="J22" s="101">
        <f t="shared" si="1"/>
        <v>-1.6659346096393746E-3</v>
      </c>
      <c r="K22" s="102">
        <f t="shared" si="4"/>
        <v>105.60083771437337</v>
      </c>
    </row>
    <row r="23" spans="1:16" x14ac:dyDescent="0.25">
      <c r="A23" s="98">
        <v>43863</v>
      </c>
      <c r="B23" s="99">
        <v>4332.8045598600293</v>
      </c>
      <c r="C23" s="99">
        <v>0</v>
      </c>
      <c r="G23" s="83">
        <f t="shared" si="0"/>
        <v>0</v>
      </c>
      <c r="H23" s="83">
        <f t="shared" si="2"/>
        <v>150000</v>
      </c>
      <c r="I23" s="83">
        <f t="shared" si="3"/>
        <v>154332.80455986003</v>
      </c>
      <c r="J23" s="101">
        <f t="shared" si="1"/>
        <v>-2.5684468038686514E-2</v>
      </c>
      <c r="K23" s="102">
        <f t="shared" si="4"/>
        <v>102.88853637324003</v>
      </c>
    </row>
    <row r="24" spans="1:16" x14ac:dyDescent="0.25">
      <c r="A24" s="98">
        <v>43870</v>
      </c>
      <c r="B24" s="99">
        <v>5886.2585972096713</v>
      </c>
      <c r="C24" s="99">
        <v>0</v>
      </c>
      <c r="G24" s="83">
        <f t="shared" si="0"/>
        <v>0</v>
      </c>
      <c r="H24" s="83">
        <f t="shared" si="2"/>
        <v>150000</v>
      </c>
      <c r="I24" s="83">
        <f t="shared" si="3"/>
        <v>155886.25859720967</v>
      </c>
      <c r="J24" s="101">
        <f t="shared" si="1"/>
        <v>1.0065611402448882E-2</v>
      </c>
      <c r="K24" s="102">
        <f t="shared" si="4"/>
        <v>103.92417239813979</v>
      </c>
    </row>
    <row r="25" spans="1:16" x14ac:dyDescent="0.25">
      <c r="A25" s="98">
        <v>43877</v>
      </c>
      <c r="B25" s="99">
        <v>1754.9533126861497</v>
      </c>
      <c r="C25" s="99">
        <v>0</v>
      </c>
      <c r="G25" s="83">
        <f t="shared" si="0"/>
        <v>0</v>
      </c>
      <c r="H25" s="83">
        <f t="shared" si="2"/>
        <v>150000</v>
      </c>
      <c r="I25" s="83">
        <f t="shared" si="3"/>
        <v>151754.95331268615</v>
      </c>
      <c r="J25" s="101">
        <f t="shared" si="1"/>
        <v>-2.6502049133132921E-2</v>
      </c>
      <c r="K25" s="102">
        <f t="shared" si="4"/>
        <v>101.16996887512411</v>
      </c>
    </row>
    <row r="26" spans="1:16" x14ac:dyDescent="0.25">
      <c r="A26" s="98">
        <v>43884</v>
      </c>
      <c r="B26" s="99">
        <v>-2421.1468889534403</v>
      </c>
      <c r="C26" s="99">
        <v>952.2999999999987</v>
      </c>
      <c r="G26" s="83">
        <f t="shared" si="0"/>
        <v>0</v>
      </c>
      <c r="H26" s="83">
        <f t="shared" si="2"/>
        <v>150000</v>
      </c>
      <c r="I26" s="83">
        <f t="shared" si="3"/>
        <v>148531.15311104656</v>
      </c>
      <c r="J26" s="101">
        <f t="shared" si="1"/>
        <v>-2.124345948034434E-2</v>
      </c>
      <c r="K26" s="102">
        <f t="shared" si="4"/>
        <v>99.020768740697719</v>
      </c>
    </row>
    <row r="27" spans="1:16" x14ac:dyDescent="0.25">
      <c r="A27" s="98">
        <v>43891</v>
      </c>
      <c r="B27" s="99">
        <v>-3779.6339176065044</v>
      </c>
      <c r="C27" s="99">
        <v>952.2999999999987</v>
      </c>
      <c r="G27" s="83">
        <f t="shared" si="0"/>
        <v>0</v>
      </c>
      <c r="H27" s="83">
        <f t="shared" si="2"/>
        <v>150000</v>
      </c>
      <c r="I27" s="83">
        <f t="shared" si="3"/>
        <v>147172.66608239349</v>
      </c>
      <c r="J27" s="101">
        <f t="shared" si="1"/>
        <v>-9.1461420732216192E-3</v>
      </c>
      <c r="K27" s="102">
        <f t="shared" si="4"/>
        <v>98.11511072159567</v>
      </c>
    </row>
    <row r="28" spans="1:16" x14ac:dyDescent="0.25">
      <c r="A28" s="98">
        <v>43898</v>
      </c>
      <c r="B28" s="99">
        <v>-6606.6458738884885</v>
      </c>
      <c r="C28" s="99">
        <v>2152.8999999999992</v>
      </c>
      <c r="G28" s="83">
        <f t="shared" si="0"/>
        <v>0</v>
      </c>
      <c r="H28" s="83">
        <f t="shared" si="2"/>
        <v>150000</v>
      </c>
      <c r="I28" s="83">
        <f t="shared" si="3"/>
        <v>145546.25412611151</v>
      </c>
      <c r="J28" s="101">
        <f t="shared" si="1"/>
        <v>-1.1051046363265926E-2</v>
      </c>
      <c r="K28" s="102">
        <f t="shared" si="4"/>
        <v>97.030836084074352</v>
      </c>
    </row>
    <row r="29" spans="1:16" x14ac:dyDescent="0.25">
      <c r="A29" s="98">
        <v>43905</v>
      </c>
      <c r="B29" s="99">
        <v>-1799.5415904216784</v>
      </c>
      <c r="C29" s="99">
        <v>2199.639999999999</v>
      </c>
      <c r="G29" s="83">
        <f t="shared" si="0"/>
        <v>0</v>
      </c>
      <c r="H29" s="83">
        <f t="shared" si="2"/>
        <v>150000</v>
      </c>
      <c r="I29" s="83">
        <f t="shared" si="3"/>
        <v>150400.09840957832</v>
      </c>
      <c r="J29" s="101">
        <f t="shared" si="1"/>
        <v>3.3349152904073254E-2</v>
      </c>
      <c r="K29" s="102">
        <f t="shared" si="4"/>
        <v>100.26673227305221</v>
      </c>
    </row>
    <row r="30" spans="1:16" x14ac:dyDescent="0.25">
      <c r="A30" s="98">
        <v>43912</v>
      </c>
      <c r="B30" s="99">
        <v>155.89551499947129</v>
      </c>
      <c r="C30" s="99">
        <v>1228.1999999999985</v>
      </c>
      <c r="G30" s="83">
        <f t="shared" si="0"/>
        <v>0</v>
      </c>
      <c r="H30" s="83">
        <f t="shared" si="2"/>
        <v>150000</v>
      </c>
      <c r="I30" s="83">
        <f t="shared" si="3"/>
        <v>151384.09551499947</v>
      </c>
      <c r="J30" s="101">
        <f t="shared" si="1"/>
        <v>6.542529664717911E-3</v>
      </c>
      <c r="K30" s="102">
        <f t="shared" si="4"/>
        <v>100.92273034333299</v>
      </c>
    </row>
    <row r="31" spans="1:16" x14ac:dyDescent="0.25">
      <c r="A31" s="98">
        <v>43919</v>
      </c>
      <c r="B31" s="99">
        <v>927.89733412564055</v>
      </c>
      <c r="C31" s="99">
        <v>6914.5499999999975</v>
      </c>
      <c r="G31" s="83">
        <f t="shared" si="0"/>
        <v>0</v>
      </c>
      <c r="H31" s="83">
        <f t="shared" si="2"/>
        <v>150000</v>
      </c>
      <c r="I31" s="83">
        <f t="shared" si="3"/>
        <v>157842.44733412564</v>
      </c>
      <c r="J31" s="101">
        <f t="shared" si="1"/>
        <v>4.2662023359556045E-2</v>
      </c>
      <c r="K31" s="102">
        <f t="shared" si="4"/>
        <v>105.22829822275044</v>
      </c>
    </row>
    <row r="32" spans="1:16" x14ac:dyDescent="0.25">
      <c r="A32" s="98">
        <v>43926</v>
      </c>
      <c r="B32" s="99">
        <v>-8599.6557736341656</v>
      </c>
      <c r="C32" s="99">
        <v>12224.449999999999</v>
      </c>
      <c r="G32" s="83">
        <f t="shared" si="0"/>
        <v>0</v>
      </c>
      <c r="H32" s="83">
        <f t="shared" si="2"/>
        <v>150000</v>
      </c>
      <c r="I32" s="83">
        <f t="shared" si="3"/>
        <v>153624.79422636583</v>
      </c>
      <c r="J32" s="101">
        <f t="shared" si="1"/>
        <v>-2.6720652010873591E-2</v>
      </c>
      <c r="K32" s="102">
        <f t="shared" si="4"/>
        <v>102.4165294842439</v>
      </c>
    </row>
    <row r="33" spans="1:15" x14ac:dyDescent="0.25">
      <c r="A33" s="98">
        <v>43933</v>
      </c>
      <c r="B33" s="99">
        <v>-15713.682799690681</v>
      </c>
      <c r="C33" s="99">
        <v>12224.449999999999</v>
      </c>
      <c r="G33" s="83">
        <f t="shared" si="0"/>
        <v>0</v>
      </c>
      <c r="H33" s="83">
        <f t="shared" si="2"/>
        <v>150000</v>
      </c>
      <c r="I33" s="83">
        <f t="shared" si="3"/>
        <v>146510.76720030932</v>
      </c>
      <c r="J33" s="101">
        <f t="shared" si="1"/>
        <v>-4.6307805077180464E-2</v>
      </c>
      <c r="K33" s="102">
        <f t="shared" si="4"/>
        <v>97.673844800206226</v>
      </c>
      <c r="O33" s="6"/>
    </row>
    <row r="34" spans="1:15" x14ac:dyDescent="0.25">
      <c r="A34" s="98">
        <v>43940</v>
      </c>
      <c r="B34" s="99">
        <v>-10502.913342846487</v>
      </c>
      <c r="C34" s="99">
        <v>14534.449999999999</v>
      </c>
      <c r="G34" s="83">
        <f t="shared" si="0"/>
        <v>0</v>
      </c>
      <c r="H34" s="83">
        <f t="shared" si="2"/>
        <v>150000</v>
      </c>
      <c r="I34" s="83">
        <f t="shared" si="3"/>
        <v>154031.53665715351</v>
      </c>
      <c r="J34" s="101">
        <f t="shared" si="1"/>
        <v>5.1332537536724621E-2</v>
      </c>
      <c r="K34" s="102">
        <f t="shared" si="4"/>
        <v>102.68769110476903</v>
      </c>
    </row>
    <row r="35" spans="1:15" x14ac:dyDescent="0.25">
      <c r="A35" s="98">
        <v>43947</v>
      </c>
      <c r="B35" s="99">
        <v>-739.5767746113288</v>
      </c>
      <c r="C35" s="99">
        <v>14534.449999999999</v>
      </c>
      <c r="G35" s="83">
        <f t="shared" si="0"/>
        <v>0</v>
      </c>
      <c r="H35" s="83">
        <f t="shared" si="2"/>
        <v>150000</v>
      </c>
      <c r="I35" s="83">
        <f t="shared" si="3"/>
        <v>163794.87322538867</v>
      </c>
      <c r="J35" s="101">
        <f t="shared" si="1"/>
        <v>6.3385309139430301E-2</v>
      </c>
      <c r="K35" s="102">
        <f t="shared" si="4"/>
        <v>109.19658215025915</v>
      </c>
    </row>
    <row r="36" spans="1:15" x14ac:dyDescent="0.25">
      <c r="A36" s="98">
        <v>43954</v>
      </c>
      <c r="B36" s="99">
        <v>1684.3824285833525</v>
      </c>
      <c r="C36" s="99">
        <v>14534.449999999999</v>
      </c>
      <c r="G36" s="83">
        <f t="shared" si="0"/>
        <v>0</v>
      </c>
      <c r="H36" s="83">
        <f t="shared" si="2"/>
        <v>150000</v>
      </c>
      <c r="I36" s="83">
        <f t="shared" si="3"/>
        <v>166218.83242858335</v>
      </c>
      <c r="J36" s="101">
        <f t="shared" si="1"/>
        <v>1.4798748919688132E-2</v>
      </c>
      <c r="K36" s="102">
        <f t="shared" si="4"/>
        <v>110.81255495238894</v>
      </c>
    </row>
    <row r="37" spans="1:15" x14ac:dyDescent="0.25">
      <c r="A37" s="98">
        <v>43961</v>
      </c>
      <c r="B37" s="99">
        <v>11360.075065364077</v>
      </c>
      <c r="C37" s="99">
        <v>13419.35</v>
      </c>
      <c r="G37" s="83">
        <f t="shared" si="0"/>
        <v>0</v>
      </c>
      <c r="H37" s="83">
        <f t="shared" si="2"/>
        <v>150000</v>
      </c>
      <c r="I37" s="83">
        <f t="shared" si="3"/>
        <v>174779.42506536408</v>
      </c>
      <c r="J37" s="101">
        <f t="shared" si="1"/>
        <v>5.1501941817927444E-2</v>
      </c>
      <c r="K37" s="102">
        <f t="shared" si="4"/>
        <v>116.51961671024276</v>
      </c>
    </row>
    <row r="38" spans="1:15" x14ac:dyDescent="0.25">
      <c r="A38" s="98">
        <v>43968</v>
      </c>
      <c r="B38" s="99">
        <v>14574.626648351101</v>
      </c>
      <c r="C38" s="99">
        <v>13780.609999999999</v>
      </c>
      <c r="G38" s="83">
        <f t="shared" si="0"/>
        <v>0</v>
      </c>
      <c r="H38" s="83">
        <f t="shared" si="2"/>
        <v>150000</v>
      </c>
      <c r="I38" s="83">
        <f t="shared" si="3"/>
        <v>178355.2366483511</v>
      </c>
      <c r="J38" s="101">
        <f t="shared" si="1"/>
        <v>2.0458996141277774E-2</v>
      </c>
      <c r="K38" s="102">
        <f t="shared" si="4"/>
        <v>118.90349109890079</v>
      </c>
    </row>
    <row r="39" spans="1:15" x14ac:dyDescent="0.25">
      <c r="A39" s="98">
        <v>43975</v>
      </c>
      <c r="B39" s="99">
        <v>27264.468418826298</v>
      </c>
      <c r="C39" s="99">
        <v>9147.409999999998</v>
      </c>
      <c r="G39" s="83">
        <f t="shared" si="0"/>
        <v>0</v>
      </c>
      <c r="H39" s="83">
        <f t="shared" si="2"/>
        <v>150000</v>
      </c>
      <c r="I39" s="83">
        <f t="shared" si="3"/>
        <v>186411.87841882629</v>
      </c>
      <c r="J39" s="101">
        <f t="shared" si="1"/>
        <v>4.5171882372928795E-2</v>
      </c>
      <c r="K39" s="102">
        <f t="shared" si="4"/>
        <v>124.27458561255092</v>
      </c>
    </row>
    <row r="40" spans="1:15" x14ac:dyDescent="0.25">
      <c r="A40" s="98">
        <v>43982</v>
      </c>
      <c r="B40" s="99">
        <v>24681.196404106078</v>
      </c>
      <c r="C40" s="99">
        <v>9147.409999999998</v>
      </c>
      <c r="G40" s="83">
        <f t="shared" si="0"/>
        <v>0</v>
      </c>
      <c r="H40" s="83">
        <f t="shared" si="2"/>
        <v>150000</v>
      </c>
      <c r="I40" s="83">
        <f t="shared" si="3"/>
        <v>183828.60640410607</v>
      </c>
      <c r="J40" s="101">
        <f t="shared" si="1"/>
        <v>-1.3857872345002464E-2</v>
      </c>
      <c r="K40" s="102">
        <f t="shared" si="4"/>
        <v>122.55240426940411</v>
      </c>
    </row>
    <row r="41" spans="1:15" x14ac:dyDescent="0.25">
      <c r="A41" s="98">
        <v>43989</v>
      </c>
      <c r="B41" s="99">
        <v>27667.328330308846</v>
      </c>
      <c r="C41" s="99">
        <v>9147.409999999998</v>
      </c>
      <c r="G41" s="83">
        <f t="shared" si="0"/>
        <v>0</v>
      </c>
      <c r="H41" s="83">
        <f t="shared" si="2"/>
        <v>150000</v>
      </c>
      <c r="I41" s="83">
        <f t="shared" si="3"/>
        <v>186814.73833030884</v>
      </c>
      <c r="J41" s="101">
        <f t="shared" si="1"/>
        <v>1.6244109035121745E-2</v>
      </c>
      <c r="K41" s="102">
        <f t="shared" si="4"/>
        <v>124.54315888687263</v>
      </c>
    </row>
    <row r="42" spans="1:15" x14ac:dyDescent="0.25">
      <c r="A42" s="98">
        <v>43996</v>
      </c>
      <c r="B42" s="99">
        <v>29351.494771953978</v>
      </c>
      <c r="C42" s="99">
        <v>10468.669999999998</v>
      </c>
      <c r="G42" s="83">
        <f t="shared" si="0"/>
        <v>0</v>
      </c>
      <c r="H42" s="83">
        <f t="shared" si="2"/>
        <v>150000</v>
      </c>
      <c r="I42" s="83">
        <f t="shared" si="3"/>
        <v>189820.16477195395</v>
      </c>
      <c r="J42" s="101">
        <f t="shared" si="1"/>
        <v>1.6087737340782837E-2</v>
      </c>
      <c r="K42" s="102">
        <f t="shared" si="4"/>
        <v>126.54677651463602</v>
      </c>
    </row>
    <row r="43" spans="1:15" x14ac:dyDescent="0.25">
      <c r="A43" s="98">
        <v>44003</v>
      </c>
      <c r="B43" s="99">
        <v>30600.917171472061</v>
      </c>
      <c r="C43" s="99">
        <v>15293.829999999998</v>
      </c>
      <c r="G43" s="83">
        <f t="shared" si="0"/>
        <v>0</v>
      </c>
      <c r="H43" s="83">
        <f t="shared" si="2"/>
        <v>150000</v>
      </c>
      <c r="I43" s="83">
        <f t="shared" si="3"/>
        <v>195894.74717147206</v>
      </c>
      <c r="J43" s="101">
        <f t="shared" si="1"/>
        <v>3.2001776032678064E-2</v>
      </c>
      <c r="K43" s="102">
        <f t="shared" si="4"/>
        <v>130.59649811431476</v>
      </c>
    </row>
    <row r="44" spans="1:15" x14ac:dyDescent="0.25">
      <c r="A44" s="98">
        <v>44010</v>
      </c>
      <c r="B44" s="99">
        <v>29975.582141287981</v>
      </c>
      <c r="C44" s="99">
        <v>16821.07</v>
      </c>
      <c r="G44" s="83">
        <f t="shared" si="0"/>
        <v>0</v>
      </c>
      <c r="H44" s="83">
        <f t="shared" si="2"/>
        <v>150000</v>
      </c>
      <c r="I44" s="83">
        <f t="shared" si="3"/>
        <v>196796.65214128798</v>
      </c>
      <c r="J44" s="101">
        <f t="shared" si="1"/>
        <v>4.6040283511352698E-3</v>
      </c>
      <c r="K44" s="102">
        <f t="shared" si="4"/>
        <v>131.19776809419204</v>
      </c>
    </row>
    <row r="45" spans="1:15" x14ac:dyDescent="0.25">
      <c r="A45" s="98">
        <v>44017</v>
      </c>
      <c r="B45" s="99">
        <v>37248.389890147468</v>
      </c>
      <c r="C45" s="99">
        <v>16821.07</v>
      </c>
      <c r="G45" s="83">
        <f t="shared" si="0"/>
        <v>0</v>
      </c>
      <c r="H45" s="83">
        <f t="shared" si="2"/>
        <v>150000</v>
      </c>
      <c r="I45" s="83">
        <f t="shared" si="3"/>
        <v>204069.45989014747</v>
      </c>
      <c r="J45" s="101">
        <f t="shared" si="1"/>
        <v>3.6955952602476527E-2</v>
      </c>
      <c r="K45" s="102">
        <f t="shared" si="4"/>
        <v>136.04630659343172</v>
      </c>
    </row>
    <row r="46" spans="1:15" x14ac:dyDescent="0.25">
      <c r="A46" s="98">
        <v>44024</v>
      </c>
      <c r="B46" s="99">
        <v>45464.210251324206</v>
      </c>
      <c r="C46" s="99">
        <v>16821.07</v>
      </c>
      <c r="G46" s="83">
        <f t="shared" si="0"/>
        <v>0</v>
      </c>
      <c r="H46" s="83">
        <f t="shared" si="2"/>
        <v>150000</v>
      </c>
      <c r="I46" s="83">
        <f t="shared" si="3"/>
        <v>212285.28025132421</v>
      </c>
      <c r="J46" s="101">
        <f t="shared" si="1"/>
        <v>4.0259921134693011E-2</v>
      </c>
      <c r="K46" s="102">
        <f t="shared" si="4"/>
        <v>141.52352016754955</v>
      </c>
    </row>
    <row r="47" spans="1:15" x14ac:dyDescent="0.25">
      <c r="A47" s="98">
        <v>44031</v>
      </c>
      <c r="B47" s="99">
        <v>48701.817109906311</v>
      </c>
      <c r="C47" s="99">
        <v>18209.769999999997</v>
      </c>
      <c r="G47" s="83">
        <f t="shared" si="0"/>
        <v>0</v>
      </c>
      <c r="H47" s="83">
        <f t="shared" si="2"/>
        <v>150000</v>
      </c>
      <c r="I47" s="83">
        <f t="shared" si="3"/>
        <v>216911.58710990631</v>
      </c>
      <c r="J47" s="101">
        <f t="shared" si="1"/>
        <v>2.1792876327105803E-2</v>
      </c>
      <c r="K47" s="102">
        <f t="shared" si="4"/>
        <v>144.60772473993762</v>
      </c>
    </row>
    <row r="48" spans="1:15" x14ac:dyDescent="0.25">
      <c r="A48" s="98">
        <v>44038</v>
      </c>
      <c r="B48" s="99">
        <v>46898.212453531101</v>
      </c>
      <c r="C48" s="99">
        <v>18783.809999999998</v>
      </c>
      <c r="G48" s="83">
        <f t="shared" si="0"/>
        <v>0</v>
      </c>
      <c r="H48" s="83">
        <f t="shared" si="2"/>
        <v>150000</v>
      </c>
      <c r="I48" s="83">
        <f t="shared" si="3"/>
        <v>215682.0224535311</v>
      </c>
      <c r="J48" s="101">
        <f t="shared" si="1"/>
        <v>-5.6685061077543786E-3</v>
      </c>
      <c r="K48" s="102">
        <f t="shared" si="4"/>
        <v>143.78801496902082</v>
      </c>
    </row>
    <row r="49" spans="1:11" x14ac:dyDescent="0.25">
      <c r="A49" s="98">
        <v>44045</v>
      </c>
      <c r="B49" s="99">
        <v>32129.568613949406</v>
      </c>
      <c r="C49" s="99">
        <v>18783.809999999998</v>
      </c>
      <c r="G49" s="83">
        <f t="shared" si="0"/>
        <v>0</v>
      </c>
      <c r="H49" s="83">
        <f t="shared" si="2"/>
        <v>150000</v>
      </c>
      <c r="I49" s="83">
        <f t="shared" si="3"/>
        <v>200913.3786139494</v>
      </c>
      <c r="J49" s="101">
        <f t="shared" si="1"/>
        <v>-6.8474153161112938E-2</v>
      </c>
      <c r="K49" s="102">
        <f t="shared" si="4"/>
        <v>133.9422524092997</v>
      </c>
    </row>
    <row r="50" spans="1:11" x14ac:dyDescent="0.25">
      <c r="A50" s="98">
        <v>44052</v>
      </c>
      <c r="B50" s="99">
        <v>30936.102227270487</v>
      </c>
      <c r="C50" s="99">
        <v>18783.809999999998</v>
      </c>
      <c r="G50" s="83">
        <f t="shared" si="0"/>
        <v>0</v>
      </c>
      <c r="H50" s="83">
        <f t="shared" si="2"/>
        <v>150000</v>
      </c>
      <c r="I50" s="83">
        <f t="shared" si="3"/>
        <v>199719.91222727048</v>
      </c>
      <c r="J50" s="101">
        <f t="shared" si="1"/>
        <v>-5.9402036584738083E-3</v>
      </c>
      <c r="K50" s="102">
        <f t="shared" si="4"/>
        <v>133.14660815151376</v>
      </c>
    </row>
    <row r="51" spans="1:11" x14ac:dyDescent="0.25">
      <c r="A51" s="98">
        <v>44059</v>
      </c>
      <c r="B51" s="99">
        <v>31236.799532831006</v>
      </c>
      <c r="C51" s="99">
        <v>18783.809999999998</v>
      </c>
      <c r="E51" s="99">
        <v>100000</v>
      </c>
      <c r="G51" s="83">
        <f t="shared" ref="G51:G82" si="5">E51-F51</f>
        <v>100000</v>
      </c>
      <c r="H51" s="83">
        <f t="shared" si="2"/>
        <v>250000</v>
      </c>
      <c r="I51" s="83">
        <f t="shared" si="3"/>
        <v>300020.609532831</v>
      </c>
      <c r="J51" s="101">
        <f t="shared" si="1"/>
        <v>1.50559502158365E-3</v>
      </c>
      <c r="K51" s="102">
        <f t="shared" si="4"/>
        <v>133.34707302188744</v>
      </c>
    </row>
    <row r="52" spans="1:11" x14ac:dyDescent="0.25">
      <c r="A52" s="98">
        <v>44066</v>
      </c>
      <c r="B52" s="99">
        <v>15564.998538549189</v>
      </c>
      <c r="C52" s="99">
        <v>27998.753540499994</v>
      </c>
      <c r="G52" s="83">
        <f t="shared" si="5"/>
        <v>0</v>
      </c>
      <c r="H52" s="83">
        <f t="shared" si="2"/>
        <v>250000</v>
      </c>
      <c r="I52" s="83">
        <f t="shared" si="3"/>
        <v>293563.75207904918</v>
      </c>
      <c r="J52" s="101">
        <f t="shared" ref="J52:J83" si="6">(I52-G52)/I51-1</f>
        <v>-2.1521379694001475E-2</v>
      </c>
      <c r="K52" s="102">
        <f t="shared" si="4"/>
        <v>130.47726003229965</v>
      </c>
    </row>
    <row r="53" spans="1:11" x14ac:dyDescent="0.25">
      <c r="A53" s="98">
        <v>44073</v>
      </c>
      <c r="B53" s="99">
        <v>8507.7928156952403</v>
      </c>
      <c r="C53" s="99">
        <v>29912.753540499994</v>
      </c>
      <c r="G53" s="83">
        <f t="shared" si="5"/>
        <v>0</v>
      </c>
      <c r="H53" s="83">
        <f t="shared" si="2"/>
        <v>250000</v>
      </c>
      <c r="I53" s="83">
        <f t="shared" si="3"/>
        <v>288420.54635619523</v>
      </c>
      <c r="J53" s="101">
        <f t="shared" si="6"/>
        <v>-1.7519893673620168E-2</v>
      </c>
      <c r="K53" s="102">
        <f t="shared" si="4"/>
        <v>128.19131230970848</v>
      </c>
    </row>
    <row r="54" spans="1:11" x14ac:dyDescent="0.25">
      <c r="A54" s="98">
        <v>44080</v>
      </c>
      <c r="B54" s="99">
        <v>16667.55776222928</v>
      </c>
      <c r="C54" s="99">
        <v>30646.913540499994</v>
      </c>
      <c r="G54" s="83">
        <f t="shared" si="5"/>
        <v>0</v>
      </c>
      <c r="H54" s="83">
        <f t="shared" si="2"/>
        <v>250000</v>
      </c>
      <c r="I54" s="83">
        <f t="shared" si="3"/>
        <v>297314.47130272927</v>
      </c>
      <c r="J54" s="101">
        <f t="shared" si="6"/>
        <v>3.0836655220638054E-2</v>
      </c>
      <c r="K54" s="102">
        <f t="shared" si="4"/>
        <v>132.1443036096841</v>
      </c>
    </row>
    <row r="55" spans="1:11" x14ac:dyDescent="0.25">
      <c r="A55" s="98">
        <v>44087</v>
      </c>
      <c r="B55" s="99">
        <v>12645.899693456893</v>
      </c>
      <c r="C55" s="99">
        <v>32994.373540499997</v>
      </c>
      <c r="G55" s="83">
        <f t="shared" si="5"/>
        <v>0</v>
      </c>
      <c r="H55" s="83">
        <f t="shared" si="2"/>
        <v>250000</v>
      </c>
      <c r="I55" s="83">
        <f t="shared" si="3"/>
        <v>295640.27323395689</v>
      </c>
      <c r="J55" s="101">
        <f t="shared" si="6"/>
        <v>-5.6310682135202184E-3</v>
      </c>
      <c r="K55" s="102">
        <f t="shared" si="4"/>
        <v>131.40019002202985</v>
      </c>
    </row>
    <row r="56" spans="1:11" x14ac:dyDescent="0.25">
      <c r="A56" s="98">
        <v>44094</v>
      </c>
      <c r="B56" s="99">
        <v>7600.23796755285</v>
      </c>
      <c r="C56" s="99">
        <v>36584.543540499988</v>
      </c>
      <c r="G56" s="83">
        <f t="shared" si="5"/>
        <v>0</v>
      </c>
      <c r="H56" s="83">
        <f t="shared" si="2"/>
        <v>250000</v>
      </c>
      <c r="I56" s="83">
        <f t="shared" si="3"/>
        <v>294184.78150805284</v>
      </c>
      <c r="J56" s="101">
        <f t="shared" si="6"/>
        <v>-4.9231848894695229E-3</v>
      </c>
      <c r="K56" s="102">
        <f t="shared" si="4"/>
        <v>130.75328259203997</v>
      </c>
    </row>
    <row r="57" spans="1:11" x14ac:dyDescent="0.25">
      <c r="A57" s="98">
        <v>44101</v>
      </c>
      <c r="B57" s="99">
        <v>1368.0199037219281</v>
      </c>
      <c r="C57" s="99">
        <v>36584.543540499988</v>
      </c>
      <c r="G57" s="83">
        <f t="shared" si="5"/>
        <v>0</v>
      </c>
      <c r="H57" s="83">
        <f t="shared" si="2"/>
        <v>250000</v>
      </c>
      <c r="I57" s="83">
        <f t="shared" si="3"/>
        <v>287952.56344422192</v>
      </c>
      <c r="J57" s="101">
        <f t="shared" si="6"/>
        <v>-2.1184705856921893E-2</v>
      </c>
      <c r="K57" s="102">
        <f t="shared" si="4"/>
        <v>127.98331276050061</v>
      </c>
    </row>
    <row r="58" spans="1:11" x14ac:dyDescent="0.25">
      <c r="A58" s="98">
        <v>44108</v>
      </c>
      <c r="B58" s="99">
        <v>-16832.453250838007</v>
      </c>
      <c r="C58" s="99">
        <v>49829.263540499989</v>
      </c>
      <c r="G58" s="83">
        <f t="shared" si="5"/>
        <v>0</v>
      </c>
      <c r="H58" s="83">
        <f t="shared" si="2"/>
        <v>250000</v>
      </c>
      <c r="I58" s="83">
        <f t="shared" si="3"/>
        <v>282996.81028966198</v>
      </c>
      <c r="J58" s="101">
        <f t="shared" si="6"/>
        <v>-1.7210310945955154E-2</v>
      </c>
      <c r="K58" s="102">
        <f t="shared" si="4"/>
        <v>125.78068015199896</v>
      </c>
    </row>
    <row r="59" spans="1:11" x14ac:dyDescent="0.25">
      <c r="A59" s="98">
        <v>44115</v>
      </c>
      <c r="B59" s="99">
        <v>-10622.55772124455</v>
      </c>
      <c r="C59" s="99">
        <v>49829.263540499989</v>
      </c>
      <c r="G59" s="83">
        <f t="shared" si="5"/>
        <v>0</v>
      </c>
      <c r="H59" s="83">
        <f t="shared" si="2"/>
        <v>250000</v>
      </c>
      <c r="I59" s="83">
        <f t="shared" si="3"/>
        <v>289206.70581925544</v>
      </c>
      <c r="J59" s="101">
        <f t="shared" si="6"/>
        <v>2.1943341068888067E-2</v>
      </c>
      <c r="K59" s="102">
        <f t="shared" si="4"/>
        <v>128.540728516451</v>
      </c>
    </row>
    <row r="60" spans="1:11" x14ac:dyDescent="0.25">
      <c r="A60" s="98">
        <v>44122</v>
      </c>
      <c r="B60" s="99">
        <v>-7982.8885001936651</v>
      </c>
      <c r="C60" s="99">
        <v>50896.843540499984</v>
      </c>
      <c r="G60" s="83">
        <f t="shared" si="5"/>
        <v>0</v>
      </c>
      <c r="H60" s="83">
        <f t="shared" si="2"/>
        <v>250000</v>
      </c>
      <c r="I60" s="83">
        <f t="shared" si="3"/>
        <v>292913.95504030632</v>
      </c>
      <c r="J60" s="101">
        <f t="shared" si="6"/>
        <v>1.2818683476059523E-2</v>
      </c>
      <c r="K60" s="102">
        <f t="shared" si="4"/>
        <v>130.18845142908549</v>
      </c>
    </row>
    <row r="61" spans="1:11" x14ac:dyDescent="0.25">
      <c r="A61" s="98">
        <v>44129</v>
      </c>
      <c r="B61" s="99">
        <v>-3077.3202365276593</v>
      </c>
      <c r="C61" s="99">
        <v>50896.843540499984</v>
      </c>
      <c r="G61" s="83">
        <f t="shared" si="5"/>
        <v>0</v>
      </c>
      <c r="H61" s="83">
        <f t="shared" si="2"/>
        <v>250000</v>
      </c>
      <c r="I61" s="83">
        <f t="shared" si="3"/>
        <v>297819.52330397232</v>
      </c>
      <c r="J61" s="101">
        <f t="shared" si="6"/>
        <v>1.6747472010990361E-2</v>
      </c>
      <c r="K61" s="102">
        <f t="shared" si="4"/>
        <v>132.36877887554829</v>
      </c>
    </row>
    <row r="62" spans="1:11" x14ac:dyDescent="0.25">
      <c r="A62" s="98">
        <v>44136</v>
      </c>
      <c r="B62" s="99">
        <v>-7782.4955282153969</v>
      </c>
      <c r="C62" s="99">
        <v>53754.883540499985</v>
      </c>
      <c r="G62" s="83">
        <f t="shared" si="5"/>
        <v>0</v>
      </c>
      <c r="H62" s="83">
        <f t="shared" si="2"/>
        <v>250000</v>
      </c>
      <c r="I62" s="83">
        <f t="shared" si="3"/>
        <v>295972.38801228459</v>
      </c>
      <c r="J62" s="101">
        <f t="shared" si="6"/>
        <v>-6.2021967908478803E-3</v>
      </c>
      <c r="K62" s="102">
        <f t="shared" si="4"/>
        <v>131.5478016599979</v>
      </c>
    </row>
    <row r="63" spans="1:11" x14ac:dyDescent="0.25">
      <c r="A63" s="98">
        <v>44143</v>
      </c>
      <c r="B63" s="99">
        <v>1997.9628369573911</v>
      </c>
      <c r="C63" s="99">
        <v>53754.883540499985</v>
      </c>
      <c r="G63" s="83">
        <f t="shared" si="5"/>
        <v>0</v>
      </c>
      <c r="H63" s="83">
        <f t="shared" si="2"/>
        <v>250000</v>
      </c>
      <c r="I63" s="83">
        <f t="shared" si="3"/>
        <v>305752.84637745738</v>
      </c>
      <c r="J63" s="101">
        <f t="shared" si="6"/>
        <v>3.3045171648805383E-2</v>
      </c>
      <c r="K63" s="102">
        <f t="shared" si="4"/>
        <v>135.89482134587553</v>
      </c>
    </row>
    <row r="64" spans="1:11" x14ac:dyDescent="0.25">
      <c r="A64" s="98">
        <v>44150</v>
      </c>
      <c r="B64" s="99">
        <v>12217.522297678079</v>
      </c>
      <c r="C64" s="99">
        <v>53754.883540499985</v>
      </c>
      <c r="G64" s="83">
        <f t="shared" si="5"/>
        <v>0</v>
      </c>
      <c r="H64" s="83">
        <f t="shared" si="2"/>
        <v>250000</v>
      </c>
      <c r="I64" s="83">
        <f t="shared" si="3"/>
        <v>315972.40583817801</v>
      </c>
      <c r="J64" s="101">
        <f t="shared" si="6"/>
        <v>3.3424249624496971E-2</v>
      </c>
      <c r="K64" s="102">
        <f t="shared" si="4"/>
        <v>140.43700377721649</v>
      </c>
    </row>
    <row r="65" spans="1:11" x14ac:dyDescent="0.25">
      <c r="A65" s="98">
        <v>44157</v>
      </c>
      <c r="B65" s="99">
        <v>24349.349520140138</v>
      </c>
      <c r="C65" s="99">
        <v>43027.703540499977</v>
      </c>
      <c r="G65" s="83">
        <f t="shared" si="5"/>
        <v>0</v>
      </c>
      <c r="H65" s="83">
        <f t="shared" si="2"/>
        <v>250000</v>
      </c>
      <c r="I65" s="83">
        <f t="shared" si="3"/>
        <v>317377.05306064012</v>
      </c>
      <c r="J65" s="101">
        <f t="shared" si="6"/>
        <v>4.4454743405077934E-3</v>
      </c>
      <c r="K65" s="102">
        <f t="shared" si="4"/>
        <v>141.0613128739659</v>
      </c>
    </row>
    <row r="66" spans="1:11" x14ac:dyDescent="0.25">
      <c r="A66" s="98">
        <v>44164</v>
      </c>
      <c r="B66" s="99">
        <v>15038.352202266906</v>
      </c>
      <c r="C66" s="99">
        <v>43027.703540499977</v>
      </c>
      <c r="G66" s="83">
        <f t="shared" si="5"/>
        <v>0</v>
      </c>
      <c r="H66" s="83">
        <f t="shared" si="2"/>
        <v>250000</v>
      </c>
      <c r="I66" s="83">
        <f t="shared" si="3"/>
        <v>308066.05574276688</v>
      </c>
      <c r="J66" s="101">
        <f t="shared" si="6"/>
        <v>-2.9337336231722522E-2</v>
      </c>
      <c r="K66" s="102">
        <f t="shared" si="4"/>
        <v>136.92294970889415</v>
      </c>
    </row>
    <row r="67" spans="1:11" x14ac:dyDescent="0.25">
      <c r="A67" s="98">
        <v>44171</v>
      </c>
      <c r="B67" s="99">
        <v>10170.937703216725</v>
      </c>
      <c r="C67" s="99">
        <v>48634.703540499977</v>
      </c>
      <c r="G67" s="83">
        <f t="shared" si="5"/>
        <v>0</v>
      </c>
      <c r="H67" s="83">
        <f t="shared" si="2"/>
        <v>250000</v>
      </c>
      <c r="I67" s="83">
        <f t="shared" si="3"/>
        <v>308805.6412437167</v>
      </c>
      <c r="J67" s="101">
        <f t="shared" si="6"/>
        <v>2.4007367483789288E-3</v>
      </c>
      <c r="K67" s="102">
        <f t="shared" si="4"/>
        <v>137.25166566595672</v>
      </c>
    </row>
    <row r="68" spans="1:11" x14ac:dyDescent="0.25">
      <c r="A68" s="98">
        <v>44178</v>
      </c>
      <c r="B68" s="99">
        <v>15597.293204881411</v>
      </c>
      <c r="C68" s="99">
        <v>48634.703540499977</v>
      </c>
      <c r="G68" s="83">
        <f t="shared" si="5"/>
        <v>0</v>
      </c>
      <c r="H68" s="83">
        <f t="shared" si="2"/>
        <v>250000</v>
      </c>
      <c r="I68" s="83">
        <f t="shared" si="3"/>
        <v>314231.99674538139</v>
      </c>
      <c r="J68" s="101">
        <f t="shared" si="6"/>
        <v>1.7572073747778694E-2</v>
      </c>
      <c r="K68" s="102">
        <f t="shared" si="4"/>
        <v>139.66346205704437</v>
      </c>
    </row>
    <row r="69" spans="1:11" x14ac:dyDescent="0.25">
      <c r="A69" s="98">
        <v>44185</v>
      </c>
      <c r="B69" s="99">
        <v>15206.023962759078</v>
      </c>
      <c r="C69" s="99">
        <v>48690.303540499983</v>
      </c>
      <c r="G69" s="83">
        <f t="shared" si="5"/>
        <v>0</v>
      </c>
      <c r="H69" s="83">
        <f t="shared" si="2"/>
        <v>250000</v>
      </c>
      <c r="I69" s="83">
        <f t="shared" si="3"/>
        <v>313896.32750325906</v>
      </c>
      <c r="J69" s="101">
        <f t="shared" si="6"/>
        <v>-1.0682210774172196E-3</v>
      </c>
      <c r="K69" s="102">
        <f t="shared" si="4"/>
        <v>139.51427060312997</v>
      </c>
    </row>
    <row r="70" spans="1:11" x14ac:dyDescent="0.25">
      <c r="A70" s="98">
        <v>44192</v>
      </c>
      <c r="B70" s="99">
        <v>9997.7560375444154</v>
      </c>
      <c r="C70" s="99">
        <v>55265.053540499983</v>
      </c>
      <c r="G70" s="83">
        <f t="shared" si="5"/>
        <v>0</v>
      </c>
      <c r="H70" s="83">
        <f t="shared" si="2"/>
        <v>250000</v>
      </c>
      <c r="I70" s="83">
        <f t="shared" si="3"/>
        <v>315262.8095780444</v>
      </c>
      <c r="J70" s="101">
        <f t="shared" si="6"/>
        <v>4.353291055216868E-3</v>
      </c>
      <c r="K70" s="102">
        <f t="shared" si="4"/>
        <v>140.1216168294217</v>
      </c>
    </row>
    <row r="71" spans="1:11" x14ac:dyDescent="0.25">
      <c r="A71" s="98">
        <v>44199</v>
      </c>
      <c r="B71" s="99">
        <v>8912.4714801717491</v>
      </c>
      <c r="C71" s="99">
        <v>55666.193540499982</v>
      </c>
      <c r="G71" s="83">
        <f t="shared" si="5"/>
        <v>0</v>
      </c>
      <c r="H71" s="83">
        <f t="shared" si="2"/>
        <v>250000</v>
      </c>
      <c r="I71" s="83">
        <f t="shared" si="3"/>
        <v>314578.66502067173</v>
      </c>
      <c r="J71" s="101">
        <f t="shared" si="6"/>
        <v>-2.1700769535371034E-3</v>
      </c>
      <c r="K71" s="102">
        <f t="shared" si="4"/>
        <v>139.8175421380478</v>
      </c>
    </row>
    <row r="72" spans="1:11" x14ac:dyDescent="0.25">
      <c r="A72" s="98">
        <v>44206</v>
      </c>
      <c r="B72" s="99">
        <v>23037.5475712974</v>
      </c>
      <c r="C72" s="99">
        <v>48315.056040499985</v>
      </c>
      <c r="G72" s="83">
        <f t="shared" si="5"/>
        <v>0</v>
      </c>
      <c r="H72" s="83">
        <f t="shared" si="2"/>
        <v>250000</v>
      </c>
      <c r="I72" s="83">
        <f t="shared" si="3"/>
        <v>321352.60361179739</v>
      </c>
      <c r="J72" s="101">
        <f t="shared" si="6"/>
        <v>2.1533369374177047E-2</v>
      </c>
      <c r="K72" s="102">
        <f t="shared" si="4"/>
        <v>142.82828491789596</v>
      </c>
    </row>
    <row r="73" spans="1:11" x14ac:dyDescent="0.25">
      <c r="A73" s="98">
        <v>44213</v>
      </c>
      <c r="B73" s="99">
        <v>11256.329459649423</v>
      </c>
      <c r="C73" s="99">
        <v>52264.196040499985</v>
      </c>
      <c r="G73" s="83">
        <f t="shared" si="5"/>
        <v>0</v>
      </c>
      <c r="H73" s="83">
        <f t="shared" si="2"/>
        <v>250000</v>
      </c>
      <c r="I73" s="83">
        <f t="shared" si="3"/>
        <v>313520.52550014941</v>
      </c>
      <c r="J73" s="101">
        <f t="shared" si="6"/>
        <v>-2.4372225473266562E-2</v>
      </c>
      <c r="K73" s="102">
        <f t="shared" si="4"/>
        <v>139.34724175391705</v>
      </c>
    </row>
    <row r="74" spans="1:11" x14ac:dyDescent="0.25">
      <c r="A74" s="98">
        <v>44220</v>
      </c>
      <c r="B74" s="99">
        <v>20127.324036901111</v>
      </c>
      <c r="C74" s="99">
        <v>47593.966040499981</v>
      </c>
      <c r="G74" s="83">
        <f t="shared" si="5"/>
        <v>0</v>
      </c>
      <c r="H74" s="83">
        <f t="shared" si="2"/>
        <v>250000</v>
      </c>
      <c r="I74" s="83">
        <f t="shared" si="3"/>
        <v>317721.29007740109</v>
      </c>
      <c r="J74" s="101">
        <f t="shared" si="6"/>
        <v>1.339869078922451E-2</v>
      </c>
      <c r="K74" s="102">
        <f t="shared" si="4"/>
        <v>141.21431235850909</v>
      </c>
    </row>
    <row r="75" spans="1:11" x14ac:dyDescent="0.25">
      <c r="A75" s="98">
        <v>44227</v>
      </c>
      <c r="B75" s="99">
        <v>24543.452670759478</v>
      </c>
      <c r="C75" s="99">
        <v>49100.77663121598</v>
      </c>
      <c r="G75" s="83">
        <f t="shared" si="5"/>
        <v>0</v>
      </c>
      <c r="H75" s="83">
        <f t="shared" si="2"/>
        <v>250000</v>
      </c>
      <c r="I75" s="83">
        <f t="shared" si="3"/>
        <v>323644.22930197546</v>
      </c>
      <c r="J75" s="101">
        <f t="shared" si="6"/>
        <v>1.8641933699600211E-2</v>
      </c>
      <c r="K75" s="102">
        <f t="shared" si="4"/>
        <v>143.84682020693106</v>
      </c>
    </row>
    <row r="76" spans="1:11" x14ac:dyDescent="0.25">
      <c r="A76" s="98">
        <v>44234</v>
      </c>
      <c r="B76" s="99">
        <v>13593.56634798045</v>
      </c>
      <c r="C76" s="99">
        <v>53764.996631215981</v>
      </c>
      <c r="G76" s="83">
        <f t="shared" si="5"/>
        <v>0</v>
      </c>
      <c r="H76" s="83">
        <f t="shared" si="2"/>
        <v>250000</v>
      </c>
      <c r="I76" s="83">
        <f t="shared" si="3"/>
        <v>317358.56297919643</v>
      </c>
      <c r="J76" s="101">
        <f t="shared" si="6"/>
        <v>-1.9421530661417163E-2</v>
      </c>
      <c r="K76" s="102">
        <f t="shared" si="4"/>
        <v>141.05309477773477</v>
      </c>
    </row>
    <row r="77" spans="1:11" x14ac:dyDescent="0.25">
      <c r="A77" s="98">
        <v>44241</v>
      </c>
      <c r="B77" s="99">
        <v>9799.1310352632136</v>
      </c>
      <c r="C77" s="99">
        <v>58355.296631215984</v>
      </c>
      <c r="G77" s="83">
        <f t="shared" si="5"/>
        <v>0</v>
      </c>
      <c r="H77" s="83">
        <f t="shared" si="2"/>
        <v>250000</v>
      </c>
      <c r="I77" s="83">
        <f t="shared" si="3"/>
        <v>318154.4276664792</v>
      </c>
      <c r="J77" s="101">
        <f t="shared" si="6"/>
        <v>2.5077775743991282E-3</v>
      </c>
      <c r="K77" s="102">
        <f t="shared" si="4"/>
        <v>141.40682456561797</v>
      </c>
    </row>
    <row r="78" spans="1:11" x14ac:dyDescent="0.25">
      <c r="A78" s="98">
        <v>44248</v>
      </c>
      <c r="B78" s="99">
        <v>16489.248927226661</v>
      </c>
      <c r="C78" s="99">
        <v>54415.166631215987</v>
      </c>
      <c r="G78" s="83">
        <f t="shared" si="5"/>
        <v>0</v>
      </c>
      <c r="H78" s="83">
        <f t="shared" si="2"/>
        <v>250000</v>
      </c>
      <c r="I78" s="83">
        <f t="shared" si="3"/>
        <v>320904.41555844265</v>
      </c>
      <c r="J78" s="101">
        <f t="shared" si="6"/>
        <v>8.6435631656405221E-3</v>
      </c>
      <c r="K78" s="102">
        <f t="shared" si="4"/>
        <v>142.62908338580354</v>
      </c>
    </row>
    <row r="79" spans="1:11" x14ac:dyDescent="0.25">
      <c r="A79" s="98">
        <v>44255</v>
      </c>
      <c r="B79" s="99">
        <v>21648.811285029886</v>
      </c>
      <c r="C79" s="99">
        <v>54415.166631215987</v>
      </c>
      <c r="G79" s="83">
        <f t="shared" si="5"/>
        <v>0</v>
      </c>
      <c r="H79" s="83">
        <f t="shared" si="2"/>
        <v>250000</v>
      </c>
      <c r="I79" s="83">
        <f t="shared" si="3"/>
        <v>326063.97791624587</v>
      </c>
      <c r="J79" s="101">
        <f t="shared" si="6"/>
        <v>1.6078190600227416E-2</v>
      </c>
      <c r="K79" s="102">
        <f t="shared" si="4"/>
        <v>144.92230097361622</v>
      </c>
    </row>
    <row r="80" spans="1:11" x14ac:dyDescent="0.25">
      <c r="A80" s="98">
        <v>44262</v>
      </c>
      <c r="B80" s="99">
        <v>27948.562565900582</v>
      </c>
      <c r="C80" s="99">
        <v>54415.166631215987</v>
      </c>
      <c r="G80" s="83">
        <f t="shared" si="5"/>
        <v>0</v>
      </c>
      <c r="H80" s="83">
        <f t="shared" si="2"/>
        <v>250000</v>
      </c>
      <c r="I80" s="83">
        <f t="shared" si="3"/>
        <v>332363.72919711657</v>
      </c>
      <c r="J80" s="101">
        <f t="shared" si="6"/>
        <v>1.9320598739946959E-2</v>
      </c>
      <c r="K80" s="102">
        <f t="shared" si="4"/>
        <v>147.72228659919728</v>
      </c>
    </row>
    <row r="81" spans="1:11" x14ac:dyDescent="0.25">
      <c r="A81" s="98">
        <v>44269</v>
      </c>
      <c r="B81" s="99">
        <v>26367.516149454183</v>
      </c>
      <c r="C81" s="99">
        <v>50486.906631215985</v>
      </c>
      <c r="G81" s="83">
        <f t="shared" si="5"/>
        <v>0</v>
      </c>
      <c r="H81" s="83">
        <f t="shared" si="2"/>
        <v>250000</v>
      </c>
      <c r="I81" s="83">
        <f t="shared" si="3"/>
        <v>326854.42278067017</v>
      </c>
      <c r="J81" s="101">
        <f t="shared" si="6"/>
        <v>-1.6576136119771823E-2</v>
      </c>
      <c r="K81" s="102">
        <f t="shared" si="4"/>
        <v>145.27362186860503</v>
      </c>
    </row>
    <row r="82" spans="1:11" x14ac:dyDescent="0.25">
      <c r="A82" s="98">
        <v>44276</v>
      </c>
      <c r="B82" s="99">
        <v>17969.636557914273</v>
      </c>
      <c r="C82" s="99">
        <v>55991.346631215987</v>
      </c>
      <c r="G82" s="83">
        <f t="shared" si="5"/>
        <v>0</v>
      </c>
      <c r="H82" s="83">
        <f t="shared" si="2"/>
        <v>250000</v>
      </c>
      <c r="I82" s="83">
        <f t="shared" si="3"/>
        <v>323960.98318913026</v>
      </c>
      <c r="J82" s="101">
        <f t="shared" si="6"/>
        <v>-8.8523801113791212E-3</v>
      </c>
      <c r="K82" s="102">
        <f t="shared" si="4"/>
        <v>143.98760454766739</v>
      </c>
    </row>
    <row r="83" spans="1:11" x14ac:dyDescent="0.25">
      <c r="A83" s="98">
        <v>44283</v>
      </c>
      <c r="B83" s="99">
        <v>12034.70338475758</v>
      </c>
      <c r="C83" s="99">
        <v>55991.346631215987</v>
      </c>
      <c r="G83" s="83">
        <f t="shared" ref="G83:G114" si="7">E83-F83</f>
        <v>0</v>
      </c>
      <c r="H83" s="83">
        <f t="shared" si="2"/>
        <v>250000</v>
      </c>
      <c r="I83" s="83">
        <f t="shared" si="3"/>
        <v>318026.05001597357</v>
      </c>
      <c r="J83" s="101">
        <f t="shared" si="6"/>
        <v>-1.8319901102694991E-2</v>
      </c>
      <c r="K83" s="102">
        <f t="shared" si="4"/>
        <v>141.34976587234016</v>
      </c>
    </row>
    <row r="84" spans="1:11" x14ac:dyDescent="0.25">
      <c r="A84" s="98">
        <v>44290</v>
      </c>
      <c r="B84" s="99">
        <v>9214.1482681689231</v>
      </c>
      <c r="C84" s="99">
        <v>57177.846631215987</v>
      </c>
      <c r="G84" s="83">
        <f t="shared" si="7"/>
        <v>0</v>
      </c>
      <c r="H84" s="83">
        <f t="shared" si="2"/>
        <v>250000</v>
      </c>
      <c r="I84" s="83">
        <f t="shared" si="3"/>
        <v>316391.99489938491</v>
      </c>
      <c r="J84" s="101">
        <f t="shared" ref="J84:J115" si="8">(I84-G84)/I83-1</f>
        <v>-5.1381171967094241E-3</v>
      </c>
      <c r="K84" s="102">
        <f t="shared" si="4"/>
        <v>140.62349420956065</v>
      </c>
    </row>
    <row r="85" spans="1:11" x14ac:dyDescent="0.25">
      <c r="A85" s="98">
        <v>44297</v>
      </c>
      <c r="B85" s="99">
        <v>4974.1827782182445</v>
      </c>
      <c r="C85" s="99">
        <v>60373.276631215987</v>
      </c>
      <c r="G85" s="83">
        <f t="shared" si="7"/>
        <v>0</v>
      </c>
      <c r="H85" s="83">
        <f t="shared" ref="H85:H116" si="9">H84+G85</f>
        <v>250000</v>
      </c>
      <c r="I85" s="83">
        <f t="shared" ref="I85:I116" si="10">H85+B85+C85-D85</f>
        <v>315347.45940943423</v>
      </c>
      <c r="J85" s="101">
        <f t="shared" si="8"/>
        <v>-3.3013967065850247E-3</v>
      </c>
      <c r="K85" s="102">
        <f t="shared" ref="K85:K116" si="11">K84*(1+J85)</f>
        <v>140.15924026890872</v>
      </c>
    </row>
    <row r="86" spans="1:11" x14ac:dyDescent="0.25">
      <c r="A86" s="98">
        <v>44304</v>
      </c>
      <c r="B86" s="99">
        <v>14628.639245996819</v>
      </c>
      <c r="C86" s="99">
        <v>54801.386631215995</v>
      </c>
      <c r="G86" s="83">
        <f t="shared" si="7"/>
        <v>0</v>
      </c>
      <c r="H86" s="83">
        <f t="shared" si="9"/>
        <v>250000</v>
      </c>
      <c r="I86" s="83">
        <f t="shared" si="10"/>
        <v>319430.02587721281</v>
      </c>
      <c r="J86" s="101">
        <f t="shared" si="8"/>
        <v>1.2946248165195851E-2</v>
      </c>
      <c r="K86" s="102">
        <f t="shared" si="11"/>
        <v>141.97377657607532</v>
      </c>
    </row>
    <row r="87" spans="1:11" x14ac:dyDescent="0.25">
      <c r="A87" s="98">
        <v>44311</v>
      </c>
      <c r="B87" s="99">
        <v>14033.095853967381</v>
      </c>
      <c r="C87" s="99">
        <v>53270.486631215994</v>
      </c>
      <c r="G87" s="83">
        <f t="shared" si="7"/>
        <v>0</v>
      </c>
      <c r="H87" s="83">
        <f t="shared" si="9"/>
        <v>250000</v>
      </c>
      <c r="I87" s="83">
        <f t="shared" si="10"/>
        <v>317303.58248518337</v>
      </c>
      <c r="J87" s="101">
        <f t="shared" si="8"/>
        <v>-6.656992830244568E-3</v>
      </c>
      <c r="K87" s="102">
        <f t="shared" si="11"/>
        <v>141.02865816332564</v>
      </c>
    </row>
    <row r="88" spans="1:11" x14ac:dyDescent="0.25">
      <c r="A88" s="98">
        <v>44318</v>
      </c>
      <c r="B88" s="99">
        <v>12620.816961286058</v>
      </c>
      <c r="C88" s="99">
        <v>57173.766631215993</v>
      </c>
      <c r="G88" s="83">
        <f t="shared" si="7"/>
        <v>0</v>
      </c>
      <c r="H88" s="83">
        <f t="shared" si="9"/>
        <v>250000</v>
      </c>
      <c r="I88" s="83">
        <f t="shared" si="10"/>
        <v>319794.58359250205</v>
      </c>
      <c r="J88" s="101">
        <f t="shared" si="8"/>
        <v>7.8505294135309267E-3</v>
      </c>
      <c r="K88" s="102">
        <f t="shared" si="11"/>
        <v>142.13580779238762</v>
      </c>
    </row>
    <row r="89" spans="1:11" x14ac:dyDescent="0.25">
      <c r="A89" s="98">
        <v>44325</v>
      </c>
      <c r="B89" s="99">
        <v>11370.959899033296</v>
      </c>
      <c r="C89" s="99">
        <v>57173.766631215993</v>
      </c>
      <c r="G89" s="83">
        <f t="shared" si="7"/>
        <v>0</v>
      </c>
      <c r="H89" s="83">
        <f t="shared" si="9"/>
        <v>250000</v>
      </c>
      <c r="I89" s="83">
        <f t="shared" si="10"/>
        <v>318544.72653024929</v>
      </c>
      <c r="J89" s="101">
        <f t="shared" si="8"/>
        <v>-3.9083121678051835E-3</v>
      </c>
      <c r="K89" s="102">
        <f t="shared" si="11"/>
        <v>141.58029668531182</v>
      </c>
    </row>
    <row r="90" spans="1:11" x14ac:dyDescent="0.25">
      <c r="A90" s="98">
        <v>44332</v>
      </c>
      <c r="B90" s="99">
        <v>24383.878516640609</v>
      </c>
      <c r="C90" s="99">
        <v>56933.126631215993</v>
      </c>
      <c r="G90" s="83">
        <f t="shared" si="7"/>
        <v>0</v>
      </c>
      <c r="H90" s="83">
        <f t="shared" si="9"/>
        <v>250000</v>
      </c>
      <c r="I90" s="83">
        <f t="shared" si="10"/>
        <v>331317.0051478566</v>
      </c>
      <c r="J90" s="101">
        <f t="shared" si="8"/>
        <v>4.0095715150363587E-2</v>
      </c>
      <c r="K90" s="102">
        <f t="shared" si="11"/>
        <v>147.25705993211005</v>
      </c>
    </row>
    <row r="91" spans="1:11" x14ac:dyDescent="0.25">
      <c r="A91" s="98">
        <v>44339</v>
      </c>
      <c r="B91" s="99">
        <v>16798.262904177274</v>
      </c>
      <c r="C91" s="99">
        <v>54526.736631215987</v>
      </c>
      <c r="G91" s="83">
        <f t="shared" si="7"/>
        <v>0</v>
      </c>
      <c r="H91" s="83">
        <f t="shared" si="9"/>
        <v>250000</v>
      </c>
      <c r="I91" s="83">
        <f t="shared" si="10"/>
        <v>321324.99953539332</v>
      </c>
      <c r="J91" s="101">
        <f t="shared" si="8"/>
        <v>-3.0158444804256779E-2</v>
      </c>
      <c r="K91" s="102">
        <f t="shared" si="11"/>
        <v>142.81601601811039</v>
      </c>
    </row>
    <row r="92" spans="1:11" x14ac:dyDescent="0.25">
      <c r="A92" s="98">
        <v>44346</v>
      </c>
      <c r="B92" s="99">
        <v>23149.754577802363</v>
      </c>
      <c r="C92" s="99">
        <v>54099.876631215986</v>
      </c>
      <c r="G92" s="83">
        <f t="shared" si="7"/>
        <v>0</v>
      </c>
      <c r="H92" s="83">
        <f t="shared" si="9"/>
        <v>250000</v>
      </c>
      <c r="I92" s="83">
        <f t="shared" si="10"/>
        <v>327249.63120901835</v>
      </c>
      <c r="J92" s="101">
        <f t="shared" si="8"/>
        <v>1.8438128630487771E-2</v>
      </c>
      <c r="K92" s="102">
        <f t="shared" si="11"/>
        <v>145.4492760919461</v>
      </c>
    </row>
    <row r="93" spans="1:11" x14ac:dyDescent="0.25">
      <c r="A93" s="98">
        <v>44353</v>
      </c>
      <c r="B93" s="99">
        <v>23441.161997231095</v>
      </c>
      <c r="C93" s="99">
        <v>54266.796631215992</v>
      </c>
      <c r="G93" s="83">
        <f t="shared" si="7"/>
        <v>0</v>
      </c>
      <c r="H93" s="83">
        <f t="shared" si="9"/>
        <v>250000</v>
      </c>
      <c r="I93" s="83">
        <f t="shared" si="10"/>
        <v>327707.95862844709</v>
      </c>
      <c r="J93" s="101">
        <f t="shared" si="8"/>
        <v>1.4005437308988178E-3</v>
      </c>
      <c r="K93" s="102">
        <f t="shared" si="11"/>
        <v>145.65298416374046</v>
      </c>
    </row>
    <row r="94" spans="1:11" x14ac:dyDescent="0.25">
      <c r="A94" s="98">
        <v>44360</v>
      </c>
      <c r="B94" s="99">
        <v>13234.344065521596</v>
      </c>
      <c r="C94" s="99">
        <v>57923.946631215993</v>
      </c>
      <c r="G94" s="83">
        <f t="shared" si="7"/>
        <v>0</v>
      </c>
      <c r="H94" s="83">
        <f t="shared" si="9"/>
        <v>250000</v>
      </c>
      <c r="I94" s="83">
        <f t="shared" si="10"/>
        <v>321158.29069673759</v>
      </c>
      <c r="J94" s="101">
        <f t="shared" si="8"/>
        <v>-1.9986294989971398E-2</v>
      </c>
      <c r="K94" s="102">
        <f t="shared" si="11"/>
        <v>142.74192065607431</v>
      </c>
    </row>
    <row r="95" spans="1:11" x14ac:dyDescent="0.25">
      <c r="A95" s="98">
        <v>44367</v>
      </c>
      <c r="B95" s="99">
        <v>2754.876804213156</v>
      </c>
      <c r="C95" s="99">
        <v>73371.956631215988</v>
      </c>
      <c r="G95" s="83">
        <f t="shared" si="7"/>
        <v>0</v>
      </c>
      <c r="H95" s="83">
        <f t="shared" si="9"/>
        <v>250000</v>
      </c>
      <c r="I95" s="83">
        <f t="shared" si="10"/>
        <v>326126.83343542914</v>
      </c>
      <c r="J95" s="101">
        <f t="shared" si="8"/>
        <v>1.5470697418125345E-2</v>
      </c>
      <c r="K95" s="102">
        <f t="shared" si="11"/>
        <v>144.9502377194265</v>
      </c>
    </row>
    <row r="96" spans="1:11" x14ac:dyDescent="0.25">
      <c r="A96" s="98">
        <v>44374</v>
      </c>
      <c r="B96" s="99">
        <v>682.04612397094024</v>
      </c>
      <c r="C96" s="99">
        <v>73371.956631215988</v>
      </c>
      <c r="G96" s="83">
        <f t="shared" si="7"/>
        <v>0</v>
      </c>
      <c r="H96" s="83">
        <f t="shared" si="9"/>
        <v>250000</v>
      </c>
      <c r="I96" s="83">
        <f t="shared" si="10"/>
        <v>324054.00275518693</v>
      </c>
      <c r="J96" s="101">
        <f t="shared" si="8"/>
        <v>-6.3559034943765358E-3</v>
      </c>
      <c r="K96" s="102">
        <f t="shared" si="11"/>
        <v>144.02894799699487</v>
      </c>
    </row>
    <row r="97" spans="1:11" x14ac:dyDescent="0.25">
      <c r="A97" s="98">
        <v>44381</v>
      </c>
      <c r="B97" s="99">
        <v>14622.234095788677</v>
      </c>
      <c r="C97" s="99">
        <v>74505.836631215992</v>
      </c>
      <c r="G97" s="83">
        <f t="shared" si="7"/>
        <v>0</v>
      </c>
      <c r="H97" s="83">
        <f t="shared" si="9"/>
        <v>250000</v>
      </c>
      <c r="I97" s="83">
        <f t="shared" si="10"/>
        <v>339128.07072700467</v>
      </c>
      <c r="J97" s="101">
        <f t="shared" si="8"/>
        <v>4.6517147894037159E-2</v>
      </c>
      <c r="K97" s="102">
        <f t="shared" si="11"/>
        <v>150.72876387199366</v>
      </c>
    </row>
    <row r="98" spans="1:11" x14ac:dyDescent="0.25">
      <c r="A98" s="98">
        <v>44388</v>
      </c>
      <c r="B98" s="99">
        <v>23100.482174406439</v>
      </c>
      <c r="C98" s="99">
        <v>76209.176631215989</v>
      </c>
      <c r="G98" s="83">
        <f t="shared" si="7"/>
        <v>0</v>
      </c>
      <c r="H98" s="83">
        <f t="shared" si="9"/>
        <v>250000</v>
      </c>
      <c r="I98" s="83">
        <f t="shared" si="10"/>
        <v>349309.65880562237</v>
      </c>
      <c r="J98" s="101">
        <f t="shared" si="8"/>
        <v>3.0022840801090078E-2</v>
      </c>
      <c r="K98" s="102">
        <f t="shared" si="11"/>
        <v>155.25406955386762</v>
      </c>
    </row>
    <row r="99" spans="1:11" x14ac:dyDescent="0.25">
      <c r="A99" s="98">
        <v>44395</v>
      </c>
      <c r="B99" s="99">
        <v>32058.36456753721</v>
      </c>
      <c r="C99" s="99">
        <v>74283.956631215988</v>
      </c>
      <c r="G99" s="83">
        <f t="shared" si="7"/>
        <v>0</v>
      </c>
      <c r="H99" s="83">
        <f t="shared" si="9"/>
        <v>250000</v>
      </c>
      <c r="I99" s="83">
        <f t="shared" si="10"/>
        <v>356342.3211987532</v>
      </c>
      <c r="J99" s="101">
        <f t="shared" si="8"/>
        <v>2.0133031583430272E-2</v>
      </c>
      <c r="K99" s="102">
        <f t="shared" si="11"/>
        <v>158.37980463965172</v>
      </c>
    </row>
    <row r="100" spans="1:11" x14ac:dyDescent="0.25">
      <c r="A100" s="98">
        <v>44402</v>
      </c>
      <c r="B100" s="99">
        <v>39457.284431700202</v>
      </c>
      <c r="C100" s="99">
        <v>70578.716631215982</v>
      </c>
      <c r="G100" s="83">
        <f t="shared" si="7"/>
        <v>0</v>
      </c>
      <c r="H100" s="83">
        <f t="shared" si="9"/>
        <v>250000</v>
      </c>
      <c r="I100" s="83">
        <f t="shared" si="10"/>
        <v>360036.00106291618</v>
      </c>
      <c r="J100" s="101">
        <f t="shared" si="8"/>
        <v>1.0365537979708073E-2</v>
      </c>
      <c r="K100" s="102">
        <f t="shared" si="11"/>
        <v>160.02149651986278</v>
      </c>
    </row>
    <row r="101" spans="1:11" x14ac:dyDescent="0.25">
      <c r="A101" s="98">
        <v>44409</v>
      </c>
      <c r="B101" s="99">
        <v>26005.944881318428</v>
      </c>
      <c r="C101" s="99">
        <v>67933.256631215976</v>
      </c>
      <c r="G101" s="83">
        <f t="shared" si="7"/>
        <v>0</v>
      </c>
      <c r="H101" s="83">
        <f t="shared" si="9"/>
        <v>250000</v>
      </c>
      <c r="I101" s="83">
        <f t="shared" si="10"/>
        <v>343939.2015125344</v>
      </c>
      <c r="J101" s="101">
        <f t="shared" si="8"/>
        <v>-4.4708861066282246E-2</v>
      </c>
      <c r="K101" s="102">
        <f t="shared" si="11"/>
        <v>152.86711766433766</v>
      </c>
    </row>
    <row r="102" spans="1:11" x14ac:dyDescent="0.25">
      <c r="A102" s="98">
        <v>44416</v>
      </c>
      <c r="B102" s="99">
        <v>21815.016996054372</v>
      </c>
      <c r="C102" s="99">
        <v>77695.676631215974</v>
      </c>
      <c r="G102" s="83">
        <f t="shared" si="7"/>
        <v>0</v>
      </c>
      <c r="H102" s="83">
        <f t="shared" si="9"/>
        <v>250000</v>
      </c>
      <c r="I102" s="83">
        <f t="shared" si="10"/>
        <v>349510.69362727035</v>
      </c>
      <c r="J102" s="101">
        <f t="shared" si="8"/>
        <v>1.6199061026583417E-2</v>
      </c>
      <c r="K102" s="102">
        <f t="shared" si="11"/>
        <v>155.34342143234016</v>
      </c>
    </row>
    <row r="103" spans="1:11" x14ac:dyDescent="0.25">
      <c r="A103" s="98">
        <v>44423</v>
      </c>
      <c r="B103" s="99">
        <v>31265.995519041709</v>
      </c>
      <c r="C103" s="99">
        <v>74223.926631215974</v>
      </c>
      <c r="G103" s="83">
        <f t="shared" si="7"/>
        <v>0</v>
      </c>
      <c r="H103" s="83">
        <f t="shared" si="9"/>
        <v>250000</v>
      </c>
      <c r="I103" s="83">
        <f t="shared" si="10"/>
        <v>355489.92215025768</v>
      </c>
      <c r="J103" s="101">
        <f t="shared" si="8"/>
        <v>1.7107426559496819E-2</v>
      </c>
      <c r="K103" s="102">
        <f t="shared" si="11"/>
        <v>158.0009476059949</v>
      </c>
    </row>
    <row r="104" spans="1:11" x14ac:dyDescent="0.25">
      <c r="A104" s="98">
        <v>44430</v>
      </c>
      <c r="B104" s="99">
        <v>17949.157779005458</v>
      </c>
      <c r="C104" s="99">
        <v>74223.926631215974</v>
      </c>
      <c r="G104" s="83">
        <f t="shared" si="7"/>
        <v>0</v>
      </c>
      <c r="H104" s="83">
        <f t="shared" si="9"/>
        <v>250000</v>
      </c>
      <c r="I104" s="83">
        <f t="shared" si="10"/>
        <v>342173.08441022143</v>
      </c>
      <c r="J104" s="101">
        <f t="shared" si="8"/>
        <v>-3.7460521129506263E-2</v>
      </c>
      <c r="K104" s="102">
        <f t="shared" si="11"/>
        <v>152.08214976971851</v>
      </c>
    </row>
    <row r="105" spans="1:11" x14ac:dyDescent="0.25">
      <c r="A105" s="98">
        <v>44437</v>
      </c>
      <c r="B105" s="99">
        <v>13558.279647402174</v>
      </c>
      <c r="C105" s="99">
        <v>77607.246631215967</v>
      </c>
      <c r="G105" s="83">
        <f t="shared" si="7"/>
        <v>0</v>
      </c>
      <c r="H105" s="83">
        <f t="shared" si="9"/>
        <v>250000</v>
      </c>
      <c r="I105" s="83">
        <f t="shared" si="10"/>
        <v>341165.52627861814</v>
      </c>
      <c r="J105" s="101">
        <f t="shared" si="8"/>
        <v>-2.9445861685466479E-3</v>
      </c>
      <c r="K105" s="102">
        <f t="shared" si="11"/>
        <v>151.63433077502376</v>
      </c>
    </row>
    <row r="106" spans="1:11" x14ac:dyDescent="0.25">
      <c r="A106" s="98">
        <v>44444</v>
      </c>
      <c r="B106" s="99">
        <v>4843.0449421754456</v>
      </c>
      <c r="C106" s="99">
        <v>77607.246631215967</v>
      </c>
      <c r="G106" s="83">
        <f t="shared" si="7"/>
        <v>0</v>
      </c>
      <c r="H106" s="83">
        <f t="shared" si="9"/>
        <v>250000</v>
      </c>
      <c r="I106" s="83">
        <f t="shared" si="10"/>
        <v>332450.29157339141</v>
      </c>
      <c r="J106" s="101">
        <f t="shared" si="8"/>
        <v>-2.5545472897836929E-2</v>
      </c>
      <c r="K106" s="102">
        <f t="shared" si="11"/>
        <v>147.76076008782874</v>
      </c>
    </row>
    <row r="107" spans="1:11" x14ac:dyDescent="0.25">
      <c r="A107" s="98">
        <v>44451</v>
      </c>
      <c r="B107" s="99">
        <v>10134.881539333554</v>
      </c>
      <c r="C107" s="99">
        <v>77071.746631215967</v>
      </c>
      <c r="G107" s="83">
        <f t="shared" si="7"/>
        <v>0</v>
      </c>
      <c r="H107" s="83">
        <f t="shared" si="9"/>
        <v>250000</v>
      </c>
      <c r="I107" s="83">
        <f t="shared" si="10"/>
        <v>337206.62817054952</v>
      </c>
      <c r="J107" s="101">
        <f t="shared" si="8"/>
        <v>1.4306910589994448E-2</v>
      </c>
      <c r="K107" s="102">
        <f t="shared" si="11"/>
        <v>149.87476007111493</v>
      </c>
    </row>
    <row r="108" spans="1:11" x14ac:dyDescent="0.25">
      <c r="A108" s="98">
        <v>44458</v>
      </c>
      <c r="B108" s="99">
        <v>20424.687909592059</v>
      </c>
      <c r="C108" s="99">
        <v>77071.746631215967</v>
      </c>
      <c r="G108" s="83">
        <f t="shared" si="7"/>
        <v>0</v>
      </c>
      <c r="H108" s="83">
        <f t="shared" si="9"/>
        <v>250000</v>
      </c>
      <c r="I108" s="83">
        <f t="shared" si="10"/>
        <v>347496.43454080803</v>
      </c>
      <c r="J108" s="101">
        <f t="shared" si="8"/>
        <v>3.0514840191854686E-2</v>
      </c>
      <c r="K108" s="102">
        <f t="shared" si="11"/>
        <v>154.44816442347758</v>
      </c>
    </row>
    <row r="109" spans="1:11" x14ac:dyDescent="0.25">
      <c r="A109" s="98">
        <v>44465</v>
      </c>
      <c r="B109" s="99">
        <v>24736.91008171592</v>
      </c>
      <c r="C109" s="99">
        <v>76316.910031215972</v>
      </c>
      <c r="G109" s="83">
        <f t="shared" si="7"/>
        <v>0</v>
      </c>
      <c r="H109" s="83">
        <f t="shared" si="9"/>
        <v>250000</v>
      </c>
      <c r="I109" s="83">
        <f t="shared" si="10"/>
        <v>351053.82011293189</v>
      </c>
      <c r="J109" s="101">
        <f t="shared" si="8"/>
        <v>1.0237185819833572E-2</v>
      </c>
      <c r="K109" s="102">
        <f t="shared" si="11"/>
        <v>156.02927898221293</v>
      </c>
    </row>
    <row r="110" spans="1:11" x14ac:dyDescent="0.25">
      <c r="A110" s="98">
        <v>44472</v>
      </c>
      <c r="B110" s="99">
        <v>28330.655829823154</v>
      </c>
      <c r="C110" s="99">
        <v>77198.750031215968</v>
      </c>
      <c r="G110" s="83">
        <f t="shared" si="7"/>
        <v>0</v>
      </c>
      <c r="H110" s="83">
        <f t="shared" si="9"/>
        <v>250000</v>
      </c>
      <c r="I110" s="83">
        <f t="shared" si="10"/>
        <v>355529.40586103912</v>
      </c>
      <c r="J110" s="101">
        <f t="shared" si="8"/>
        <v>1.2749001696285456E-2</v>
      </c>
      <c r="K110" s="102">
        <f t="shared" si="11"/>
        <v>158.01849652462735</v>
      </c>
    </row>
    <row r="111" spans="1:11" x14ac:dyDescent="0.25">
      <c r="A111" s="98">
        <v>44479</v>
      </c>
      <c r="B111" s="99">
        <v>28406.050366975804</v>
      </c>
      <c r="C111" s="99">
        <v>76838.428531215963</v>
      </c>
      <c r="G111" s="83">
        <f t="shared" si="7"/>
        <v>0</v>
      </c>
      <c r="H111" s="83">
        <f t="shared" si="9"/>
        <v>250000</v>
      </c>
      <c r="I111" s="83">
        <f t="shared" si="10"/>
        <v>355244.47889819182</v>
      </c>
      <c r="J111" s="101">
        <f t="shared" si="8"/>
        <v>-8.014160239635526E-4</v>
      </c>
      <c r="K111" s="102">
        <f t="shared" si="11"/>
        <v>157.89185796942988</v>
      </c>
    </row>
    <row r="112" spans="1:11" x14ac:dyDescent="0.25">
      <c r="A112" s="98">
        <v>44486</v>
      </c>
      <c r="B112" s="99">
        <v>24183.278244317</v>
      </c>
      <c r="C112" s="99">
        <v>71906.828531215957</v>
      </c>
      <c r="G112" s="83">
        <f t="shared" si="7"/>
        <v>0</v>
      </c>
      <c r="H112" s="83">
        <f t="shared" si="9"/>
        <v>250000</v>
      </c>
      <c r="I112" s="83">
        <f t="shared" si="10"/>
        <v>346090.10677553294</v>
      </c>
      <c r="J112" s="101">
        <f t="shared" si="8"/>
        <v>-2.576921716292857E-2</v>
      </c>
      <c r="K112" s="102">
        <f t="shared" si="11"/>
        <v>153.82310839315736</v>
      </c>
    </row>
    <row r="113" spans="1:11" x14ac:dyDescent="0.25">
      <c r="A113" s="98">
        <v>44493</v>
      </c>
      <c r="B113" s="99">
        <v>31594.8525406714</v>
      </c>
      <c r="C113" s="99">
        <v>71906.828531215957</v>
      </c>
      <c r="G113" s="83">
        <f t="shared" si="7"/>
        <v>0</v>
      </c>
      <c r="H113" s="83">
        <f t="shared" si="9"/>
        <v>250000</v>
      </c>
      <c r="I113" s="83">
        <f t="shared" si="10"/>
        <v>353501.68107188737</v>
      </c>
      <c r="J113" s="101">
        <f t="shared" si="8"/>
        <v>2.1415157935044338E-2</v>
      </c>
      <c r="K113" s="102">
        <f t="shared" si="11"/>
        <v>157.11725455345626</v>
      </c>
    </row>
    <row r="114" spans="1:11" x14ac:dyDescent="0.25">
      <c r="A114" s="98">
        <v>44500</v>
      </c>
      <c r="B114" s="99">
        <v>37184.722526179597</v>
      </c>
      <c r="C114" s="99">
        <v>76886.668531215953</v>
      </c>
      <c r="G114" s="83">
        <f t="shared" si="7"/>
        <v>0</v>
      </c>
      <c r="H114" s="83">
        <f t="shared" si="9"/>
        <v>250000</v>
      </c>
      <c r="I114" s="83">
        <f t="shared" si="10"/>
        <v>364071.39105739561</v>
      </c>
      <c r="J114" s="101">
        <f t="shared" si="8"/>
        <v>2.9900027500459947E-2</v>
      </c>
      <c r="K114" s="102">
        <f t="shared" si="11"/>
        <v>161.81506478540138</v>
      </c>
    </row>
    <row r="115" spans="1:11" x14ac:dyDescent="0.25">
      <c r="A115" s="98">
        <v>44507</v>
      </c>
      <c r="B115" s="99">
        <v>29733.429249312201</v>
      </c>
      <c r="C115" s="99">
        <v>85599.988531215946</v>
      </c>
      <c r="G115" s="83">
        <f t="shared" ref="G115:G116" si="12">E115-F115</f>
        <v>0</v>
      </c>
      <c r="H115" s="83">
        <f t="shared" si="9"/>
        <v>250000</v>
      </c>
      <c r="I115" s="83">
        <f t="shared" si="10"/>
        <v>365333.41778052814</v>
      </c>
      <c r="J115" s="101">
        <f t="shared" si="8"/>
        <v>3.4664265145007978E-3</v>
      </c>
      <c r="K115" s="102">
        <f t="shared" si="11"/>
        <v>162.37598481641916</v>
      </c>
    </row>
    <row r="116" spans="1:11" x14ac:dyDescent="0.25">
      <c r="A116" s="98">
        <v>44514</v>
      </c>
      <c r="B116" s="99">
        <v>21106.178623493499</v>
      </c>
      <c r="C116" s="99">
        <v>82633.518531215945</v>
      </c>
      <c r="G116" s="83">
        <f t="shared" si="12"/>
        <v>0</v>
      </c>
      <c r="H116" s="83">
        <f t="shared" si="9"/>
        <v>250000</v>
      </c>
      <c r="I116" s="83">
        <f t="shared" si="10"/>
        <v>353739.69715470949</v>
      </c>
      <c r="J116" s="101">
        <f t="shared" ref="J116" si="13">(I116-G116)/I115-1</f>
        <v>-3.173462941400973E-2</v>
      </c>
      <c r="K116" s="102">
        <f t="shared" si="11"/>
        <v>157.22304311253524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Monitor</vt:lpstr>
      <vt:lpstr>Realized PnL</vt:lpstr>
      <vt:lpstr>Portfolio 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Quill</dc:creator>
  <cp:lastModifiedBy>Chris Quill</cp:lastModifiedBy>
  <dcterms:created xsi:type="dcterms:W3CDTF">2021-11-17T10:35:42Z</dcterms:created>
  <dcterms:modified xsi:type="dcterms:W3CDTF">2021-12-21T23:12:39Z</dcterms:modified>
</cp:coreProperties>
</file>