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ecker\Documents\WFIRST_C\IM\Budget Support\BrtDepError\"/>
    </mc:Choice>
  </mc:AlternateContent>
  <bookViews>
    <workbookView xWindow="0" yWindow="0" windowWidth="23040" windowHeight="9624" activeTab="1"/>
  </bookViews>
  <sheets>
    <sheet name="Version Log" sheetId="11" r:id="rId1"/>
    <sheet name="BDE" sheetId="1" r:id="rId2"/>
    <sheet name="Graphics" sheetId="8" r:id="rId3"/>
  </sheets>
  <definedNames>
    <definedName name="Acol">BDE!$AH$97</definedName>
    <definedName name="arcsec">BDE!$AH$112</definedName>
    <definedName name="AU">BDE!$AH$108</definedName>
    <definedName name="B22_FIT_565">BDE!$BP$59:$BW$79</definedName>
    <definedName name="B22_REQ_565">BDE!$BG$59:$BN$79</definedName>
    <definedName name="c_light">BDE!$AH$102</definedName>
    <definedName name="CCDQEcoatings">BDE!$AW$18:$BC$19</definedName>
    <definedName name="CCDQEno">BDE!$AR$25</definedName>
    <definedName name="CG_Specs">BDE!$AP$7:$AQ$20</definedName>
    <definedName name="CG_Type">BDE!$AP$7:$AQ$7</definedName>
    <definedName name="CGcase">BDE!$AW$6:$AW$15</definedName>
    <definedName name="CGtable">BDE!$AW$6:$BB$15</definedName>
    <definedName name="CICnoiseRate">BDE!$L$8</definedName>
    <definedName name="D_PM">BDE!$AH$94</definedName>
    <definedName name="darkCurrent">BDE!$AP$31</definedName>
    <definedName name="darkNoiseRate">BDE!$L$7</definedName>
    <definedName name="deg">RADIANS(1)</definedName>
    <definedName name="ENF">BDE!$AH$64</definedName>
    <definedName name="f_pp">BDE!$AH$25</definedName>
    <definedName name="f_SR">BDE!$AH$66</definedName>
    <definedName name="fluxTable">BDE!$D$155:$J$168</definedName>
    <definedName name="FPattributes">BDE!$AP$40:$AQ$44</definedName>
    <definedName name="frameTime">BDE!$AH$26</definedName>
    <definedName name="G22_FIT_565">BDE!$BP$86:$BW$107</definedName>
    <definedName name="G22_REQ_565">BDE!$BG$86:$BN$107</definedName>
    <definedName name="G25_FIT_660">BDE!$BP$115:$BW$145</definedName>
    <definedName name="G25_FIT_770">BDE!$BP$151:$BW$181</definedName>
    <definedName name="G25_REQ_660">BDE!$BG$116:$BN$146</definedName>
    <definedName name="G25_REQ_770">BDE!$BG$152:$BN$182</definedName>
    <definedName name="h_planck">BDE!$AH$101</definedName>
    <definedName name="HLC_CG">BDE!$BG$19:$BN$41</definedName>
    <definedName name="ifs_fsr">BDE!$AH$66</definedName>
    <definedName name="inBWflux0">BDE!$AH$44</definedName>
    <definedName name="integTime">BDE!$AH$71</definedName>
    <definedName name="Kappa">BDE!$AH$5</definedName>
    <definedName name="lam_over_D">BDE!$AH$43</definedName>
    <definedName name="lambda">BDE!$AH$18</definedName>
    <definedName name="mas">BDE!$AH$113</definedName>
    <definedName name="MissionLifeEpoch">BDE!$AP$26:$AQ$26</definedName>
    <definedName name="MissionLifeFraction">BDE!$AH$24</definedName>
    <definedName name="mpix">BDE!$AH$67</definedName>
    <definedName name="mrad">0.001</definedName>
    <definedName name="Msun">BDE!$AH$105</definedName>
    <definedName name="nm">BDE!$AH$116</definedName>
    <definedName name="nrad">0.000000001</definedName>
    <definedName name="pc">BDE!$AH$109</definedName>
    <definedName name="pl_convertRate">BDE!$AH$29</definedName>
    <definedName name="pl_signalRate">BDE!$AH$30</definedName>
    <definedName name="planetFlux">BDE!$AH$46</definedName>
    <definedName name="planetNo">BDE!$H$4</definedName>
    <definedName name="planetTable">BDE!$B$112:$Z$150</definedName>
    <definedName name="planetWA">BDE!$AH$40</definedName>
    <definedName name="QE">BDE!$AP$34</definedName>
    <definedName name="QEcurves">BDE!$AV$20:$BC$100</definedName>
    <definedName name="R_earth">BDE!$AH$106</definedName>
    <definedName name="R_jupiter">BDE!$AH$107</definedName>
    <definedName name="R_sun">BDE!$AH$110</definedName>
    <definedName name="readNoiseRate">BDE!$L$9</definedName>
    <definedName name="scenarios">BDE!$C$31:$C$40</definedName>
    <definedName name="ScenarioSelected">BDE!$D$4</definedName>
    <definedName name="scenarioTable">BDE!$C$31:$M$40</definedName>
    <definedName name="signalQE">BDE!$AP$37</definedName>
    <definedName name="SNRtarget">BDE!$D$6</definedName>
    <definedName name="SNRtimeMargin">BDE!$H$8</definedName>
    <definedName name="sp_bkgRate">BDE!$AH$31</definedName>
    <definedName name="SPC_CG">BDE!$BP$19:$BW$51</definedName>
    <definedName name="starFlux">BDE!$AH$45</definedName>
    <definedName name="stellarClass">BDE!$W$112:$W$145</definedName>
    <definedName name="t_pl">BDE!$AH$87</definedName>
    <definedName name="t_speckle">BDE!$AH$89</definedName>
    <definedName name="t_zodi">BDE!$AH$88</definedName>
    <definedName name="timeToSNR">BDE!$H$6</definedName>
    <definedName name="totNoiseVarRate">BDE!$L$10</definedName>
    <definedName name="um">BDE!$AH$115</definedName>
    <definedName name="urad">0.000001</definedName>
    <definedName name="WAplanet">BDE!$AN$17</definedName>
    <definedName name="zo_bkgRate">BDE!$AH$32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12" i="1" l="1"/>
  <c r="AJ109" i="1"/>
  <c r="AH113" i="1"/>
  <c r="H148" i="1"/>
  <c r="M148" i="1" s="1"/>
  <c r="D148" i="1"/>
  <c r="BI7" i="1"/>
  <c r="BO7" i="1"/>
  <c r="CE7" i="1"/>
  <c r="BI8" i="1"/>
  <c r="BO8" i="1"/>
  <c r="CD8" i="1"/>
  <c r="CE8" i="1"/>
  <c r="BI9" i="1"/>
  <c r="BO9" i="1"/>
  <c r="CD9" i="1"/>
  <c r="CE9" i="1"/>
  <c r="BI10" i="1"/>
  <c r="CD10" i="1"/>
  <c r="CE10" i="1"/>
  <c r="CD11" i="1"/>
  <c r="CE11" i="1"/>
  <c r="CD12" i="1"/>
  <c r="CE12" i="1"/>
  <c r="CD13" i="1"/>
  <c r="CE13" i="1"/>
  <c r="CD14" i="1"/>
  <c r="CE14" i="1"/>
  <c r="BN16" i="1"/>
  <c r="BL16" i="1" s="1"/>
  <c r="BL15" i="1"/>
  <c r="BW15" i="1"/>
  <c r="CD15" i="1"/>
  <c r="CE15" i="1"/>
  <c r="CD16" i="1"/>
  <c r="CE16" i="1"/>
  <c r="CD17" i="1"/>
  <c r="CE17" i="1"/>
  <c r="CD18" i="1"/>
  <c r="CE18" i="1"/>
  <c r="CD19" i="1"/>
  <c r="CE19" i="1"/>
  <c r="CD20" i="1"/>
  <c r="CE20" i="1"/>
  <c r="CD21" i="1"/>
  <c r="CE21" i="1"/>
  <c r="CD22" i="1"/>
  <c r="CE22" i="1"/>
  <c r="CD23" i="1"/>
  <c r="CE23" i="1"/>
  <c r="CD24" i="1"/>
  <c r="CE24" i="1"/>
  <c r="CD25" i="1"/>
  <c r="CE25" i="1"/>
  <c r="CD26" i="1"/>
  <c r="CE26" i="1"/>
  <c r="CD27" i="1"/>
  <c r="CE27" i="1"/>
  <c r="CD28" i="1"/>
  <c r="CE28" i="1"/>
  <c r="BZ68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A68" i="1"/>
  <c r="CD68" i="1"/>
  <c r="BJ147" i="1"/>
  <c r="BS147" i="1"/>
  <c r="BT147" i="1"/>
  <c r="BU183" i="1"/>
  <c r="BV183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AB63" i="1"/>
  <c r="X63" i="1"/>
  <c r="AB64" i="1"/>
  <c r="AB62" i="1"/>
  <c r="AB61" i="1"/>
  <c r="AB60" i="1"/>
  <c r="X61" i="1"/>
  <c r="X62" i="1"/>
  <c r="X64" i="1"/>
  <c r="X60" i="1"/>
  <c r="AB53" i="1"/>
  <c r="AB54" i="1"/>
  <c r="AB52" i="1"/>
  <c r="AH97" i="1"/>
  <c r="D90" i="1"/>
  <c r="D89" i="1"/>
  <c r="D81" i="1"/>
  <c r="AH77" i="1"/>
  <c r="AH65" i="1"/>
  <c r="AH66" i="1" s="1"/>
  <c r="W78" i="1"/>
  <c r="S77" i="1"/>
  <c r="G61" i="1"/>
  <c r="AI59" i="1"/>
  <c r="X55" i="1"/>
  <c r="X54" i="1"/>
  <c r="X53" i="1"/>
  <c r="X52" i="1"/>
  <c r="R51" i="1"/>
  <c r="C46" i="1"/>
  <c r="H44" i="1"/>
  <c r="AQ27" i="1"/>
  <c r="D79" i="1" s="1"/>
  <c r="D82" i="1" s="1"/>
  <c r="AP25" i="1"/>
  <c r="AH25" i="1"/>
  <c r="S83" i="1" s="1"/>
  <c r="AH24" i="1"/>
  <c r="AP32" i="1" s="1"/>
  <c r="I17" i="1" s="1"/>
  <c r="AH23" i="1"/>
  <c r="J4" i="1" s="1"/>
  <c r="AH21" i="1"/>
  <c r="S81" i="1" s="1"/>
  <c r="AH20" i="1"/>
  <c r="AH71" i="1" s="1"/>
  <c r="AH19" i="1"/>
  <c r="AH18" i="1"/>
  <c r="C176" i="1" s="1"/>
  <c r="AH17" i="1"/>
  <c r="J168" i="1"/>
  <c r="G168" i="1"/>
  <c r="I168" i="1" s="1"/>
  <c r="J167" i="1"/>
  <c r="G167" i="1"/>
  <c r="I167" i="1"/>
  <c r="J166" i="1"/>
  <c r="G166" i="1"/>
  <c r="H166" i="1" s="1"/>
  <c r="J165" i="1"/>
  <c r="G165" i="1"/>
  <c r="H165" i="1" s="1"/>
  <c r="AH13" i="1"/>
  <c r="J164" i="1"/>
  <c r="G164" i="1"/>
  <c r="I164" i="1"/>
  <c r="AH12" i="1"/>
  <c r="J163" i="1"/>
  <c r="G163" i="1"/>
  <c r="I163" i="1" s="1"/>
  <c r="AH11" i="1"/>
  <c r="Q11" i="1"/>
  <c r="J162" i="1"/>
  <c r="G162" i="1"/>
  <c r="H162" i="1" s="1"/>
  <c r="AH10" i="1"/>
  <c r="S11" i="1" s="1"/>
  <c r="J161" i="1"/>
  <c r="G161" i="1"/>
  <c r="I161" i="1"/>
  <c r="AH9" i="1"/>
  <c r="W79" i="1" s="1"/>
  <c r="J160" i="1"/>
  <c r="G160" i="1"/>
  <c r="I160" i="1" s="1"/>
  <c r="Y8" i="1"/>
  <c r="S8" i="1"/>
  <c r="J159" i="1"/>
  <c r="G159" i="1"/>
  <c r="I159" i="1"/>
  <c r="J158" i="1"/>
  <c r="G158" i="1"/>
  <c r="I158" i="1" s="1"/>
  <c r="K157" i="1"/>
  <c r="J157" i="1"/>
  <c r="G157" i="1"/>
  <c r="I157" i="1"/>
  <c r="Q5" i="1"/>
  <c r="J156" i="1"/>
  <c r="G156" i="1"/>
  <c r="H156" i="1" s="1"/>
  <c r="I4" i="1"/>
  <c r="R11" i="1" s="1"/>
  <c r="J155" i="1"/>
  <c r="G155" i="1"/>
  <c r="H155" i="1"/>
  <c r="D92" i="1"/>
  <c r="D94" i="1" s="1"/>
  <c r="H163" i="1"/>
  <c r="H164" i="1"/>
  <c r="I155" i="1"/>
  <c r="H157" i="1"/>
  <c r="H167" i="1"/>
  <c r="H161" i="1"/>
  <c r="H168" i="1"/>
  <c r="H159" i="1"/>
  <c r="BK11" i="1"/>
  <c r="CC5" i="1" s="1"/>
  <c r="BJ11" i="1"/>
  <c r="CB5" i="1"/>
  <c r="CB8" i="1" s="1"/>
  <c r="BQ10" i="1"/>
  <c r="CC35" i="1"/>
  <c r="CC65" i="1" s="1"/>
  <c r="BP10" i="1"/>
  <c r="CB35" i="1" s="1"/>
  <c r="CC66" i="1"/>
  <c r="CC62" i="1"/>
  <c r="CC58" i="1"/>
  <c r="CC54" i="1"/>
  <c r="CC50" i="1"/>
  <c r="CC46" i="1"/>
  <c r="CC42" i="1"/>
  <c r="CC38" i="1"/>
  <c r="AP19" i="1" l="1"/>
  <c r="AP20" i="1" s="1"/>
  <c r="Y5" i="1"/>
  <c r="AP17" i="1"/>
  <c r="AH84" i="1" s="1"/>
  <c r="AH89" i="1" s="1"/>
  <c r="S5" i="1"/>
  <c r="AP30" i="1"/>
  <c r="I15" i="1" s="1"/>
  <c r="AH38" i="1"/>
  <c r="D5" i="1" s="1"/>
  <c r="V11" i="1" s="1"/>
  <c r="CC11" i="1"/>
  <c r="CC23" i="1"/>
  <c r="CC8" i="1"/>
  <c r="CC12" i="1"/>
  <c r="CC16" i="1"/>
  <c r="CC20" i="1"/>
  <c r="CC24" i="1"/>
  <c r="CC28" i="1"/>
  <c r="CC21" i="1"/>
  <c r="CC10" i="1"/>
  <c r="CC18" i="1"/>
  <c r="CC26" i="1"/>
  <c r="CC9" i="1"/>
  <c r="CC13" i="1"/>
  <c r="CC17" i="1"/>
  <c r="CC25" i="1"/>
  <c r="CC7" i="1"/>
  <c r="CC14" i="1"/>
  <c r="CC22" i="1"/>
  <c r="CC15" i="1"/>
  <c r="CC19" i="1"/>
  <c r="CC27" i="1"/>
  <c r="CB63" i="1"/>
  <c r="CB39" i="1"/>
  <c r="CB66" i="1"/>
  <c r="CB62" i="1"/>
  <c r="CB58" i="1"/>
  <c r="CB54" i="1"/>
  <c r="CB50" i="1"/>
  <c r="CB46" i="1"/>
  <c r="CB42" i="1"/>
  <c r="CB38" i="1"/>
  <c r="CB65" i="1"/>
  <c r="CB53" i="1"/>
  <c r="CB41" i="1"/>
  <c r="CB60" i="1"/>
  <c r="CB52" i="1"/>
  <c r="CB44" i="1"/>
  <c r="CB55" i="1"/>
  <c r="CB43" i="1"/>
  <c r="CB61" i="1"/>
  <c r="CB49" i="1"/>
  <c r="CB37" i="1"/>
  <c r="CB64" i="1"/>
  <c r="CB48" i="1"/>
  <c r="CB40" i="1"/>
  <c r="CB59" i="1"/>
  <c r="CB47" i="1"/>
  <c r="CB57" i="1"/>
  <c r="CB45" i="1"/>
  <c r="CB56" i="1"/>
  <c r="CB67" i="1"/>
  <c r="CB51" i="1"/>
  <c r="CC39" i="1"/>
  <c r="CC43" i="1"/>
  <c r="CC47" i="1"/>
  <c r="CC51" i="1"/>
  <c r="CC55" i="1"/>
  <c r="CC59" i="1"/>
  <c r="CC63" i="1"/>
  <c r="CB27" i="1"/>
  <c r="CB23" i="1"/>
  <c r="CB19" i="1"/>
  <c r="CB15" i="1"/>
  <c r="CB11" i="1"/>
  <c r="I156" i="1"/>
  <c r="H158" i="1"/>
  <c r="H160" i="1"/>
  <c r="I162" i="1"/>
  <c r="I166" i="1"/>
  <c r="CC40" i="1"/>
  <c r="CC44" i="1"/>
  <c r="CC48" i="1"/>
  <c r="CC52" i="1"/>
  <c r="CC56" i="1"/>
  <c r="CC60" i="1"/>
  <c r="CC64" i="1"/>
  <c r="CC67" i="1"/>
  <c r="CB26" i="1"/>
  <c r="CB22" i="1"/>
  <c r="CB18" i="1"/>
  <c r="CB14" i="1"/>
  <c r="CB10" i="1"/>
  <c r="D93" i="1"/>
  <c r="CB21" i="1"/>
  <c r="CB9" i="1"/>
  <c r="CB29" i="1" s="1"/>
  <c r="CC37" i="1"/>
  <c r="CC41" i="1"/>
  <c r="CC45" i="1"/>
  <c r="CC49" i="1"/>
  <c r="CC53" i="1"/>
  <c r="CC57" i="1"/>
  <c r="CC61" i="1"/>
  <c r="CB25" i="1"/>
  <c r="CB17" i="1"/>
  <c r="CB13" i="1"/>
  <c r="AP7" i="1"/>
  <c r="I165" i="1"/>
  <c r="CB28" i="1"/>
  <c r="CB24" i="1"/>
  <c r="CB20" i="1"/>
  <c r="CB16" i="1"/>
  <c r="CB12" i="1"/>
  <c r="V5" i="1"/>
  <c r="AH63" i="1"/>
  <c r="AH44" i="1" s="1"/>
  <c r="AQ44" i="1"/>
  <c r="AQ42" i="1" s="1"/>
  <c r="AH67" i="1" s="1"/>
  <c r="AH96" i="1"/>
  <c r="AP44" i="1"/>
  <c r="D6" i="1"/>
  <c r="AP42" i="1"/>
  <c r="AH43" i="1"/>
  <c r="AR34" i="1"/>
  <c r="AP31" i="1"/>
  <c r="I16" i="1" s="1"/>
  <c r="AP34" i="1"/>
  <c r="U5" i="1"/>
  <c r="K14" i="1"/>
  <c r="AH48" i="1"/>
  <c r="AH39" i="1"/>
  <c r="Y79" i="1"/>
  <c r="R50" i="1"/>
  <c r="X79" i="1"/>
  <c r="C45" i="1"/>
  <c r="S82" i="1"/>
  <c r="AP18" i="1"/>
  <c r="W5" i="1"/>
  <c r="AP41" i="1"/>
  <c r="X5" i="1"/>
  <c r="Z5" i="1"/>
  <c r="D176" i="1"/>
  <c r="E176" i="1" s="1"/>
  <c r="AH47" i="1"/>
  <c r="V75" i="1"/>
  <c r="S78" i="1"/>
  <c r="AP15" i="1"/>
  <c r="AP16" i="1"/>
  <c r="D7" i="1" l="1"/>
  <c r="AH42" i="1"/>
  <c r="AH40" i="1" s="1"/>
  <c r="AH49" i="1" s="1"/>
  <c r="AH41" i="1"/>
  <c r="CB30" i="1"/>
  <c r="CB31" i="1" s="1"/>
  <c r="CC68" i="1"/>
  <c r="CC69" i="1"/>
  <c r="CB68" i="1"/>
  <c r="CB69" i="1"/>
  <c r="CC29" i="1"/>
  <c r="CC30" i="1"/>
  <c r="AH53" i="1"/>
  <c r="AH45" i="1"/>
  <c r="Z11" i="1" s="1"/>
  <c r="AH52" i="1"/>
  <c r="AJ36" i="1"/>
  <c r="AI37" i="1"/>
  <c r="S53" i="1"/>
  <c r="L9" i="1"/>
  <c r="L8" i="1"/>
  <c r="L7" i="1"/>
  <c r="AP9" i="1"/>
  <c r="AP14" i="1"/>
  <c r="AP13" i="1"/>
  <c r="AP12" i="1"/>
  <c r="AP11" i="1"/>
  <c r="AP10" i="1"/>
  <c r="AP8" i="1"/>
  <c r="AH54" i="1" l="1"/>
  <c r="Y11" i="1" s="1"/>
  <c r="AH46" i="1"/>
  <c r="AA11" i="1" s="1"/>
  <c r="CC31" i="1"/>
  <c r="S80" i="1"/>
  <c r="U11" i="1"/>
  <c r="AH59" i="1"/>
  <c r="AH78" i="1"/>
  <c r="AH60" i="1"/>
  <c r="AH82" i="1"/>
  <c r="S79" i="1"/>
  <c r="T11" i="1"/>
  <c r="AH31" i="1" l="1"/>
  <c r="I25" i="1" s="1"/>
  <c r="AH88" i="1"/>
  <c r="AH79" i="1"/>
  <c r="AH81" i="1" s="1"/>
  <c r="AH83" i="1" s="1"/>
  <c r="AH87" i="1"/>
  <c r="L5" i="1" l="1"/>
  <c r="S85" i="1"/>
  <c r="I22" i="1"/>
  <c r="AH56" i="1"/>
  <c r="AH55" i="1"/>
  <c r="AH29" i="1"/>
  <c r="AA101" i="1"/>
  <c r="AH32" i="1" l="1"/>
  <c r="L10" i="1" s="1"/>
  <c r="L4" i="1"/>
  <c r="I20" i="1"/>
  <c r="AI36" i="1"/>
  <c r="I21" i="1" l="1"/>
  <c r="L6" i="1"/>
  <c r="H46" i="1" s="1"/>
  <c r="AH34" i="1"/>
  <c r="AH36" i="1" s="1"/>
  <c r="AH33" i="1"/>
  <c r="AH35" i="1" s="1"/>
  <c r="J46" i="1"/>
  <c r="S84" i="1"/>
  <c r="S86" i="1" s="1"/>
  <c r="I46" i="1"/>
  <c r="G46" i="1"/>
  <c r="F46" i="1"/>
  <c r="D46" i="1" l="1"/>
  <c r="AP36" i="1"/>
  <c r="AP37" i="1" s="1"/>
  <c r="E46" i="1"/>
  <c r="AH4" i="1" l="1"/>
  <c r="AH30" i="1"/>
  <c r="H7" i="1" l="1"/>
  <c r="H6" i="1" s="1"/>
  <c r="S87" i="1"/>
  <c r="V80" i="1" s="1"/>
  <c r="AH5" i="1"/>
  <c r="AB79" i="1"/>
  <c r="F20" i="1" l="1"/>
  <c r="F15" i="1"/>
  <c r="F25" i="1"/>
  <c r="F24" i="1" s="1"/>
  <c r="F17" i="1"/>
  <c r="D17" i="1" s="1"/>
  <c r="H17" i="1" s="1"/>
  <c r="F21" i="1"/>
  <c r="F22" i="1"/>
  <c r="F16" i="1"/>
  <c r="D16" i="1" s="1"/>
  <c r="H16" i="1" s="1"/>
  <c r="AB11" i="1"/>
  <c r="S58" i="1"/>
  <c r="H8" i="1"/>
  <c r="X11" i="1" s="1"/>
  <c r="S52" i="1"/>
  <c r="S59" i="1"/>
  <c r="S57" i="1"/>
  <c r="S55" i="1"/>
  <c r="S56" i="1" l="1"/>
  <c r="S54" i="1" s="1"/>
  <c r="D15" i="1"/>
  <c r="D14" i="1" s="1"/>
  <c r="F14" i="1"/>
  <c r="F19" i="1"/>
  <c r="D8" i="1" s="1"/>
  <c r="D9" i="1" s="1"/>
  <c r="D13" i="1" l="1"/>
  <c r="W11" i="1" s="1"/>
</calcChain>
</file>

<file path=xl/comments1.xml><?xml version="1.0" encoding="utf-8"?>
<comments xmlns="http://schemas.openxmlformats.org/spreadsheetml/2006/main">
  <authors>
    <author>Bijan</author>
  </authors>
  <commentList>
    <comment ref="AP36" authorId="0" shapeId="0">
      <text>
        <r>
          <rPr>
            <b/>
            <sz val="9"/>
            <color indexed="81"/>
            <rFont val="Tahoma"/>
            <family val="2"/>
          </rPr>
          <t>Bijan:</t>
        </r>
        <r>
          <rPr>
            <sz val="9"/>
            <color indexed="81"/>
            <rFont val="Tahoma"/>
            <family val="2"/>
          </rPr>
          <t xml:space="preserve">
The data on which this formula was based, was in terms of converted photon flux at the pixel. Therefore the input to this should be the same, i.e. flux * QE.</t>
        </r>
      </text>
    </comment>
  </commentList>
</comments>
</file>

<file path=xl/sharedStrings.xml><?xml version="1.0" encoding="utf-8"?>
<sst xmlns="http://schemas.openxmlformats.org/spreadsheetml/2006/main" count="1052" uniqueCount="671">
  <si>
    <t>ph/s/m2</t>
  </si>
  <si>
    <t>Star Flux</t>
  </si>
  <si>
    <t>sec</t>
  </si>
  <si>
    <t>speed of light</t>
  </si>
  <si>
    <t>m/s</t>
  </si>
  <si>
    <t>c</t>
  </si>
  <si>
    <t>AU</t>
  </si>
  <si>
    <t>Planet SMA</t>
  </si>
  <si>
    <t>Planck constant</t>
  </si>
  <si>
    <t>J-s</t>
  </si>
  <si>
    <t>h</t>
  </si>
  <si>
    <t>mas</t>
  </si>
  <si>
    <t>Physical Constants</t>
  </si>
  <si>
    <t>mag</t>
  </si>
  <si>
    <t>V</t>
  </si>
  <si>
    <t>ppb</t>
  </si>
  <si>
    <t>E(mag)</t>
  </si>
  <si>
    <t>lambda</t>
  </si>
  <si>
    <t>E0 = 10^a    and    E(mag) = 10^(a - 0.4*mag) in W/m2/um</t>
  </si>
  <si>
    <t>bandwidth</t>
  </si>
  <si>
    <r>
      <t xml:space="preserve">*Note:   flux paramter </t>
    </r>
    <r>
      <rPr>
        <b/>
        <sz val="11"/>
        <color theme="1"/>
        <rFont val="Calibri"/>
        <family val="2"/>
        <scheme val="minor"/>
      </rPr>
      <t>a</t>
    </r>
    <r>
      <rPr>
        <sz val="10"/>
        <color theme="1"/>
        <rFont val="Calibri"/>
        <family val="2"/>
        <scheme val="minor"/>
      </rPr>
      <t xml:space="preserve"> allows smooth interpolation of flux for arbitrary bands: </t>
    </r>
  </si>
  <si>
    <t>m</t>
  </si>
  <si>
    <t>SNR</t>
  </si>
  <si>
    <t>http://www.jach.hawaii.edu/UKIRT/astronomy/calib/phot_cal/conver.html</t>
  </si>
  <si>
    <t>"Observational Astrophysics", P. Lena, pp. 91</t>
  </si>
  <si>
    <t>Q</t>
  </si>
  <si>
    <t>planet througput</t>
  </si>
  <si>
    <t>t planet</t>
  </si>
  <si>
    <t>N</t>
  </si>
  <si>
    <t>Assume collect in both polarizations</t>
  </si>
  <si>
    <t>--</t>
  </si>
  <si>
    <t>t pol</t>
  </si>
  <si>
    <t>M</t>
  </si>
  <si>
    <t>t filt</t>
  </si>
  <si>
    <t>L</t>
  </si>
  <si>
    <t>transmissions and reflections</t>
  </si>
  <si>
    <t>t refl</t>
  </si>
  <si>
    <t>K</t>
  </si>
  <si>
    <t>occ trans * PSF fraction</t>
  </si>
  <si>
    <t>t core</t>
  </si>
  <si>
    <t>H</t>
  </si>
  <si>
    <t>occulter transmission</t>
  </si>
  <si>
    <t>t occ</t>
  </si>
  <si>
    <t>J</t>
  </si>
  <si>
    <t>obscuration fraction</t>
  </si>
  <si>
    <t>t obs</t>
  </si>
  <si>
    <t>Y</t>
  </si>
  <si>
    <t>Comments</t>
  </si>
  <si>
    <t>Units</t>
  </si>
  <si>
    <t>Value</t>
  </si>
  <si>
    <t>Item</t>
  </si>
  <si>
    <t>dark current</t>
  </si>
  <si>
    <t>I</t>
  </si>
  <si>
    <t>Throughput</t>
  </si>
  <si>
    <t>read noise</t>
  </si>
  <si>
    <t>VIS</t>
  </si>
  <si>
    <t>Detector Noise</t>
  </si>
  <si>
    <t>R</t>
  </si>
  <si>
    <t>m^2</t>
  </si>
  <si>
    <t>Col. Area</t>
  </si>
  <si>
    <t>FWHM on sky (l/D)</t>
  </si>
  <si>
    <t>rad</t>
  </si>
  <si>
    <t>Diffraction Limit</t>
  </si>
  <si>
    <t>B</t>
  </si>
  <si>
    <t>Not used</t>
  </si>
  <si>
    <t>of diam</t>
  </si>
  <si>
    <t>Sec. Obsc. frac.</t>
  </si>
  <si>
    <t>U</t>
  </si>
  <si>
    <t>Diameter of PM</t>
  </si>
  <si>
    <t>Col Diam</t>
  </si>
  <si>
    <r>
      <t xml:space="preserve">a
</t>
    </r>
    <r>
      <rPr>
        <sz val="8"/>
        <color theme="1"/>
        <rFont val="Calibri"/>
        <family val="2"/>
        <scheme val="minor"/>
      </rPr>
      <t>=log10(E0)</t>
    </r>
  </si>
  <si>
    <t>Photons 
sec-1 m-2</t>
  </si>
  <si>
    <t>Phot sec-1 cm-2 nm-1</t>
  </si>
  <si>
    <t>l (mm)</t>
  </si>
  <si>
    <t>Band</t>
  </si>
  <si>
    <t>0 mag Photon Rates per spectral band (P. Lena and Joint Astronomy Centre Website)</t>
  </si>
  <si>
    <t>Telescope Parameters</t>
  </si>
  <si>
    <t>for entire integ time</t>
  </si>
  <si>
    <t>ppb/count</t>
  </si>
  <si>
    <t>per count</t>
  </si>
  <si>
    <t>Kappa</t>
  </si>
  <si>
    <t>Conversion factor for equivalent contrast</t>
  </si>
  <si>
    <t>WFIRST Coronagraph Brightness Dependent Errors</t>
  </si>
  <si>
    <t>Allocation</t>
  </si>
  <si>
    <t>NEC</t>
  </si>
  <si>
    <t>Capability</t>
  </si>
  <si>
    <t>clock ind chg</t>
  </si>
  <si>
    <t>e/pix/fr</t>
  </si>
  <si>
    <t>s</t>
  </si>
  <si>
    <t>pixels</t>
  </si>
  <si>
    <t>f_SR</t>
  </si>
  <si>
    <t>fraction of light in signal region</t>
  </si>
  <si>
    <t>limit set by cosmic rays</t>
  </si>
  <si>
    <t>e/pix/s</t>
  </si>
  <si>
    <t>Error Category</t>
  </si>
  <si>
    <t>ENF</t>
  </si>
  <si>
    <t>Spectroscopy (IFS)  Scenario</t>
  </si>
  <si>
    <t>Resolution</t>
  </si>
  <si>
    <t>R = lambda / dlam</t>
  </si>
  <si>
    <t>Requirement</t>
  </si>
  <si>
    <t>Instrument Parameters</t>
  </si>
  <si>
    <t>IFS Lensl per PSF</t>
  </si>
  <si>
    <t>lenslets</t>
  </si>
  <si>
    <t>across PSF core</t>
  </si>
  <si>
    <t>IFS Spatial Samp</t>
  </si>
  <si>
    <t>rows</t>
  </si>
  <si>
    <t>pixels in spatial dir.</t>
  </si>
  <si>
    <t>IFS Spectral Samp</t>
  </si>
  <si>
    <t>cols</t>
  </si>
  <si>
    <t>pixels / spect. Elem.</t>
  </si>
  <si>
    <t>for the IFS</t>
  </si>
  <si>
    <t>in ppb units</t>
  </si>
  <si>
    <t xml:space="preserve">correct this for B-V </t>
  </si>
  <si>
    <t>Nyquist sampled at this wavelength</t>
  </si>
  <si>
    <t>Astronomical Constants</t>
  </si>
  <si>
    <t>Msun</t>
  </si>
  <si>
    <t>pc</t>
  </si>
  <si>
    <t>how far this system is from us</t>
  </si>
  <si>
    <t>The exo system is Sun + Jupiter</t>
  </si>
  <si>
    <t>R_E</t>
  </si>
  <si>
    <t>R_J</t>
  </si>
  <si>
    <t>R_sun</t>
  </si>
  <si>
    <t>arcsec</t>
  </si>
  <si>
    <t xml:space="preserve">m </t>
  </si>
  <si>
    <t>Sun apparent size from this distance</t>
  </si>
  <si>
    <t>Jupiter is at 5 AU</t>
  </si>
  <si>
    <t>@ 65 deg</t>
  </si>
  <si>
    <t>lam/D</t>
  </si>
  <si>
    <t>at maximum separation of planet</t>
  </si>
  <si>
    <t>Planet Flux</t>
  </si>
  <si>
    <t>at the primary</t>
  </si>
  <si>
    <t>Star distance</t>
  </si>
  <si>
    <t>Star apparent mag</t>
  </si>
  <si>
    <t>Star apparent size</t>
  </si>
  <si>
    <t>Planet contrast</t>
  </si>
  <si>
    <t>Integration Time</t>
  </si>
  <si>
    <t>SNR = 1 total alloc</t>
  </si>
  <si>
    <t>Scenario - Observation Parameters</t>
  </si>
  <si>
    <t>frame exposure time</t>
  </si>
  <si>
    <t>total integration time</t>
  </si>
  <si>
    <t>Abs mag is the apparent magnitude at a distance of 10 parsecs.</t>
  </si>
  <si>
    <t>Abs Mag</t>
  </si>
  <si>
    <t>SNR target</t>
  </si>
  <si>
    <t>transmission of BW filter</t>
  </si>
  <si>
    <t>Planet Contrast</t>
  </si>
  <si>
    <t>Non-det errors</t>
  </si>
  <si>
    <t>t psf nominal</t>
  </si>
  <si>
    <t>t psf degradation</t>
  </si>
  <si>
    <t>from coronagraph</t>
  </si>
  <si>
    <t>x</t>
  </si>
  <si>
    <t>non CG psf -- check this</t>
  </si>
  <si>
    <t>coronagraphic loss</t>
  </si>
  <si>
    <t>CG loss</t>
  </si>
  <si>
    <t>Planet Shot Noise</t>
  </si>
  <si>
    <t>Zodi Shot Noise</t>
  </si>
  <si>
    <t>Speckle Shot Noise</t>
  </si>
  <si>
    <t>Exosystem Shot Noise</t>
  </si>
  <si>
    <t>e/core/s</t>
  </si>
  <si>
    <t>HLC</t>
  </si>
  <si>
    <t>Design</t>
  </si>
  <si>
    <t>SPC</t>
  </si>
  <si>
    <t>Tau Pol</t>
  </si>
  <si>
    <t>hlc-20160125_0.4mas_jitter_1.0mas_star_results.txt</t>
  </si>
  <si>
    <t>spc_20140901-1_0.4mas_jitter_results.txt</t>
  </si>
  <si>
    <t>r(lam/D)</t>
  </si>
  <si>
    <t>r(arcsec)</t>
  </si>
  <si>
    <t>contrast</t>
  </si>
  <si>
    <t>core_thput</t>
  </si>
  <si>
    <t>PSF_peak</t>
  </si>
  <si>
    <t>occ_trans</t>
  </si>
  <si>
    <t>Radius</t>
  </si>
  <si>
    <t>Intensity</t>
  </si>
  <si>
    <t>Speckle intensity at r (normalized to flux)</t>
  </si>
  <si>
    <t>Intensity/PSF_Peak</t>
  </si>
  <si>
    <t>Core Throughput</t>
  </si>
  <si>
    <t>Frac light incident on primary in FWHM of PSF centered at r</t>
  </si>
  <si>
    <t>PSF Peak Intensity</t>
  </si>
  <si>
    <t>Frac light in peak pixel of PSF centered at r &amp; normalized to flux</t>
  </si>
  <si>
    <t>PSF Area on Sky</t>
  </si>
  <si>
    <t>arcsec^2</t>
  </si>
  <si>
    <t>Area of FWHM of PSF centered at r</t>
  </si>
  <si>
    <t>Occular Transm.</t>
  </si>
  <si>
    <t>Occulter*lyot stop transmission at r</t>
  </si>
  <si>
    <t>Min Working Angle</t>
  </si>
  <si>
    <r>
      <rPr>
        <i/>
        <sz val="11"/>
        <color theme="8" tint="-0.249977111117893"/>
        <rFont val="Symbol"/>
        <family val="1"/>
        <charset val="2"/>
      </rPr>
      <t>l</t>
    </r>
    <r>
      <rPr>
        <i/>
        <sz val="11"/>
        <color theme="8" tint="-0.249977111117893"/>
        <rFont val="Calibri"/>
        <family val="2"/>
        <scheme val="minor"/>
      </rPr>
      <t>/D</t>
    </r>
  </si>
  <si>
    <t>Throughputs</t>
  </si>
  <si>
    <t>Max Working Angle</t>
  </si>
  <si>
    <r>
      <rPr>
        <sz val="12"/>
        <color theme="1"/>
        <rFont val="Symbol"/>
        <family val="1"/>
        <charset val="2"/>
      </rPr>
      <t xml:space="preserve">t </t>
    </r>
    <r>
      <rPr>
        <sz val="11"/>
        <color theme="1"/>
        <rFont val="Calibri"/>
        <family val="2"/>
        <scheme val="minor"/>
      </rPr>
      <t>reflections</t>
    </r>
  </si>
  <si>
    <t>CG intrinsic sampling</t>
  </si>
  <si>
    <r>
      <rPr>
        <i/>
        <sz val="11"/>
        <color theme="8" tint="-0.249977111117893"/>
        <rFont val="Symbol"/>
        <family val="1"/>
        <charset val="2"/>
      </rPr>
      <t>l</t>
    </r>
    <r>
      <rPr>
        <i/>
        <sz val="11"/>
        <color theme="8" tint="-0.249977111117893"/>
        <rFont val="Calibri"/>
        <family val="2"/>
        <scheme val="minor"/>
      </rPr>
      <t>/D / pix</t>
    </r>
  </si>
  <si>
    <t>sampling used by John Krist in generating CG results</t>
  </si>
  <si>
    <t>CG intrinsic mpix</t>
  </si>
  <si>
    <t>Coronagraph Parameters</t>
  </si>
  <si>
    <t>Coronagraph type</t>
  </si>
  <si>
    <t>choices are SPC and HLC</t>
  </si>
  <si>
    <t>These are taken as representative numbers</t>
  </si>
  <si>
    <t>Contrast per design</t>
  </si>
  <si>
    <t xml:space="preserve">Local Zodi </t>
  </si>
  <si>
    <t>mag/as^2</t>
  </si>
  <si>
    <t>brightness density</t>
  </si>
  <si>
    <t>Exo Zodi at 1 AU</t>
  </si>
  <si>
    <t xml:space="preserve"> as (1 AU)/sma^2</t>
  </si>
  <si>
    <t>Local Zodi rate</t>
  </si>
  <si>
    <t>ExoZodi rate</t>
  </si>
  <si>
    <t>Dl (um)</t>
  </si>
  <si>
    <t>Phot sec-1 m-2 um-1</t>
  </si>
  <si>
    <t>um</t>
  </si>
  <si>
    <t>Photon Energy</t>
  </si>
  <si>
    <t>at this wavelength</t>
  </si>
  <si>
    <r>
      <t xml:space="preserve">E0 
</t>
    </r>
    <r>
      <rPr>
        <sz val="8"/>
        <color theme="1"/>
        <rFont val="Calibri"/>
        <family val="2"/>
        <scheme val="minor"/>
      </rPr>
      <t>W m-2 um-1</t>
    </r>
  </si>
  <si>
    <t>at this lambda and BW</t>
  </si>
  <si>
    <t>0-Mag Flux @ band</t>
  </si>
  <si>
    <t>ExoZodi flux</t>
  </si>
  <si>
    <t>ph/s/m2/as2</t>
  </si>
  <si>
    <t>t zodi</t>
  </si>
  <si>
    <t>t speckle</t>
  </si>
  <si>
    <t>Star absolute mag</t>
  </si>
  <si>
    <t>Star absolute magnitude (Msun=4.83)</t>
  </si>
  <si>
    <t>Use apparent magnitude as stipulated</t>
  </si>
  <si>
    <t>Local Zodi Flux</t>
  </si>
  <si>
    <t>t psf</t>
  </si>
  <si>
    <t>PSF fraction</t>
  </si>
  <si>
    <t>2) core_thruput, PSF_peak, and occ_trans values in this table do not include the polarizer loss (bookkept separately)</t>
  </si>
  <si>
    <t>nm</t>
  </si>
  <si>
    <t>Coronagraph Contrast</t>
  </si>
  <si>
    <t>Coronagraph I_pk</t>
  </si>
  <si>
    <t>Post processing residual</t>
  </si>
  <si>
    <t>Scenario - Speckles and Post Processing</t>
  </si>
  <si>
    <t>PP effectiveness</t>
  </si>
  <si>
    <t>f_pp</t>
  </si>
  <si>
    <t>sigma(resid) / mean(raw speckle)</t>
  </si>
  <si>
    <t>e/s</t>
  </si>
  <si>
    <t>Detector budget</t>
  </si>
  <si>
    <t>Refined estimates of planet albedo courtesy of Nikole Lewis</t>
  </si>
  <si>
    <t>mjupiter</t>
  </si>
  <si>
    <t>au</t>
  </si>
  <si>
    <t>day</t>
  </si>
  <si>
    <t>deg</t>
  </si>
  <si>
    <t>jd</t>
  </si>
  <si>
    <t>cgs</t>
  </si>
  <si>
    <t>Ag =0.5</t>
  </si>
  <si>
    <t>565 nm (Band 2)</t>
  </si>
  <si>
    <t>A (α = 65 deg)</t>
  </si>
  <si>
    <t>Traub</t>
  </si>
  <si>
    <t>Savranski</t>
  </si>
  <si>
    <t>RV Prime</t>
  </si>
  <si>
    <t>NAME</t>
  </si>
  <si>
    <t>DIST</t>
  </si>
  <si>
    <t>Spec</t>
  </si>
  <si>
    <t>MSINI</t>
  </si>
  <si>
    <t>A</t>
  </si>
  <si>
    <t>Period</t>
  </si>
  <si>
    <t>Ecc</t>
  </si>
  <si>
    <t>Arg Periap</t>
  </si>
  <si>
    <t>T0</t>
  </si>
  <si>
    <t>Separation</t>
  </si>
  <si>
    <t>Stellar Flux</t>
  </si>
  <si>
    <t>Planetary Flux</t>
  </si>
  <si>
    <t>Contrast</t>
  </si>
  <si>
    <t>A (α = 0 deg)</t>
  </si>
  <si>
    <t>Traub No.</t>
  </si>
  <si>
    <t>Traub Entry</t>
  </si>
  <si>
    <t>Use Spec</t>
  </si>
  <si>
    <t>Notes</t>
  </si>
  <si>
    <t>Rp / R_E</t>
  </si>
  <si>
    <t>Rp / R_J</t>
  </si>
  <si>
    <t>Ratio</t>
  </si>
  <si>
    <t>beta Gem b</t>
  </si>
  <si>
    <t>K0IIIb</t>
  </si>
  <si>
    <t>HD62509</t>
  </si>
  <si>
    <t>k0v</t>
  </si>
  <si>
    <t>aka Pollux b, aka HD 62509 b</t>
  </si>
  <si>
    <t>gamma Cep b</t>
  </si>
  <si>
    <t>K1IV</t>
  </si>
  <si>
    <t>HR8974</t>
  </si>
  <si>
    <t>HD 147513 b</t>
  </si>
  <si>
    <t>G5V</t>
  </si>
  <si>
    <t>HD147513</t>
  </si>
  <si>
    <t>g5v</t>
  </si>
  <si>
    <t>HD 192310 c</t>
  </si>
  <si>
    <t>K2+V</t>
  </si>
  <si>
    <t>HD192310</t>
  </si>
  <si>
    <t>A Neptune (per Nikole Lewis)</t>
  </si>
  <si>
    <t>upsilon And d</t>
  </si>
  <si>
    <t>F9V</t>
  </si>
  <si>
    <t>HD9826</t>
  </si>
  <si>
    <t>f5v</t>
  </si>
  <si>
    <t>I have removed upsilon And e from list given questionable nature</t>
  </si>
  <si>
    <t>epsilon Eri b</t>
  </si>
  <si>
    <t>K2Vk:</t>
  </si>
  <si>
    <t>HD22049</t>
  </si>
  <si>
    <t>47 UMa b</t>
  </si>
  <si>
    <t>G1V</t>
  </si>
  <si>
    <t>47Uma</t>
  </si>
  <si>
    <t>g0v</t>
  </si>
  <si>
    <t>HD 10647 b</t>
  </si>
  <si>
    <t>HD10647</t>
  </si>
  <si>
    <t>47 UMa c</t>
  </si>
  <si>
    <t>HD 39091 b</t>
  </si>
  <si>
    <t>G0V</t>
  </si>
  <si>
    <t>HD39091</t>
  </si>
  <si>
    <t>HD 114613 b</t>
  </si>
  <si>
    <t>G3IV</t>
  </si>
  <si>
    <t>HD 114613</t>
  </si>
  <si>
    <t>HD 128311 c</t>
  </si>
  <si>
    <t>K3V</t>
  </si>
  <si>
    <t>HD128311</t>
  </si>
  <si>
    <t>k5v</t>
  </si>
  <si>
    <t>Gliese 777 b</t>
  </si>
  <si>
    <t>G7IV-V</t>
  </si>
  <si>
    <t>HD190360</t>
  </si>
  <si>
    <t>mu Ara e</t>
  </si>
  <si>
    <t>G3IV-V</t>
  </si>
  <si>
    <t>HD160691</t>
  </si>
  <si>
    <t>aka HD 160691 e</t>
  </si>
  <si>
    <t>14 Her b</t>
  </si>
  <si>
    <t>K0V</t>
  </si>
  <si>
    <t>14 Her</t>
  </si>
  <si>
    <t>HD 89307 b</t>
  </si>
  <si>
    <t>HD89307</t>
  </si>
  <si>
    <t>55 Cnc d</t>
  </si>
  <si>
    <t>G8V</t>
  </si>
  <si>
    <t>55Cnc</t>
  </si>
  <si>
    <t>HD 70642 b</t>
  </si>
  <si>
    <t>G6VCN+0.5</t>
  </si>
  <si>
    <t>HD70642</t>
  </si>
  <si>
    <t>HD 217107 c</t>
  </si>
  <si>
    <t>G8IV</t>
  </si>
  <si>
    <t>HD217107</t>
  </si>
  <si>
    <t>HD 154345 b</t>
  </si>
  <si>
    <t>HD154345</t>
  </si>
  <si>
    <t>HD 117207 b</t>
  </si>
  <si>
    <t>HD117207</t>
  </si>
  <si>
    <t>HD 134987 c</t>
  </si>
  <si>
    <t>G6IV-V</t>
  </si>
  <si>
    <t>HD134987</t>
  </si>
  <si>
    <t>HD 87883 b</t>
  </si>
  <si>
    <t>HD87883</t>
  </si>
  <si>
    <t>HD 222155 b</t>
  </si>
  <si>
    <t>G0</t>
  </si>
  <si>
    <t>HD222155</t>
  </si>
  <si>
    <t>HD 181433 d</t>
  </si>
  <si>
    <t>K3III-IV</t>
  </si>
  <si>
    <t>HD181433</t>
  </si>
  <si>
    <t>HD 24040 b</t>
  </si>
  <si>
    <t>HD24040</t>
  </si>
  <si>
    <t>HD 13931 b</t>
  </si>
  <si>
    <t>HD13931</t>
  </si>
  <si>
    <t>HD 187123 c</t>
  </si>
  <si>
    <t>G5</t>
  </si>
  <si>
    <t>HD187123</t>
  </si>
  <si>
    <t>GJ 832 b</t>
  </si>
  <si>
    <t>M1.5</t>
  </si>
  <si>
    <t>GJ832</t>
  </si>
  <si>
    <t>m0v</t>
  </si>
  <si>
    <t>HD 30562 b</t>
  </si>
  <si>
    <t>F8V</t>
  </si>
  <si>
    <t>HD30562</t>
  </si>
  <si>
    <t>HD 142 c</t>
  </si>
  <si>
    <t>F7V</t>
  </si>
  <si>
    <t>HD142</t>
  </si>
  <si>
    <t>nu Oph c</t>
  </si>
  <si>
    <t>G9III</t>
  </si>
  <si>
    <t>HD163917</t>
  </si>
  <si>
    <t>calling this a planet is probably a bit of a stretch</t>
  </si>
  <si>
    <t>psi Dra B b</t>
  </si>
  <si>
    <t>F5IV</t>
  </si>
  <si>
    <t>psi Dra B</t>
  </si>
  <si>
    <t>any concerns about binary star system?</t>
  </si>
  <si>
    <t>HD 169830 c</t>
  </si>
  <si>
    <t>HD169830</t>
  </si>
  <si>
    <t>Planet Albedo</t>
  </si>
  <si>
    <t>Geometric Albedo x phase function</t>
  </si>
  <si>
    <t>Planet Radius</t>
  </si>
  <si>
    <t>R_jupiter</t>
  </si>
  <si>
    <t>Integration time</t>
  </si>
  <si>
    <t>derived from days</t>
  </si>
  <si>
    <t>Observational Scenario Parameters</t>
  </si>
  <si>
    <t>Scenario - Planet - Derived</t>
  </si>
  <si>
    <t>Scenario - Exo and local Zodi - Derived</t>
  </si>
  <si>
    <t>Detector QE</t>
  </si>
  <si>
    <t xml:space="preserve">Photon counting Eff. </t>
  </si>
  <si>
    <t>Fraction of Mission Life</t>
  </si>
  <si>
    <t>BOL = 0%, EOL = 100%</t>
  </si>
  <si>
    <t>Detector Parameters</t>
  </si>
  <si>
    <t>BOL</t>
  </si>
  <si>
    <t>EOL</t>
  </si>
  <si>
    <t>Read Noise CBE</t>
  </si>
  <si>
    <t>Dark Current CBE</t>
  </si>
  <si>
    <t>Clk. Ind. Charge (CIC) CBE</t>
  </si>
  <si>
    <t>Best estimate of pefrormance at beginning and End of Life</t>
  </si>
  <si>
    <t>to EOL</t>
  </si>
  <si>
    <t>of Life</t>
  </si>
  <si>
    <t>Scenario</t>
  </si>
  <si>
    <t>BW</t>
  </si>
  <si>
    <t>Focal Plane Type</t>
  </si>
  <si>
    <t>Custom</t>
  </si>
  <si>
    <t>Imaging</t>
  </si>
  <si>
    <t>Imaging 1</t>
  </si>
  <si>
    <t>Imaging 2</t>
  </si>
  <si>
    <t>IFS 1</t>
  </si>
  <si>
    <t>IFS</t>
  </si>
  <si>
    <t>IFS 2</t>
  </si>
  <si>
    <t>IFS 3</t>
  </si>
  <si>
    <t>Mission Life</t>
  </si>
  <si>
    <t>FP type</t>
  </si>
  <si>
    <t>f_sr</t>
  </si>
  <si>
    <t>mpix</t>
  </si>
  <si>
    <t>Focal Plane Attributes</t>
  </si>
  <si>
    <t>per Core</t>
  </si>
  <si>
    <t xml:space="preserve">fraction of </t>
  </si>
  <si>
    <t>units</t>
  </si>
  <si>
    <t xml:space="preserve">no. of pixels contributing to ROI for SNR computation </t>
  </si>
  <si>
    <r>
      <t xml:space="preserve">Critical  </t>
    </r>
    <r>
      <rPr>
        <sz val="12"/>
        <color theme="1"/>
        <rFont val="Symbol"/>
        <family val="1"/>
        <charset val="2"/>
      </rPr>
      <t>l</t>
    </r>
  </si>
  <si>
    <r>
      <rPr>
        <i/>
        <sz val="11"/>
        <color theme="4" tint="-0.499984740745262"/>
        <rFont val="Symbol"/>
        <family val="1"/>
        <charset val="2"/>
      </rPr>
      <t>(l</t>
    </r>
    <r>
      <rPr>
        <i/>
        <sz val="11"/>
        <color theme="4" tint="-0.499984740745262"/>
        <rFont val="Calibri"/>
        <family val="2"/>
        <scheme val="minor"/>
      </rPr>
      <t>/D) /pix</t>
    </r>
  </si>
  <si>
    <t>Focal Plane Sampling</t>
  </si>
  <si>
    <t>pixels in SNR region</t>
  </si>
  <si>
    <t>Instrument Mode:</t>
  </si>
  <si>
    <t>Target System:</t>
  </si>
  <si>
    <t>Star ph/s</t>
  </si>
  <si>
    <t>Star-planet Separation</t>
  </si>
  <si>
    <t>Sep (mas)</t>
  </si>
  <si>
    <t>Area of input aperture (or unobsc. PM)</t>
  </si>
  <si>
    <t xml:space="preserve">Zodi per SA into Aper. </t>
  </si>
  <si>
    <t>ph/s/as2</t>
  </si>
  <si>
    <t>Coronagraph</t>
  </si>
  <si>
    <t>Thresh. Pl. 1</t>
  </si>
  <si>
    <t>Baseline Pl.  2</t>
  </si>
  <si>
    <t>Baseline Pl.  3</t>
  </si>
  <si>
    <t>Pl. Name</t>
  </si>
  <si>
    <r>
      <t>l</t>
    </r>
    <r>
      <rPr>
        <sz val="12"/>
        <color theme="1"/>
        <rFont val="Calibri"/>
        <family val="2"/>
        <scheme val="minor"/>
      </rPr>
      <t>, nm</t>
    </r>
  </si>
  <si>
    <r>
      <t>Dl</t>
    </r>
    <r>
      <rPr>
        <sz val="12"/>
        <color theme="1"/>
        <rFont val="Calibri"/>
        <family val="2"/>
        <scheme val="minor"/>
      </rPr>
      <t>, nm</t>
    </r>
  </si>
  <si>
    <t>Mode</t>
  </si>
  <si>
    <t>SNR requested</t>
  </si>
  <si>
    <t>CG</t>
  </si>
  <si>
    <t>Vmag</t>
  </si>
  <si>
    <t>effective read noise</t>
  </si>
  <si>
    <t>No.</t>
  </si>
  <si>
    <t>Basic Multi2 DD</t>
  </si>
  <si>
    <t>Astro Multi2 std Si</t>
  </si>
  <si>
    <t>Basic Multi2 std Si</t>
  </si>
  <si>
    <t>Astro Midband DD</t>
  </si>
  <si>
    <t>Basic NIR DD</t>
  </si>
  <si>
    <t xml:space="preserve"> Astro Multi2 DD</t>
  </si>
  <si>
    <t>QE Coating Selected</t>
  </si>
  <si>
    <r>
      <rPr>
        <sz val="10"/>
        <rFont val="Symbol"/>
        <family val="1"/>
        <charset val="2"/>
      </rPr>
      <t>l</t>
    </r>
    <r>
      <rPr>
        <sz val="10"/>
        <rFont val="Arial"/>
        <family val="2"/>
      </rPr>
      <t>, nm</t>
    </r>
  </si>
  <si>
    <t>Basic Midband Std Si</t>
  </si>
  <si>
    <t>Planets Observable In The Selected Mode</t>
  </si>
  <si>
    <t>Zodi /s/as2</t>
  </si>
  <si>
    <t>Thresh. 47 Umc</t>
  </si>
  <si>
    <t>Margin</t>
  </si>
  <si>
    <t>Achieved is over the entire area</t>
  </si>
  <si>
    <t xml:space="preserve">need to scale properly </t>
  </si>
  <si>
    <t>noise rate (var/time)</t>
  </si>
  <si>
    <t>e/SR/s</t>
  </si>
  <si>
    <t>e-/s per SNR region</t>
  </si>
  <si>
    <t>hrs</t>
  </si>
  <si>
    <t>t integ, hrs</t>
  </si>
  <si>
    <t>Zodi bkg rate</t>
  </si>
  <si>
    <t>speckle bkg rate</t>
  </si>
  <si>
    <t>Photon Counting has No ENF!</t>
  </si>
  <si>
    <t>Planet SMA WA</t>
  </si>
  <si>
    <t>Dark Hole IWA</t>
  </si>
  <si>
    <t>Dark Hole OWA</t>
  </si>
  <si>
    <t>Planet Observing WA</t>
  </si>
  <si>
    <r>
      <t xml:space="preserve">Diffraction Limit   </t>
    </r>
    <r>
      <rPr>
        <sz val="11"/>
        <color theme="1"/>
        <rFont val="Symbol"/>
        <family val="1"/>
        <charset val="2"/>
      </rPr>
      <t>l</t>
    </r>
    <r>
      <rPr>
        <sz val="11"/>
        <color theme="1"/>
        <rFont val="Calibri"/>
        <family val="2"/>
        <scheme val="minor"/>
      </rPr>
      <t>/D</t>
    </r>
  </si>
  <si>
    <t>If &gt; OWA observe when  80% to OWA</t>
  </si>
  <si>
    <t>separation at obervation (not nec. SMA)</t>
  </si>
  <si>
    <r>
      <t>WA (</t>
    </r>
    <r>
      <rPr>
        <sz val="11"/>
        <color theme="1"/>
        <rFont val="Symbol"/>
        <family val="1"/>
        <charset val="2"/>
      </rPr>
      <t>l</t>
    </r>
    <r>
      <rPr>
        <sz val="11"/>
        <color theme="1"/>
        <rFont val="Calibri"/>
        <family val="2"/>
        <scheme val="minor"/>
      </rPr>
      <t>/D)</t>
    </r>
  </si>
  <si>
    <t>planet ph/s</t>
  </si>
  <si>
    <t>Time to SNR</t>
  </si>
  <si>
    <t>Time Margin</t>
  </si>
  <si>
    <t>tSNRraw</t>
  </si>
  <si>
    <t>Error Margin</t>
  </si>
  <si>
    <t>time, hrs</t>
  </si>
  <si>
    <t>Fl Ratio, ppb</t>
  </si>
  <si>
    <t>nm  --   Quantum efficiency at this wavelength</t>
  </si>
  <si>
    <t>Threshold</t>
  </si>
  <si>
    <t>Planets</t>
  </si>
  <si>
    <t xml:space="preserve">planet shot </t>
  </si>
  <si>
    <t>speckle shot</t>
  </si>
  <si>
    <t>zodi shot</t>
  </si>
  <si>
    <t>CIC noise</t>
  </si>
  <si>
    <t>Time Margin Threshold</t>
  </si>
  <si>
    <t>No. of planets above the time margin threshold</t>
  </si>
  <si>
    <t>dark noise</t>
  </si>
  <si>
    <t xml:space="preserve">tot noise var rate </t>
  </si>
  <si>
    <t>Variance rates for det. noise sources</t>
  </si>
  <si>
    <t>CBE</t>
  </si>
  <si>
    <t>For relative comparison only</t>
  </si>
  <si>
    <t>Many assumptions have been made</t>
  </si>
  <si>
    <t>Scheduling can help, but orbital phases unknown</t>
  </si>
  <si>
    <t>e.g. 8 yr orbit in 1st 3 yrs has 3/8 probability</t>
  </si>
  <si>
    <t>Rates</t>
  </si>
  <si>
    <t>planet</t>
  </si>
  <si>
    <t>Speckle</t>
  </si>
  <si>
    <t>Zodi</t>
  </si>
  <si>
    <t>dark</t>
  </si>
  <si>
    <t>CIC</t>
  </si>
  <si>
    <t>s frame time</t>
  </si>
  <si>
    <t>Total count rate and error variance rates (fractional)</t>
  </si>
  <si>
    <t>assuming</t>
  </si>
  <si>
    <t>QE at chosen Epoch</t>
  </si>
  <si>
    <t>Interpolated between BOL &amp; EOL</t>
  </si>
  <si>
    <r>
      <t xml:space="preserve">Center </t>
    </r>
    <r>
      <rPr>
        <sz val="12"/>
        <rFont val="Symbol"/>
        <family val="1"/>
        <charset val="2"/>
      </rPr>
      <t>l</t>
    </r>
    <r>
      <rPr>
        <sz val="11"/>
        <rFont val="Calibri"/>
        <family val="2"/>
        <scheme val="minor"/>
      </rPr>
      <t xml:space="preserve">,nm </t>
    </r>
  </si>
  <si>
    <t>Read Noise at epoch</t>
  </si>
  <si>
    <t>Dark Current at epoch</t>
  </si>
  <si>
    <t>CIC at epoch</t>
  </si>
  <si>
    <t>dark+planet+speckle+zodi</t>
  </si>
  <si>
    <t>per pix pre frame before transfer</t>
  </si>
  <si>
    <t>Net charge transfer eff.</t>
  </si>
  <si>
    <t>1k pix</t>
  </si>
  <si>
    <t>loss after all the transfers not per pixel as in conventional CTE</t>
  </si>
  <si>
    <t>at pixels, before charge transfer</t>
  </si>
  <si>
    <t>after charge transfer</t>
  </si>
  <si>
    <t>Planet conversion rate</t>
  </si>
  <si>
    <t>planet signal rate</t>
  </si>
  <si>
    <t>total per pixel ph rate</t>
  </si>
  <si>
    <t>planet + speckle + zodi</t>
  </si>
  <si>
    <t>Planet Yield</t>
  </si>
  <si>
    <t>t (SNR), hrs</t>
  </si>
  <si>
    <t>hrs max time / planet</t>
  </si>
  <si>
    <t>hrs total integ time</t>
  </si>
  <si>
    <t xml:space="preserve">Assuming time margin threshold of: </t>
  </si>
  <si>
    <t>Mission life, years elapsed</t>
  </si>
  <si>
    <t>t_alloc (hrs)</t>
  </si>
  <si>
    <t>no entry for GJ 832 b replaced by 0.2222….</t>
  </si>
  <si>
    <t xml:space="preserve">Yield for the first 2 IFS channels vs. SNR  </t>
  </si>
  <si>
    <t>Detector total noise in 100 s frame</t>
  </si>
  <si>
    <t xml:space="preserve">read noise </t>
  </si>
  <si>
    <t>s frame</t>
  </si>
  <si>
    <t>total noise</t>
  </si>
  <si>
    <t>photo-converted rate</t>
  </si>
  <si>
    <t>ph-converted 1 frame</t>
  </si>
  <si>
    <t>ph/s</t>
  </si>
  <si>
    <t>IFS photons per pixel</t>
  </si>
  <si>
    <t>Imager photons per pixel</t>
  </si>
  <si>
    <t>photons into air disk on camera</t>
  </si>
  <si>
    <t>Core throughput</t>
  </si>
  <si>
    <t>Reflections, filter, polarizer</t>
  </si>
  <si>
    <t>Central and strut obscurations</t>
  </si>
  <si>
    <t>Planet Photons</t>
  </si>
  <si>
    <t>Example: 47 Uma c, FR = 8e-9</t>
  </si>
  <si>
    <t>Signal</t>
  </si>
  <si>
    <t>e-</t>
  </si>
  <si>
    <t>Shot noise</t>
  </si>
  <si>
    <t>integ Time</t>
  </si>
  <si>
    <t xml:space="preserve">SNR = </t>
  </si>
  <si>
    <t>Elec Noise</t>
  </si>
  <si>
    <t>resid. Speckle</t>
  </si>
  <si>
    <t>All Noise</t>
  </si>
  <si>
    <t>Summary of the contributions to SNR</t>
  </si>
  <si>
    <t>settings, with</t>
  </si>
  <si>
    <t>pix/SR</t>
  </si>
  <si>
    <t>&lt;- example system</t>
  </si>
  <si>
    <t>HLC_Coronagraph</t>
  </si>
  <si>
    <t>SPC_Coronagraph</t>
  </si>
  <si>
    <t>Name</t>
  </si>
  <si>
    <t>Sampling</t>
  </si>
  <si>
    <t>HLC_CG</t>
  </si>
  <si>
    <t>SPC_CG</t>
  </si>
  <si>
    <t>Coronagraph Summary Data</t>
  </si>
  <si>
    <r>
      <rPr>
        <sz val="12"/>
        <rFont val="Symbol"/>
        <family val="1"/>
        <charset val="2"/>
      </rPr>
      <t xml:space="preserve">t </t>
    </r>
    <r>
      <rPr>
        <sz val="11"/>
        <rFont val="Calibri"/>
        <family val="2"/>
        <scheme val="minor"/>
      </rPr>
      <t>polarizer Included</t>
    </r>
  </si>
  <si>
    <t>This is the factor pre-applied in the CG table</t>
  </si>
  <si>
    <t>Unused</t>
  </si>
  <si>
    <t>SNR for NEFR</t>
  </si>
  <si>
    <t>For NEFR (xi_eq), set SNR = 1</t>
  </si>
  <si>
    <t>Date</t>
  </si>
  <si>
    <t>Version</t>
  </si>
  <si>
    <t>Who</t>
  </si>
  <si>
    <t>B Nemati</t>
  </si>
  <si>
    <t>This is the version that was briefed in the tutorial held on this date - rev. 535</t>
  </si>
  <si>
    <t xml:space="preserve">max CTE should be 1 </t>
  </si>
  <si>
    <t>MT IWA</t>
  </si>
  <si>
    <t>Integ Time</t>
  </si>
  <si>
    <t>rand noise</t>
  </si>
  <si>
    <t>res. Speckle.</t>
  </si>
  <si>
    <t>resid. Spckle</t>
  </si>
  <si>
    <t>Star Vmag</t>
  </si>
  <si>
    <t>Pl. Separation</t>
  </si>
  <si>
    <t>tot. noise</t>
  </si>
  <si>
    <t xml:space="preserve">e- </t>
  </si>
  <si>
    <t xml:space="preserve">Min. Flux Ratio Observable </t>
  </si>
  <si>
    <t xml:space="preserve">For this star, and this setting, </t>
  </si>
  <si>
    <t>Noise Equivalent Flux Ratio (NEFR) Parameters</t>
  </si>
  <si>
    <t>NEFR</t>
  </si>
  <si>
    <t>Pl. Wrk. Angle</t>
  </si>
  <si>
    <t>minimum</t>
  </si>
  <si>
    <t>Sep. (mas)</t>
  </si>
  <si>
    <t>Summary table:</t>
  </si>
  <si>
    <t>Imag Base 2.2</t>
  </si>
  <si>
    <t>Imag Goal 2.2</t>
  </si>
  <si>
    <t>set planet to</t>
  </si>
  <si>
    <t>integ = 48 hrs</t>
  </si>
  <si>
    <t>f_pp=10%</t>
  </si>
  <si>
    <t>mission=10%</t>
  </si>
  <si>
    <t>CG=goal</t>
  </si>
  <si>
    <t>Delta</t>
  </si>
  <si>
    <t>n_pl</t>
  </si>
  <si>
    <t>As defined</t>
  </si>
  <si>
    <t>from</t>
  </si>
  <si>
    <t>to</t>
  </si>
  <si>
    <t>Baseline</t>
  </si>
  <si>
    <t>Goal</t>
  </si>
  <si>
    <t>CGI L3 2.2 20170131</t>
  </si>
  <si>
    <t>ann. Area</t>
  </si>
  <si>
    <t>Mn. Contrast</t>
  </si>
  <si>
    <t>from (lam/D)</t>
  </si>
  <si>
    <t>to (lam/D)</t>
  </si>
  <si>
    <t>delta r</t>
  </si>
  <si>
    <t>Baseline 2.2</t>
  </si>
  <si>
    <t>Goal 2.2</t>
  </si>
  <si>
    <t>C Base</t>
  </si>
  <si>
    <t>C Goal</t>
  </si>
  <si>
    <t>t core base</t>
  </si>
  <si>
    <t>t core goal</t>
  </si>
  <si>
    <t>Target values</t>
  </si>
  <si>
    <t>1X</t>
  </si>
  <si>
    <t>2X</t>
  </si>
  <si>
    <t>HLC/Imaging</t>
  </si>
  <si>
    <t>Calculating the modified contrast tables for baseline and goal</t>
  </si>
  <si>
    <t>CGI L3 2.5 20170131</t>
  </si>
  <si>
    <t>Goal 2.5</t>
  </si>
  <si>
    <t>660 nm</t>
  </si>
  <si>
    <t>770 nm</t>
  </si>
  <si>
    <t>565 nm</t>
  </si>
  <si>
    <t>SPC/IFS</t>
  </si>
  <si>
    <t>C_Goal_660</t>
  </si>
  <si>
    <t>C_Goal_770</t>
  </si>
  <si>
    <t>Core Thruput</t>
  </si>
  <si>
    <t>Orig t_core</t>
  </si>
  <si>
    <t>IFS1 Goal 2.5</t>
  </si>
  <si>
    <t>IFS 2 Goal 2.5</t>
  </si>
  <si>
    <t>C Base L3</t>
  </si>
  <si>
    <t>C Goal L3</t>
  </si>
  <si>
    <t>CGI L3 2.2 Imaging</t>
  </si>
  <si>
    <t>Goal 2.2 565 nm</t>
  </si>
  <si>
    <t>Baseline 2.2 565 nm</t>
  </si>
  <si>
    <t>Strictly following the L3 requirements</t>
  </si>
  <si>
    <t>L3 requirements</t>
  </si>
  <si>
    <t>CGI L3 2.5 IFS</t>
  </si>
  <si>
    <t>Goal 2.5 IFS 660 nm</t>
  </si>
  <si>
    <t>Goal 2.5 IFS 770 nm</t>
  </si>
  <si>
    <t>G25_FIT_660</t>
  </si>
  <si>
    <t>G25_FIT_770</t>
  </si>
  <si>
    <t>G25_REQ_660</t>
  </si>
  <si>
    <t>G25_REQ_770</t>
  </si>
  <si>
    <t>B22_REQ_565</t>
  </si>
  <si>
    <t>G22_REQ_565</t>
  </si>
  <si>
    <t>B22_FIT_565</t>
  </si>
  <si>
    <t>G22_FIT_565</t>
  </si>
  <si>
    <t>G2.5Req660</t>
  </si>
  <si>
    <t>G2.5Req770</t>
  </si>
  <si>
    <t>B2.2Fit565</t>
  </si>
  <si>
    <t>G2.2Fit565</t>
  </si>
  <si>
    <t>G2.5Fit660</t>
  </si>
  <si>
    <t>G2.5Fit770</t>
  </si>
  <si>
    <t>B2.2Req565</t>
  </si>
  <si>
    <t>G2.2Req565</t>
  </si>
  <si>
    <t>mission=0%</t>
  </si>
  <si>
    <t>integ = 400 hrs</t>
  </si>
  <si>
    <t>SNR = 10</t>
  </si>
  <si>
    <t>f_pp=5%</t>
  </si>
  <si>
    <t>mission=80%</t>
  </si>
  <si>
    <t>mean contrast</t>
  </si>
  <si>
    <t>pixels within PSF core assuming intrinsic sampling</t>
  </si>
  <si>
    <t>Area(arcsec^2)</t>
  </si>
  <si>
    <t>urad</t>
  </si>
  <si>
    <t>QEcurves</t>
  </si>
  <si>
    <t>Noecker</t>
  </si>
  <si>
    <t>Deleted obsolete variable names, moved all necessary tables to BDE sheet, deleted excess sheets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</si>
</sst>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0.000"/>
    <numFmt numFmtId="165" formatCode="0.0E+00"/>
    <numFmt numFmtId="166" formatCode="0.0"/>
    <numFmt numFmtId="167" formatCode="0.0%"/>
    <numFmt numFmtId="168" formatCode="_(* #,##0_);_(* \(#,##0\);_(* &quot;-&quot;??_);_(@_)"/>
    <numFmt numFmtId="169" formatCode="0.0000"/>
    <numFmt numFmtId="170" formatCode="0.00000"/>
    <numFmt numFmtId="171" formatCode="0.0000E+00"/>
  </numFmts>
  <fonts count="1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rgb="FF0070C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6"/>
      <color theme="4" tint="0.79998168889431442"/>
      <name val="Calibri"/>
      <family val="2"/>
      <scheme val="minor"/>
    </font>
    <font>
      <i/>
      <sz val="11"/>
      <color theme="9" tint="-0.249977111117893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b/>
      <sz val="11"/>
      <color theme="4" tint="0.7999816888943144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sz val="10"/>
      <color theme="7" tint="0.79998168889431442"/>
      <name val="Calibri"/>
      <family val="2"/>
      <scheme val="minor"/>
    </font>
    <font>
      <i/>
      <sz val="10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6"/>
      <color rgb="FF7030A0"/>
      <name val="Calibri"/>
      <family val="2"/>
      <scheme val="minor"/>
    </font>
    <font>
      <sz val="12"/>
      <color theme="1"/>
      <name val="Symbol"/>
      <family val="1"/>
      <charset val="2"/>
    </font>
    <font>
      <b/>
      <sz val="20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4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i/>
      <sz val="11"/>
      <color theme="8" tint="-0.249977111117893"/>
      <name val="Calibri"/>
      <family val="2"/>
      <scheme val="minor"/>
    </font>
    <font>
      <b/>
      <i/>
      <sz val="11"/>
      <color theme="9" tint="-0.499984740745262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i/>
      <sz val="11"/>
      <color theme="8" tint="-0.249977111117893"/>
      <name val="Symbol"/>
      <family val="1"/>
      <charset val="2"/>
    </font>
    <font>
      <b/>
      <i/>
      <sz val="16"/>
      <color theme="4" tint="0.79998168889431442"/>
      <name val="Calibri"/>
      <family val="2"/>
      <scheme val="minor"/>
    </font>
    <font>
      <i/>
      <sz val="10"/>
      <color theme="9" tint="-0.249977111117893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rgb="FF9C650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i/>
      <sz val="11"/>
      <color theme="5" tint="-0.499984740745262"/>
      <name val="Calibri"/>
      <family val="2"/>
      <scheme val="minor"/>
    </font>
    <font>
      <b/>
      <i/>
      <sz val="11"/>
      <color theme="5" tint="-0.499984740745262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6"/>
      <color theme="9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4" tint="-0.499984740745262"/>
      <name val="Calibri"/>
      <family val="2"/>
      <scheme val="minor"/>
    </font>
    <font>
      <i/>
      <sz val="11"/>
      <color theme="4" tint="-0.499984740745262"/>
      <name val="Symbol"/>
      <family val="1"/>
      <charset val="2"/>
    </font>
    <font>
      <i/>
      <sz val="11"/>
      <color theme="4" tint="-0.499984740745262"/>
      <name val="Calibri"/>
      <family val="1"/>
      <charset val="2"/>
      <scheme val="minor"/>
    </font>
    <font>
      <sz val="11"/>
      <color rgb="FF0061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 tint="0.3999755851924192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6"/>
      <color theme="7" tint="-0.499984740745262"/>
      <name val="Calibri"/>
      <family val="2"/>
      <scheme val="minor"/>
    </font>
    <font>
      <sz val="10"/>
      <name val="Arial"/>
      <family val="2"/>
    </font>
    <font>
      <sz val="10"/>
      <name val="Symbol"/>
      <family val="1"/>
      <charset val="2"/>
    </font>
    <font>
      <sz val="11"/>
      <color rgb="FF9C0006"/>
      <name val="Calibri"/>
      <family val="2"/>
      <scheme val="minor"/>
    </font>
    <font>
      <sz val="11"/>
      <color theme="7"/>
      <name val="Calibri"/>
      <family val="2"/>
      <scheme val="minor"/>
    </font>
    <font>
      <b/>
      <sz val="16"/>
      <color theme="7" tint="-0.249977111117893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2"/>
      <name val="Symbol"/>
      <family val="1"/>
      <charset val="2"/>
    </font>
    <font>
      <sz val="11"/>
      <color theme="1"/>
      <name val="Symbol"/>
      <family val="1"/>
      <charset val="2"/>
    </font>
    <font>
      <sz val="11"/>
      <color theme="4" tint="0.59999389629810485"/>
      <name val="Calibri"/>
      <family val="2"/>
      <scheme val="minor"/>
    </font>
    <font>
      <b/>
      <sz val="11"/>
      <color rgb="FF6666FF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i/>
      <sz val="11"/>
      <color theme="2" tint="-9.9978637043366805E-2"/>
      <name val="Calibri"/>
      <family val="2"/>
      <scheme val="minor"/>
    </font>
    <font>
      <b/>
      <sz val="11"/>
      <color theme="2" tint="-9.9978637043366805E-2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4"/>
      <color theme="2" tint="-9.9978637043366805E-2"/>
      <name val="Calibri"/>
      <family val="2"/>
      <scheme val="minor"/>
    </font>
    <font>
      <i/>
      <sz val="11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sz val="10"/>
      <color theme="4" tint="-0.249977111117893"/>
      <name val="Arial"/>
      <family val="2"/>
    </font>
    <font>
      <b/>
      <sz val="10"/>
      <color theme="4" tint="-0.249977111117893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1"/>
      <charset val="2"/>
      <scheme val="minor"/>
    </font>
    <font>
      <b/>
      <sz val="14"/>
      <color theme="1"/>
      <name val="Calibri"/>
      <family val="2"/>
      <scheme val="minor"/>
    </font>
    <font>
      <sz val="20"/>
      <color theme="9"/>
      <name val="Calibri"/>
      <family val="2"/>
      <scheme val="minor"/>
    </font>
    <font>
      <sz val="11"/>
      <color theme="2"/>
      <name val="Calibri"/>
      <family val="2"/>
      <scheme val="minor"/>
    </font>
    <font>
      <i/>
      <sz val="11"/>
      <color theme="4" tint="0.59999389629810485"/>
      <name val="Calibri"/>
      <family val="2"/>
      <scheme val="minor"/>
    </font>
    <font>
      <b/>
      <sz val="11"/>
      <color theme="4" tint="0.3999755851924192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8"/>
      <color rgb="FF9C65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7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5FFD5"/>
        <bgColor indexed="64"/>
      </patternFill>
    </fill>
    <fill>
      <patternFill patternType="solid">
        <fgColor theme="8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1" fillId="3" borderId="2" applyNumberFormat="0" applyFont="0" applyAlignment="0" applyProtection="0"/>
    <xf numFmtId="43" fontId="1" fillId="0" borderId="0" applyFont="0" applyFill="0" applyBorder="0" applyAlignment="0" applyProtection="0"/>
    <xf numFmtId="0" fontId="4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2" fillId="16" borderId="0" applyNumberFormat="0" applyBorder="0" applyAlignment="0" applyProtection="0"/>
    <xf numFmtId="0" fontId="65" fillId="17" borderId="1" applyNumberFormat="0" applyAlignment="0" applyProtection="0"/>
    <xf numFmtId="0" fontId="70" fillId="18" borderId="0" applyNumberFormat="0" applyBorder="0" applyAlignment="0" applyProtection="0"/>
    <xf numFmtId="0" fontId="76" fillId="0" borderId="0"/>
    <xf numFmtId="0" fontId="78" fillId="21" borderId="0" applyNumberFormat="0" applyBorder="0" applyAlignment="0" applyProtection="0"/>
    <xf numFmtId="0" fontId="35" fillId="23" borderId="0" applyNumberFormat="0" applyBorder="0" applyAlignment="0" applyProtection="0"/>
    <xf numFmtId="0" fontId="35" fillId="27" borderId="0" applyNumberFormat="0" applyBorder="0" applyAlignment="0" applyProtection="0"/>
    <xf numFmtId="0" fontId="35" fillId="34" borderId="0" applyNumberFormat="0" applyBorder="0" applyAlignment="0" applyProtection="0"/>
  </cellStyleXfs>
  <cellXfs count="670">
    <xf numFmtId="0" fontId="0" fillId="0" borderId="0" xfId="0"/>
    <xf numFmtId="0" fontId="5" fillId="0" borderId="0" xfId="0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0" fontId="5" fillId="4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7" fillId="0" borderId="11" xfId="0" applyNumberFormat="1" applyFont="1" applyBorder="1" applyAlignment="1">
      <alignment horizontal="center" vertical="center"/>
    </xf>
    <xf numFmtId="11" fontId="7" fillId="0" borderId="11" xfId="0" applyNumberFormat="1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2" fontId="8" fillId="0" borderId="11" xfId="0" applyNumberFormat="1" applyFont="1" applyBorder="1" applyAlignment="1">
      <alignment horizontal="center" vertical="center"/>
    </xf>
    <xf numFmtId="11" fontId="8" fillId="0" borderId="11" xfId="0" applyNumberFormat="1" applyFont="1" applyBorder="1" applyAlignment="1">
      <alignment horizontal="center" vertical="center"/>
    </xf>
    <xf numFmtId="164" fontId="8" fillId="0" borderId="11" xfId="0" applyNumberFormat="1" applyFont="1" applyBorder="1" applyAlignment="1">
      <alignment horizontal="center" vertical="center"/>
    </xf>
    <xf numFmtId="2" fontId="8" fillId="0" borderId="11" xfId="0" applyNumberFormat="1" applyFont="1" applyFill="1" applyBorder="1" applyAlignment="1">
      <alignment horizontal="center" vertical="center"/>
    </xf>
    <xf numFmtId="2" fontId="9" fillId="0" borderId="11" xfId="0" applyNumberFormat="1" applyFont="1" applyBorder="1" applyAlignment="1">
      <alignment horizontal="center" vertical="center"/>
    </xf>
    <xf numFmtId="11" fontId="9" fillId="0" borderId="11" xfId="0" applyNumberFormat="1" applyFont="1" applyBorder="1" applyAlignment="1">
      <alignment horizontal="center" vertical="center"/>
    </xf>
    <xf numFmtId="164" fontId="9" fillId="0" borderId="11" xfId="0" applyNumberFormat="1" applyFont="1" applyBorder="1" applyAlignment="1">
      <alignment horizontal="center" vertical="center"/>
    </xf>
    <xf numFmtId="2" fontId="10" fillId="0" borderId="11" xfId="0" applyNumberFormat="1" applyFont="1" applyBorder="1" applyAlignment="1">
      <alignment horizontal="center" vertical="center"/>
    </xf>
    <xf numFmtId="11" fontId="11" fillId="0" borderId="11" xfId="0" applyNumberFormat="1" applyFont="1" applyBorder="1" applyAlignment="1">
      <alignment horizontal="center" vertical="center"/>
    </xf>
    <xf numFmtId="11" fontId="10" fillId="0" borderId="11" xfId="0" applyNumberFormat="1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2" fontId="3" fillId="0" borderId="11" xfId="0" applyNumberFormat="1" applyFont="1" applyFill="1" applyBorder="1" applyAlignment="1">
      <alignment horizontal="center" vertical="center"/>
    </xf>
    <xf numFmtId="11" fontId="3" fillId="0" borderId="11" xfId="0" applyNumberFormat="1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/>
    </xf>
    <xf numFmtId="2" fontId="3" fillId="0" borderId="11" xfId="0" applyNumberFormat="1" applyFont="1" applyBorder="1" applyAlignment="1">
      <alignment horizontal="center" vertical="center"/>
    </xf>
    <xf numFmtId="2" fontId="12" fillId="0" borderId="11" xfId="0" applyNumberFormat="1" applyFont="1" applyBorder="1" applyAlignment="1">
      <alignment horizontal="center" vertical="center"/>
    </xf>
    <xf numFmtId="11" fontId="12" fillId="0" borderId="11" xfId="0" applyNumberFormat="1" applyFont="1" applyBorder="1" applyAlignment="1">
      <alignment horizontal="center" vertical="center"/>
    </xf>
    <xf numFmtId="164" fontId="12" fillId="0" borderId="11" xfId="0" applyNumberFormat="1" applyFont="1" applyBorder="1" applyAlignment="1">
      <alignment horizontal="center" vertical="center"/>
    </xf>
    <xf numFmtId="2" fontId="13" fillId="0" borderId="11" xfId="0" applyNumberFormat="1" applyFont="1" applyBorder="1" applyAlignment="1">
      <alignment horizontal="center" vertical="center"/>
    </xf>
    <xf numFmtId="11" fontId="13" fillId="0" borderId="11" xfId="0" applyNumberFormat="1" applyFont="1" applyBorder="1" applyAlignment="1">
      <alignment horizontal="center" vertical="center"/>
    </xf>
    <xf numFmtId="164" fontId="13" fillId="0" borderId="11" xfId="0" applyNumberFormat="1" applyFont="1" applyBorder="1" applyAlignment="1">
      <alignment horizontal="center" vertical="center"/>
    </xf>
    <xf numFmtId="2" fontId="14" fillId="0" borderId="11" xfId="0" applyNumberFormat="1" applyFont="1" applyBorder="1" applyAlignment="1">
      <alignment horizontal="center" vertical="center"/>
    </xf>
    <xf numFmtId="11" fontId="14" fillId="0" borderId="11" xfId="0" applyNumberFormat="1" applyFont="1" applyBorder="1" applyAlignment="1">
      <alignment horizontal="center" vertical="center"/>
    </xf>
    <xf numFmtId="164" fontId="14" fillId="0" borderId="11" xfId="0" applyNumberFormat="1" applyFont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 wrapText="1"/>
    </xf>
    <xf numFmtId="0" fontId="5" fillId="4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4" fillId="0" borderId="11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5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10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5" fillId="0" borderId="5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11" fontId="5" fillId="0" borderId="4" xfId="0" applyNumberFormat="1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4" fillId="4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0" fillId="7" borderId="0" xfId="0" applyFont="1" applyFill="1" applyAlignment="1">
      <alignment vertical="center"/>
    </xf>
    <xf numFmtId="0" fontId="17" fillId="7" borderId="0" xfId="0" applyFont="1" applyFill="1" applyBorder="1" applyAlignment="1">
      <alignment vertical="center"/>
    </xf>
    <xf numFmtId="0" fontId="11" fillId="7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20" fillId="6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21" fillId="0" borderId="0" xfId="0" applyFont="1" applyFill="1" applyBorder="1" applyAlignment="1">
      <alignment horizontal="left" vertical="center"/>
    </xf>
    <xf numFmtId="2" fontId="0" fillId="0" borderId="0" xfId="0" applyNumberFormat="1" applyFont="1" applyAlignment="1">
      <alignment horizontal="center" vertical="center"/>
    </xf>
    <xf numFmtId="0" fontId="0" fillId="7" borderId="0" xfId="0" applyFont="1" applyFill="1" applyAlignment="1">
      <alignment vertical="center"/>
    </xf>
    <xf numFmtId="0" fontId="22" fillId="7" borderId="0" xfId="0" applyFont="1" applyFill="1" applyAlignment="1">
      <alignment vertical="center"/>
    </xf>
    <xf numFmtId="0" fontId="23" fillId="0" borderId="0" xfId="0" applyFont="1" applyFill="1" applyBorder="1" applyAlignment="1">
      <alignment horizontal="left" vertical="center"/>
    </xf>
    <xf numFmtId="11" fontId="0" fillId="0" borderId="0" xfId="0" applyNumberFormat="1" applyFont="1" applyAlignment="1">
      <alignment horizontal="center" vertical="center"/>
    </xf>
    <xf numFmtId="0" fontId="25" fillId="0" borderId="0" xfId="0" applyFont="1" applyAlignment="1">
      <alignment vertical="center"/>
    </xf>
    <xf numFmtId="9" fontId="0" fillId="0" borderId="0" xfId="0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9" fontId="0" fillId="0" borderId="0" xfId="1" applyFont="1" applyFill="1" applyBorder="1" applyAlignment="1">
      <alignment vertical="center"/>
    </xf>
    <xf numFmtId="11" fontId="0" fillId="0" borderId="0" xfId="0" applyNumberFormat="1" applyFont="1" applyFill="1" applyBorder="1" applyAlignment="1">
      <alignment vertical="center"/>
    </xf>
    <xf numFmtId="164" fontId="0" fillId="0" borderId="0" xfId="2" applyNumberFormat="1" applyFont="1" applyFill="1" applyBorder="1" applyAlignment="1">
      <alignment vertical="center"/>
    </xf>
    <xf numFmtId="164" fontId="0" fillId="0" borderId="0" xfId="0" applyNumberFormat="1" applyFont="1" applyAlignment="1">
      <alignment vertical="center"/>
    </xf>
    <xf numFmtId="0" fontId="26" fillId="8" borderId="0" xfId="0" applyFont="1" applyFill="1" applyAlignment="1">
      <alignment vertical="center"/>
    </xf>
    <xf numFmtId="0" fontId="27" fillId="8" borderId="0" xfId="0" applyFont="1" applyFill="1" applyAlignment="1">
      <alignment vertical="center"/>
    </xf>
    <xf numFmtId="0" fontId="28" fillId="8" borderId="0" xfId="0" applyFont="1" applyFill="1" applyBorder="1" applyAlignment="1">
      <alignment horizontal="left" vertical="center"/>
    </xf>
    <xf numFmtId="0" fontId="30" fillId="6" borderId="0" xfId="0" applyFont="1" applyFill="1" applyAlignment="1">
      <alignment vertical="center"/>
    </xf>
    <xf numFmtId="2" fontId="14" fillId="0" borderId="0" xfId="0" applyNumberFormat="1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32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4" fillId="3" borderId="10" xfId="3" applyFont="1" applyBorder="1" applyAlignment="1">
      <alignment vertical="center"/>
    </xf>
    <xf numFmtId="11" fontId="1" fillId="3" borderId="9" xfId="3" applyNumberFormat="1" applyFont="1" applyBorder="1" applyAlignment="1">
      <alignment vertical="center"/>
    </xf>
    <xf numFmtId="0" fontId="21" fillId="3" borderId="9" xfId="3" applyFont="1" applyBorder="1" applyAlignment="1">
      <alignment horizontal="left" vertical="center"/>
    </xf>
    <xf numFmtId="0" fontId="21" fillId="3" borderId="4" xfId="3" applyFont="1" applyBorder="1" applyAlignment="1">
      <alignment horizontal="left" vertical="center"/>
    </xf>
    <xf numFmtId="11" fontId="0" fillId="3" borderId="9" xfId="3" applyNumberFormat="1" applyFont="1" applyBorder="1" applyAlignment="1">
      <alignment vertical="center"/>
    </xf>
    <xf numFmtId="2" fontId="0" fillId="3" borderId="4" xfId="3" applyNumberFormat="1" applyFont="1" applyBorder="1" applyAlignment="1">
      <alignment vertical="center"/>
    </xf>
    <xf numFmtId="11" fontId="0" fillId="0" borderId="0" xfId="0" applyNumberFormat="1" applyFont="1" applyAlignment="1">
      <alignment vertical="center"/>
    </xf>
    <xf numFmtId="0" fontId="33" fillId="0" borderId="0" xfId="0" applyFont="1" applyAlignment="1">
      <alignment horizontal="right"/>
    </xf>
    <xf numFmtId="11" fontId="0" fillId="0" borderId="0" xfId="0" applyNumberFormat="1" applyAlignment="1">
      <alignment vertical="center"/>
    </xf>
    <xf numFmtId="0" fontId="34" fillId="0" borderId="0" xfId="0" applyFont="1" applyAlignment="1">
      <alignment vertical="center"/>
    </xf>
    <xf numFmtId="0" fontId="21" fillId="0" borderId="0" xfId="0" quotePrefix="1" applyFont="1" applyFill="1" applyBorder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5" fontId="0" fillId="7" borderId="11" xfId="0" applyNumberFormat="1" applyFill="1" applyBorder="1" applyAlignment="1">
      <alignment horizontal="center" vertical="center"/>
    </xf>
    <xf numFmtId="0" fontId="0" fillId="9" borderId="11" xfId="0" applyFont="1" applyFill="1" applyBorder="1" applyAlignment="1">
      <alignment horizontal="center" vertical="center"/>
    </xf>
    <xf numFmtId="1" fontId="0" fillId="9" borderId="11" xfId="4" applyNumberFormat="1" applyFont="1" applyFill="1" applyBorder="1" applyAlignment="1">
      <alignment horizontal="center" vertical="center"/>
    </xf>
    <xf numFmtId="168" fontId="0" fillId="0" borderId="0" xfId="4" applyNumberFormat="1" applyFont="1" applyAlignment="1">
      <alignment horizontal="center" vertical="center"/>
    </xf>
    <xf numFmtId="2" fontId="0" fillId="0" borderId="0" xfId="0" applyNumberFormat="1" applyFont="1" applyAlignment="1">
      <alignment horizontal="left" vertical="center"/>
    </xf>
    <xf numFmtId="169" fontId="1" fillId="3" borderId="4" xfId="3" applyNumberFormat="1" applyFont="1" applyBorder="1" applyAlignment="1">
      <alignment vertical="center"/>
    </xf>
    <xf numFmtId="0" fontId="4" fillId="0" borderId="0" xfId="0" applyFont="1"/>
    <xf numFmtId="0" fontId="38" fillId="0" borderId="0" xfId="0" applyFont="1"/>
    <xf numFmtId="0" fontId="4" fillId="0" borderId="0" xfId="0" applyFont="1" applyAlignment="1">
      <alignment horizontal="left" vertical="center"/>
    </xf>
    <xf numFmtId="0" fontId="40" fillId="0" borderId="0" xfId="0" applyFont="1"/>
    <xf numFmtId="0" fontId="4" fillId="10" borderId="11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1" fontId="0" fillId="0" borderId="11" xfId="0" applyNumberFormat="1" applyBorder="1" applyAlignment="1">
      <alignment horizontal="center" vertical="center"/>
    </xf>
    <xf numFmtId="170" fontId="0" fillId="0" borderId="11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6" fillId="8" borderId="0" xfId="0" applyFont="1" applyFill="1"/>
    <xf numFmtId="0" fontId="41" fillId="0" borderId="0" xfId="5"/>
    <xf numFmtId="0" fontId="42" fillId="0" borderId="0" xfId="0" applyFont="1" applyAlignment="1">
      <alignment horizontal="center"/>
    </xf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43" fillId="11" borderId="11" xfId="0" applyFont="1" applyFill="1" applyBorder="1" applyAlignment="1"/>
    <xf numFmtId="0" fontId="44" fillId="11" borderId="11" xfId="0" applyFont="1" applyFill="1" applyBorder="1" applyAlignment="1">
      <alignment horizontal="left"/>
    </xf>
    <xf numFmtId="0" fontId="0" fillId="12" borderId="11" xfId="0" applyFill="1" applyBorder="1" applyAlignment="1">
      <alignment horizontal="left"/>
    </xf>
    <xf numFmtId="0" fontId="45" fillId="0" borderId="11" xfId="0" applyFont="1" applyBorder="1" applyAlignment="1"/>
    <xf numFmtId="0" fontId="46" fillId="0" borderId="11" xfId="0" applyFont="1" applyBorder="1" applyAlignment="1">
      <alignment horizontal="left"/>
    </xf>
    <xf numFmtId="0" fontId="47" fillId="0" borderId="11" xfId="0" quotePrefix="1" applyFont="1" applyBorder="1"/>
    <xf numFmtId="0" fontId="45" fillId="0" borderId="11" xfId="0" applyFont="1" applyBorder="1"/>
    <xf numFmtId="0" fontId="0" fillId="0" borderId="11" xfId="0" applyBorder="1" applyAlignment="1">
      <alignment horizontal="left"/>
    </xf>
    <xf numFmtId="0" fontId="39" fillId="0" borderId="0" xfId="0" applyFont="1" applyAlignment="1">
      <alignment vertical="center"/>
    </xf>
    <xf numFmtId="0" fontId="0" fillId="0" borderId="0" xfId="0" applyFill="1"/>
    <xf numFmtId="0" fontId="36" fillId="0" borderId="0" xfId="0" applyFont="1" applyFill="1"/>
    <xf numFmtId="0" fontId="7" fillId="0" borderId="0" xfId="0" applyFont="1" applyFill="1" applyAlignment="1">
      <alignment vertical="center"/>
    </xf>
    <xf numFmtId="166" fontId="5" fillId="0" borderId="4" xfId="0" applyNumberFormat="1" applyFont="1" applyBorder="1" applyAlignment="1">
      <alignment vertical="center"/>
    </xf>
    <xf numFmtId="2" fontId="0" fillId="0" borderId="0" xfId="0" applyNumberFormat="1" applyAlignment="1">
      <alignment horizontal="center" vertical="center"/>
    </xf>
    <xf numFmtId="0" fontId="1" fillId="15" borderId="0" xfId="8" applyAlignment="1">
      <alignment vertical="center"/>
    </xf>
    <xf numFmtId="10" fontId="1" fillId="15" borderId="0" xfId="8" applyNumberFormat="1" applyAlignment="1">
      <alignment vertical="center"/>
    </xf>
    <xf numFmtId="0" fontId="1" fillId="13" borderId="0" xfId="6" applyAlignment="1">
      <alignment vertical="center"/>
    </xf>
    <xf numFmtId="167" fontId="1" fillId="13" borderId="0" xfId="6" applyNumberFormat="1" applyAlignment="1">
      <alignment vertical="center"/>
    </xf>
    <xf numFmtId="0" fontId="1" fillId="14" borderId="0" xfId="7" applyAlignment="1">
      <alignment vertical="center"/>
    </xf>
    <xf numFmtId="167" fontId="1" fillId="14" borderId="0" xfId="7" applyNumberFormat="1" applyAlignment="1">
      <alignment vertical="center"/>
    </xf>
    <xf numFmtId="0" fontId="42" fillId="0" borderId="0" xfId="0" applyFont="1" applyAlignment="1">
      <alignment horizontal="left"/>
    </xf>
    <xf numFmtId="0" fontId="49" fillId="6" borderId="0" xfId="0" applyFont="1" applyFill="1" applyAlignment="1">
      <alignment vertical="center"/>
    </xf>
    <xf numFmtId="0" fontId="50" fillId="0" borderId="0" xfId="0" applyFont="1" applyAlignment="1">
      <alignment vertical="center"/>
    </xf>
    <xf numFmtId="0" fontId="17" fillId="3" borderId="8" xfId="3" applyFont="1" applyBorder="1" applyAlignment="1">
      <alignment vertical="center"/>
    </xf>
    <xf numFmtId="0" fontId="17" fillId="3" borderId="3" xfId="3" applyFont="1" applyBorder="1" applyAlignment="1">
      <alignment vertical="center"/>
    </xf>
    <xf numFmtId="0" fontId="17" fillId="0" borderId="0" xfId="0" applyFont="1" applyAlignment="1">
      <alignment vertical="center"/>
    </xf>
    <xf numFmtId="0" fontId="28" fillId="8" borderId="0" xfId="0" applyFont="1" applyFill="1" applyAlignment="1">
      <alignment vertical="center"/>
    </xf>
    <xf numFmtId="0" fontId="17" fillId="0" borderId="0" xfId="0" quotePrefix="1" applyFont="1" applyAlignment="1">
      <alignment vertical="center"/>
    </xf>
    <xf numFmtId="0" fontId="51" fillId="0" borderId="0" xfId="0" applyFont="1" applyAlignment="1">
      <alignment horizontal="center" vertical="center"/>
    </xf>
    <xf numFmtId="0" fontId="53" fillId="16" borderId="0" xfId="9" applyFont="1" applyAlignment="1">
      <alignment horizontal="left"/>
    </xf>
    <xf numFmtId="0" fontId="53" fillId="16" borderId="0" xfId="9" applyFont="1" applyAlignment="1">
      <alignment horizontal="center"/>
    </xf>
    <xf numFmtId="0" fontId="54" fillId="0" borderId="0" xfId="0" applyFont="1" applyAlignment="1">
      <alignment horizontal="center"/>
    </xf>
    <xf numFmtId="0" fontId="5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7" fillId="7" borderId="0" xfId="0" applyFont="1" applyFill="1" applyAlignment="1">
      <alignment horizontal="center"/>
    </xf>
    <xf numFmtId="0" fontId="55" fillId="0" borderId="0" xfId="0" applyFont="1" applyAlignment="1">
      <alignment horizontal="left"/>
    </xf>
    <xf numFmtId="166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47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6" fontId="0" fillId="9" borderId="11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0" fontId="25" fillId="0" borderId="10" xfId="0" applyFont="1" applyBorder="1" applyAlignment="1">
      <alignment vertical="center"/>
    </xf>
    <xf numFmtId="2" fontId="58" fillId="0" borderId="9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vertical="center"/>
    </xf>
    <xf numFmtId="0" fontId="47" fillId="0" borderId="7" xfId="0" applyFont="1" applyBorder="1" applyAlignment="1">
      <alignment vertical="center"/>
    </xf>
    <xf numFmtId="2" fontId="47" fillId="0" borderId="0" xfId="0" applyNumberFormat="1" applyFont="1" applyBorder="1" applyAlignment="1">
      <alignment horizontal="center" vertical="center"/>
    </xf>
    <xf numFmtId="0" fontId="47" fillId="0" borderId="6" xfId="0" applyFont="1" applyBorder="1" applyAlignment="1">
      <alignment vertical="center"/>
    </xf>
    <xf numFmtId="0" fontId="11" fillId="0" borderId="5" xfId="0" applyFont="1" applyBorder="1" applyAlignment="1">
      <alignment vertical="center"/>
    </xf>
    <xf numFmtId="2" fontId="11" fillId="0" borderId="4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vertical="center"/>
    </xf>
    <xf numFmtId="9" fontId="0" fillId="9" borderId="11" xfId="1" applyFont="1" applyFill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2" fontId="25" fillId="0" borderId="0" xfId="0" applyNumberFormat="1" applyFont="1" applyFill="1" applyAlignment="1">
      <alignment horizontal="center" vertical="center"/>
    </xf>
    <xf numFmtId="0" fontId="59" fillId="0" borderId="0" xfId="0" applyFont="1" applyFill="1" applyBorder="1" applyAlignment="1">
      <alignment horizontal="left" vertical="center"/>
    </xf>
    <xf numFmtId="11" fontId="11" fillId="0" borderId="0" xfId="0" applyNumberFormat="1" applyFont="1" applyAlignment="1">
      <alignment horizontal="center" vertical="center"/>
    </xf>
    <xf numFmtId="0" fontId="62" fillId="6" borderId="0" xfId="0" applyFont="1" applyFill="1" applyAlignment="1">
      <alignment vertical="center"/>
    </xf>
    <xf numFmtId="0" fontId="63" fillId="0" borderId="0" xfId="0" applyFont="1" applyAlignment="1">
      <alignment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Fill="1" applyBorder="1" applyAlignment="1">
      <alignment horizontal="left" vertical="center"/>
    </xf>
    <xf numFmtId="2" fontId="63" fillId="0" borderId="0" xfId="0" applyNumberFormat="1" applyFont="1" applyAlignment="1">
      <alignment horizontal="center" vertical="center"/>
    </xf>
    <xf numFmtId="11" fontId="63" fillId="0" borderId="0" xfId="0" applyNumberFormat="1" applyFont="1" applyAlignment="1">
      <alignment horizontal="center" vertical="center"/>
    </xf>
    <xf numFmtId="0" fontId="64" fillId="0" borderId="0" xfId="0" applyFont="1" applyFill="1" applyBorder="1" applyAlignment="1">
      <alignment vertical="center"/>
    </xf>
    <xf numFmtId="0" fontId="0" fillId="0" borderId="11" xfId="0" applyBorder="1" applyAlignment="1">
      <alignment vertical="center"/>
    </xf>
    <xf numFmtId="0" fontId="21" fillId="0" borderId="11" xfId="0" applyFont="1" applyFill="1" applyBorder="1" applyAlignment="1">
      <alignment horizontal="left" vertical="center"/>
    </xf>
    <xf numFmtId="0" fontId="17" fillId="0" borderId="11" xfId="0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66" fillId="9" borderId="11" xfId="0" applyFont="1" applyFill="1" applyBorder="1" applyAlignment="1">
      <alignment horizontal="center" vertical="center"/>
    </xf>
    <xf numFmtId="2" fontId="25" fillId="7" borderId="0" xfId="0" applyNumberFormat="1" applyFont="1" applyFill="1" applyAlignment="1">
      <alignment horizontal="center" vertical="center"/>
    </xf>
    <xf numFmtId="0" fontId="21" fillId="7" borderId="0" xfId="0" applyFont="1" applyFill="1" applyBorder="1" applyAlignment="1">
      <alignment horizontal="left" vertical="center"/>
    </xf>
    <xf numFmtId="0" fontId="7" fillId="0" borderId="11" xfId="0" applyFont="1" applyFill="1" applyBorder="1" applyAlignment="1">
      <alignment horizontal="center" vertical="center"/>
    </xf>
    <xf numFmtId="0" fontId="7" fillId="7" borderId="11" xfId="0" applyFont="1" applyFill="1" applyBorder="1" applyAlignment="1">
      <alignment horizontal="center" vertical="center"/>
    </xf>
    <xf numFmtId="2" fontId="7" fillId="7" borderId="11" xfId="0" applyNumberFormat="1" applyFont="1" applyFill="1" applyBorder="1" applyAlignment="1">
      <alignment horizontal="center" vertical="center"/>
    </xf>
    <xf numFmtId="2" fontId="0" fillId="7" borderId="0" xfId="0" applyNumberFormat="1" applyFont="1" applyFill="1" applyAlignment="1">
      <alignment horizontal="center" vertical="center"/>
    </xf>
    <xf numFmtId="2" fontId="14" fillId="7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2" fontId="11" fillId="0" borderId="0" xfId="0" applyNumberFormat="1" applyFont="1" applyFill="1" applyAlignment="1">
      <alignment horizontal="center" vertical="center"/>
    </xf>
    <xf numFmtId="11" fontId="11" fillId="0" borderId="0" xfId="0" applyNumberFormat="1" applyFont="1" applyFill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0" fillId="0" borderId="11" xfId="0" applyFill="1" applyBorder="1" applyAlignment="1">
      <alignment horizontal="center"/>
    </xf>
    <xf numFmtId="0" fontId="17" fillId="0" borderId="11" xfId="0" applyFont="1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11" fontId="0" fillId="0" borderId="11" xfId="0" applyNumberFormat="1" applyFont="1" applyFill="1" applyBorder="1" applyAlignment="1">
      <alignment horizontal="center" vertical="center"/>
    </xf>
    <xf numFmtId="0" fontId="69" fillId="0" borderId="11" xfId="0" applyFont="1" applyFill="1" applyBorder="1"/>
    <xf numFmtId="2" fontId="0" fillId="0" borderId="11" xfId="0" applyNumberFormat="1" applyFont="1" applyFill="1" applyBorder="1" applyAlignment="1">
      <alignment horizontal="center" vertical="center"/>
    </xf>
    <xf numFmtId="166" fontId="0" fillId="0" borderId="11" xfId="0" applyNumberFormat="1" applyFont="1" applyFill="1" applyBorder="1" applyAlignment="1">
      <alignment horizontal="center" vertical="center"/>
    </xf>
    <xf numFmtId="2" fontId="0" fillId="0" borderId="11" xfId="9" applyNumberFormat="1" applyFont="1" applyFill="1" applyBorder="1" applyAlignment="1">
      <alignment horizontal="center" vertical="center"/>
    </xf>
    <xf numFmtId="164" fontId="0" fillId="0" borderId="11" xfId="10" applyNumberFormat="1" applyFont="1" applyFill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0" fontId="0" fillId="0" borderId="0" xfId="0" applyFont="1" applyFill="1" applyAlignment="1">
      <alignment horizontal="right" vertical="center"/>
    </xf>
    <xf numFmtId="0" fontId="11" fillId="7" borderId="0" xfId="0" applyFont="1" applyFill="1" applyAlignment="1">
      <alignment horizontal="center"/>
    </xf>
    <xf numFmtId="2" fontId="11" fillId="7" borderId="0" xfId="0" applyNumberFormat="1" applyFont="1" applyFill="1" applyAlignment="1">
      <alignment horizontal="center"/>
    </xf>
    <xf numFmtId="0" fontId="11" fillId="7" borderId="0" xfId="0" applyFont="1" applyFill="1" applyAlignment="1">
      <alignment horizontal="left"/>
    </xf>
    <xf numFmtId="0" fontId="7" fillId="7" borderId="0" xfId="0" applyFont="1" applyFill="1" applyAlignment="1">
      <alignment horizontal="left"/>
    </xf>
    <xf numFmtId="2" fontId="7" fillId="7" borderId="0" xfId="0" applyNumberFormat="1" applyFont="1" applyFill="1" applyAlignment="1">
      <alignment horizontal="center"/>
    </xf>
    <xf numFmtId="2" fontId="0" fillId="9" borderId="11" xfId="0" applyNumberFormat="1" applyFont="1" applyFill="1" applyBorder="1" applyAlignment="1">
      <alignment horizontal="center" vertical="center"/>
    </xf>
    <xf numFmtId="0" fontId="71" fillId="9" borderId="11" xfId="0" applyFont="1" applyFill="1" applyBorder="1" applyAlignment="1">
      <alignment horizontal="center" vertical="center"/>
    </xf>
    <xf numFmtId="11" fontId="70" fillId="18" borderId="11" xfId="11" applyNumberFormat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horizontal="center" vertical="center"/>
    </xf>
    <xf numFmtId="166" fontId="11" fillId="7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58" fillId="0" borderId="7" xfId="0" applyNumberFormat="1" applyFont="1" applyBorder="1" applyAlignment="1">
      <alignment horizontal="center" vertical="center"/>
    </xf>
    <xf numFmtId="0" fontId="59" fillId="0" borderId="7" xfId="0" applyFont="1" applyFill="1" applyBorder="1" applyAlignment="1">
      <alignment horizontal="left" vertical="center"/>
    </xf>
    <xf numFmtId="0" fontId="60" fillId="0" borderId="7" xfId="0" applyFont="1" applyFill="1" applyBorder="1" applyAlignment="1">
      <alignment horizontal="right" vertical="center"/>
    </xf>
    <xf numFmtId="11" fontId="25" fillId="0" borderId="7" xfId="0" applyNumberFormat="1" applyFont="1" applyBorder="1" applyAlignment="1">
      <alignment horizontal="center" vertical="center"/>
    </xf>
    <xf numFmtId="2" fontId="61" fillId="0" borderId="7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right" vertical="center" indent="2"/>
    </xf>
    <xf numFmtId="2" fontId="25" fillId="0" borderId="7" xfId="0" applyNumberFormat="1" applyFont="1" applyBorder="1" applyAlignment="1">
      <alignment horizontal="left" vertical="center" indent="5"/>
    </xf>
    <xf numFmtId="2" fontId="25" fillId="0" borderId="7" xfId="0" applyNumberFormat="1" applyFont="1" applyBorder="1" applyAlignment="1">
      <alignment horizontal="center" vertical="center"/>
    </xf>
    <xf numFmtId="2" fontId="25" fillId="0" borderId="7" xfId="0" applyNumberFormat="1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vertical="center"/>
    </xf>
    <xf numFmtId="0" fontId="21" fillId="0" borderId="7" xfId="0" applyFont="1" applyFill="1" applyBorder="1" applyAlignment="1">
      <alignment horizontal="left" vertical="center"/>
    </xf>
    <xf numFmtId="0" fontId="0" fillId="0" borderId="4" xfId="0" applyFont="1" applyBorder="1" applyAlignment="1">
      <alignment vertical="center"/>
    </xf>
    <xf numFmtId="0" fontId="25" fillId="0" borderId="5" xfId="0" applyFont="1" applyBorder="1" applyAlignment="1">
      <alignment horizontal="center" vertical="center"/>
    </xf>
    <xf numFmtId="0" fontId="21" fillId="0" borderId="4" xfId="0" applyFont="1" applyFill="1" applyBorder="1" applyAlignment="1">
      <alignment horizontal="left" vertical="center"/>
    </xf>
    <xf numFmtId="2" fontId="11" fillId="0" borderId="5" xfId="0" applyNumberFormat="1" applyFont="1" applyBorder="1" applyAlignment="1">
      <alignment horizontal="center" vertical="center"/>
    </xf>
    <xf numFmtId="0" fontId="59" fillId="0" borderId="5" xfId="0" applyFont="1" applyFill="1" applyBorder="1" applyAlignment="1">
      <alignment horizontal="left" vertical="center"/>
    </xf>
    <xf numFmtId="11" fontId="11" fillId="0" borderId="4" xfId="0" applyNumberFormat="1" applyFont="1" applyBorder="1" applyAlignment="1">
      <alignment horizontal="center" vertical="center"/>
    </xf>
    <xf numFmtId="0" fontId="21" fillId="0" borderId="5" xfId="0" applyFont="1" applyFill="1" applyBorder="1" applyAlignment="1">
      <alignment horizontal="left" vertical="center"/>
    </xf>
    <xf numFmtId="2" fontId="25" fillId="0" borderId="5" xfId="0" applyNumberFormat="1" applyFont="1" applyFill="1" applyBorder="1" applyAlignment="1">
      <alignment horizontal="center" vertical="center"/>
    </xf>
    <xf numFmtId="2" fontId="11" fillId="0" borderId="5" xfId="0" applyNumberFormat="1" applyFont="1" applyBorder="1" applyAlignment="1">
      <alignment horizontal="right" vertical="center" indent="2"/>
    </xf>
    <xf numFmtId="9" fontId="11" fillId="7" borderId="7" xfId="1" applyFont="1" applyFill="1" applyBorder="1" applyAlignment="1">
      <alignment horizontal="center" vertical="center"/>
    </xf>
    <xf numFmtId="11" fontId="74" fillId="0" borderId="11" xfId="0" applyNumberFormat="1" applyFont="1" applyFill="1" applyBorder="1" applyAlignment="1">
      <alignment horizontal="center" vertical="center"/>
    </xf>
    <xf numFmtId="2" fontId="74" fillId="0" borderId="1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vertical="center"/>
    </xf>
    <xf numFmtId="14" fontId="73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0" fontId="76" fillId="0" borderId="11" xfId="12" applyNumberFormat="1" applyFill="1" applyBorder="1" applyAlignment="1">
      <alignment horizontal="center"/>
    </xf>
    <xf numFmtId="10" fontId="76" fillId="0" borderId="11" xfId="12" applyNumberFormat="1" applyFill="1" applyBorder="1" applyAlignment="1">
      <alignment horizontal="center" vertical="center"/>
    </xf>
    <xf numFmtId="0" fontId="76" fillId="0" borderId="11" xfId="12" applyBorder="1" applyAlignment="1">
      <alignment horizontal="center" wrapText="1"/>
    </xf>
    <xf numFmtId="0" fontId="76" fillId="20" borderId="11" xfId="12" applyFill="1" applyBorder="1" applyAlignment="1" applyProtection="1">
      <alignment horizontal="center" wrapText="1"/>
      <protection locked="0"/>
    </xf>
    <xf numFmtId="0" fontId="76" fillId="0" borderId="11" xfId="12" applyFont="1" applyBorder="1" applyAlignment="1">
      <alignment horizontal="center" wrapText="1"/>
    </xf>
    <xf numFmtId="0" fontId="76" fillId="0" borderId="11" xfId="12" applyFont="1" applyBorder="1" applyAlignment="1">
      <alignment horizontal="center"/>
    </xf>
    <xf numFmtId="0" fontId="76" fillId="0" borderId="11" xfId="12" applyNumberFormat="1" applyFill="1" applyBorder="1" applyAlignment="1">
      <alignment horizontal="center"/>
    </xf>
    <xf numFmtId="0" fontId="76" fillId="0" borderId="11" xfId="12" applyNumberFormat="1" applyFill="1" applyBorder="1" applyAlignment="1">
      <alignment horizontal="center" vertical="center"/>
    </xf>
    <xf numFmtId="0" fontId="39" fillId="19" borderId="11" xfId="0" applyFont="1" applyFill="1" applyBorder="1" applyAlignment="1">
      <alignment horizontal="center" vertical="center"/>
    </xf>
    <xf numFmtId="10" fontId="0" fillId="0" borderId="11" xfId="0" applyNumberFormat="1" applyFill="1" applyBorder="1" applyAlignment="1">
      <alignment horizontal="center"/>
    </xf>
    <xf numFmtId="11" fontId="52" fillId="16" borderId="11" xfId="9" applyNumberFormat="1" applyBorder="1" applyAlignment="1">
      <alignment horizontal="center" vertical="center"/>
    </xf>
    <xf numFmtId="11" fontId="52" fillId="16" borderId="11" xfId="9" applyNumberFormat="1" applyBorder="1" applyAlignment="1">
      <alignment horizontal="left" vertical="center"/>
    </xf>
    <xf numFmtId="1" fontId="1" fillId="16" borderId="11" xfId="9" applyNumberFormat="1" applyFont="1" applyBorder="1" applyAlignment="1">
      <alignment horizontal="center" vertical="center"/>
    </xf>
    <xf numFmtId="0" fontId="4" fillId="0" borderId="13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2" fontId="58" fillId="0" borderId="13" xfId="0" applyNumberFormat="1" applyFont="1" applyBorder="1" applyAlignment="1">
      <alignment horizontal="center" vertical="center"/>
    </xf>
    <xf numFmtId="0" fontId="23" fillId="0" borderId="12" xfId="0" applyFont="1" applyFill="1" applyBorder="1" applyAlignment="1">
      <alignment horizontal="left" vertical="center"/>
    </xf>
    <xf numFmtId="2" fontId="61" fillId="0" borderId="13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0" fontId="24" fillId="0" borderId="13" xfId="0" applyFont="1" applyFill="1" applyBorder="1" applyAlignment="1">
      <alignment vertical="center"/>
    </xf>
    <xf numFmtId="0" fontId="17" fillId="0" borderId="14" xfId="0" applyFont="1" applyFill="1" applyBorder="1" applyAlignment="1">
      <alignment vertical="center"/>
    </xf>
    <xf numFmtId="0" fontId="0" fillId="0" borderId="7" xfId="0" applyFont="1" applyBorder="1" applyAlignment="1">
      <alignment vertical="center"/>
    </xf>
    <xf numFmtId="2" fontId="14" fillId="0" borderId="0" xfId="0" applyNumberFormat="1" applyFont="1" applyBorder="1" applyAlignment="1">
      <alignment horizontal="center" vertical="center"/>
    </xf>
    <xf numFmtId="0" fontId="17" fillId="0" borderId="6" xfId="0" applyFont="1" applyFill="1" applyBorder="1" applyAlignment="1">
      <alignment vertical="center"/>
    </xf>
    <xf numFmtId="11" fontId="11" fillId="0" borderId="0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23" fillId="7" borderId="6" xfId="0" applyFont="1" applyFill="1" applyBorder="1" applyAlignment="1">
      <alignment horizontal="left" vertical="center"/>
    </xf>
    <xf numFmtId="0" fontId="0" fillId="0" borderId="5" xfId="0" applyFont="1" applyBorder="1" applyAlignment="1">
      <alignment vertical="center"/>
    </xf>
    <xf numFmtId="0" fontId="17" fillId="0" borderId="3" xfId="0" applyFont="1" applyFill="1" applyBorder="1" applyAlignment="1">
      <alignment vertical="center"/>
    </xf>
    <xf numFmtId="2" fontId="11" fillId="0" borderId="0" xfId="0" applyNumberFormat="1" applyFont="1" applyBorder="1" applyAlignment="1">
      <alignment horizontal="center" vertical="center"/>
    </xf>
    <xf numFmtId="0" fontId="45" fillId="0" borderId="11" xfId="0" applyFont="1" applyFill="1" applyBorder="1" applyAlignment="1">
      <alignment horizontal="center" vertical="center"/>
    </xf>
    <xf numFmtId="0" fontId="7" fillId="0" borderId="11" xfId="13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166" fontId="9" fillId="0" borderId="11" xfId="0" applyNumberFormat="1" applyFont="1" applyFill="1" applyBorder="1" applyAlignment="1">
      <alignment horizontal="center" vertical="center"/>
    </xf>
    <xf numFmtId="165" fontId="9" fillId="0" borderId="11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left" vertical="center"/>
    </xf>
    <xf numFmtId="0" fontId="81" fillId="0" borderId="11" xfId="0" applyFont="1" applyFill="1" applyBorder="1" applyAlignment="1">
      <alignment horizontal="center" vertical="center"/>
    </xf>
    <xf numFmtId="9" fontId="81" fillId="0" borderId="11" xfId="0" applyNumberFormat="1" applyFont="1" applyFill="1" applyBorder="1" applyAlignment="1">
      <alignment horizontal="center" vertical="center"/>
    </xf>
    <xf numFmtId="2" fontId="7" fillId="0" borderId="11" xfId="0" applyNumberFormat="1" applyFont="1" applyFill="1" applyBorder="1" applyAlignment="1">
      <alignment horizontal="center" vertical="center"/>
    </xf>
    <xf numFmtId="1" fontId="7" fillId="0" borderId="11" xfId="0" applyNumberFormat="1" applyFont="1" applyFill="1" applyBorder="1" applyAlignment="1">
      <alignment horizontal="center" vertical="center"/>
    </xf>
    <xf numFmtId="9" fontId="7" fillId="0" borderId="11" xfId="1" applyFont="1" applyFill="1" applyBorder="1" applyAlignment="1">
      <alignment horizontal="center" vertical="center"/>
    </xf>
    <xf numFmtId="0" fontId="25" fillId="0" borderId="11" xfId="0" applyFont="1" applyFill="1" applyBorder="1" applyAlignment="1">
      <alignment horizontal="center" vertical="center"/>
    </xf>
    <xf numFmtId="0" fontId="25" fillId="9" borderId="11" xfId="0" applyFont="1" applyFill="1" applyBorder="1" applyAlignment="1">
      <alignment horizontal="center" vertical="center"/>
    </xf>
    <xf numFmtId="1" fontId="7" fillId="9" borderId="11" xfId="0" applyNumberFormat="1" applyFont="1" applyFill="1" applyBorder="1" applyAlignment="1">
      <alignment horizontal="center" vertical="center"/>
    </xf>
    <xf numFmtId="9" fontId="7" fillId="9" borderId="11" xfId="1" applyFont="1" applyFill="1" applyBorder="1" applyAlignment="1">
      <alignment horizontal="center" vertical="center"/>
    </xf>
    <xf numFmtId="0" fontId="7" fillId="9" borderId="11" xfId="0" applyFont="1" applyFill="1" applyBorder="1" applyAlignment="1">
      <alignment horizontal="center" vertical="center"/>
    </xf>
    <xf numFmtId="0" fontId="25" fillId="22" borderId="11" xfId="0" applyFont="1" applyFill="1" applyBorder="1" applyAlignment="1">
      <alignment horizontal="center" vertical="center"/>
    </xf>
    <xf numFmtId="1" fontId="7" fillId="22" borderId="11" xfId="0" applyNumberFormat="1" applyFont="1" applyFill="1" applyBorder="1" applyAlignment="1">
      <alignment horizontal="center" vertical="center"/>
    </xf>
    <xf numFmtId="9" fontId="7" fillId="22" borderId="11" xfId="1" applyFont="1" applyFill="1" applyBorder="1" applyAlignment="1">
      <alignment horizontal="center" vertical="center"/>
    </xf>
    <xf numFmtId="0" fontId="7" fillId="22" borderId="11" xfId="0" applyFont="1" applyFill="1" applyBorder="1" applyAlignment="1">
      <alignment horizontal="center" vertical="center"/>
    </xf>
    <xf numFmtId="166" fontId="74" fillId="0" borderId="11" xfId="0" applyNumberFormat="1" applyFont="1" applyFill="1" applyBorder="1" applyAlignment="1">
      <alignment horizontal="center" vertical="center"/>
    </xf>
    <xf numFmtId="165" fontId="1" fillId="13" borderId="11" xfId="6" applyNumberFormat="1" applyBorder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6" fontId="1" fillId="15" borderId="11" xfId="8" applyNumberFormat="1" applyBorder="1" applyAlignment="1">
      <alignment horizontal="center" vertical="center"/>
    </xf>
    <xf numFmtId="0" fontId="81" fillId="0" borderId="0" xfId="0" applyFont="1" applyBorder="1" applyAlignment="1">
      <alignment horizontal="right" vertical="center"/>
    </xf>
    <xf numFmtId="9" fontId="81" fillId="0" borderId="7" xfId="1" applyFont="1" applyBorder="1" applyAlignment="1">
      <alignment horizontal="center" vertical="center"/>
    </xf>
    <xf numFmtId="2" fontId="0" fillId="7" borderId="11" xfId="0" applyNumberFormat="1" applyFont="1" applyFill="1" applyBorder="1" applyAlignment="1">
      <alignment horizontal="center" vertical="center"/>
    </xf>
    <xf numFmtId="0" fontId="31" fillId="9" borderId="11" xfId="0" applyFont="1" applyFill="1" applyBorder="1" applyAlignment="1">
      <alignment horizontal="center"/>
    </xf>
    <xf numFmtId="2" fontId="7" fillId="9" borderId="11" xfId="0" applyNumberFormat="1" applyFont="1" applyFill="1" applyBorder="1" applyAlignment="1">
      <alignment horizontal="center" vertical="center"/>
    </xf>
    <xf numFmtId="9" fontId="14" fillId="9" borderId="11" xfId="1" applyFont="1" applyFill="1" applyBorder="1" applyAlignment="1">
      <alignment horizontal="center" vertical="center"/>
    </xf>
    <xf numFmtId="166" fontId="35" fillId="24" borderId="11" xfId="14" applyNumberFormat="1" applyFill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84" fillId="0" borderId="0" xfId="0" applyFont="1" applyAlignment="1">
      <alignment vertical="center"/>
    </xf>
    <xf numFmtId="166" fontId="84" fillId="0" borderId="0" xfId="0" applyNumberFormat="1" applyFont="1" applyAlignment="1">
      <alignment horizontal="center" vertical="center"/>
    </xf>
    <xf numFmtId="0" fontId="85" fillId="0" borderId="11" xfId="0" applyFont="1" applyFill="1" applyBorder="1" applyAlignment="1">
      <alignment horizontal="center" vertical="center"/>
    </xf>
    <xf numFmtId="9" fontId="85" fillId="0" borderId="11" xfId="0" applyNumberFormat="1" applyFont="1" applyFill="1" applyBorder="1" applyAlignment="1">
      <alignment horizontal="center" vertical="center"/>
    </xf>
    <xf numFmtId="0" fontId="86" fillId="7" borderId="11" xfId="13" applyFont="1" applyFill="1" applyBorder="1" applyAlignment="1">
      <alignment horizontal="center" vertical="center"/>
    </xf>
    <xf numFmtId="0" fontId="87" fillId="7" borderId="11" xfId="0" applyFont="1" applyFill="1" applyBorder="1" applyAlignment="1">
      <alignment horizontal="center" vertical="center"/>
    </xf>
    <xf numFmtId="166" fontId="86" fillId="7" borderId="11" xfId="0" applyNumberFormat="1" applyFont="1" applyFill="1" applyBorder="1" applyAlignment="1">
      <alignment horizontal="center" vertical="center"/>
    </xf>
    <xf numFmtId="1" fontId="86" fillId="7" borderId="11" xfId="0" applyNumberFormat="1" applyFont="1" applyFill="1" applyBorder="1" applyAlignment="1">
      <alignment horizontal="center" vertical="center"/>
    </xf>
    <xf numFmtId="2" fontId="86" fillId="7" borderId="11" xfId="0" applyNumberFormat="1" applyFont="1" applyFill="1" applyBorder="1" applyAlignment="1">
      <alignment horizontal="center" vertical="center"/>
    </xf>
    <xf numFmtId="9" fontId="88" fillId="7" borderId="11" xfId="0" applyNumberFormat="1" applyFont="1" applyFill="1" applyBorder="1" applyAlignment="1">
      <alignment horizontal="center" vertical="center"/>
    </xf>
    <xf numFmtId="165" fontId="86" fillId="7" borderId="11" xfId="0" applyNumberFormat="1" applyFont="1" applyFill="1" applyBorder="1" applyAlignment="1">
      <alignment horizontal="center" vertical="center"/>
    </xf>
    <xf numFmtId="1" fontId="37" fillId="0" borderId="11" xfId="9" applyNumberFormat="1" applyFont="1" applyFill="1" applyBorder="1" applyAlignment="1">
      <alignment horizontal="center" vertical="center"/>
    </xf>
    <xf numFmtId="165" fontId="0" fillId="0" borderId="0" xfId="0" applyNumberFormat="1" applyFont="1" applyBorder="1" applyAlignment="1">
      <alignment horizontal="center" vertical="center"/>
    </xf>
    <xf numFmtId="165" fontId="0" fillId="0" borderId="4" xfId="0" applyNumberFormat="1" applyFont="1" applyBorder="1" applyAlignment="1">
      <alignment horizontal="center" vertical="center"/>
    </xf>
    <xf numFmtId="165" fontId="0" fillId="0" borderId="11" xfId="0" applyNumberFormat="1" applyFont="1" applyBorder="1" applyAlignment="1">
      <alignment horizontal="center" vertical="center"/>
    </xf>
    <xf numFmtId="0" fontId="0" fillId="10" borderId="11" xfId="0" applyFont="1" applyFill="1" applyBorder="1" applyAlignment="1">
      <alignment vertical="center"/>
    </xf>
    <xf numFmtId="165" fontId="0" fillId="10" borderId="11" xfId="0" applyNumberFormat="1" applyFont="1" applyFill="1" applyBorder="1" applyAlignment="1">
      <alignment horizontal="center" vertical="center"/>
    </xf>
    <xf numFmtId="0" fontId="21" fillId="10" borderId="11" xfId="0" applyFont="1" applyFill="1" applyBorder="1" applyAlignment="1">
      <alignment horizontal="left" vertical="center"/>
    </xf>
    <xf numFmtId="0" fontId="0" fillId="10" borderId="10" xfId="0" applyFont="1" applyFill="1" applyBorder="1" applyAlignment="1">
      <alignment vertical="center"/>
    </xf>
    <xf numFmtId="2" fontId="0" fillId="10" borderId="9" xfId="0" applyNumberFormat="1" applyFont="1" applyFill="1" applyBorder="1" applyAlignment="1">
      <alignment horizontal="center" vertical="center"/>
    </xf>
    <xf numFmtId="0" fontId="0" fillId="10" borderId="8" xfId="0" applyFont="1" applyFill="1" applyBorder="1" applyAlignment="1">
      <alignment vertical="center"/>
    </xf>
    <xf numFmtId="9" fontId="39" fillId="19" borderId="11" xfId="1" applyFont="1" applyFill="1" applyBorder="1" applyAlignment="1">
      <alignment horizontal="center" vertical="center"/>
    </xf>
    <xf numFmtId="0" fontId="90" fillId="25" borderId="13" xfId="0" applyFont="1" applyFill="1" applyBorder="1" applyAlignment="1">
      <alignment horizontal="left" vertical="center"/>
    </xf>
    <xf numFmtId="0" fontId="22" fillId="7" borderId="12" xfId="0" applyFont="1" applyFill="1" applyBorder="1" applyAlignment="1">
      <alignment vertical="center"/>
    </xf>
    <xf numFmtId="2" fontId="39" fillId="19" borderId="11" xfId="2" applyNumberFormat="1" applyFont="1" applyFill="1" applyBorder="1" applyAlignment="1">
      <alignment horizontal="left" vertical="center"/>
    </xf>
    <xf numFmtId="0" fontId="0" fillId="19" borderId="12" xfId="0" applyFont="1" applyFill="1" applyBorder="1" applyAlignment="1">
      <alignment vertical="center"/>
    </xf>
    <xf numFmtId="0" fontId="0" fillId="19" borderId="14" xfId="0" applyFont="1" applyFill="1" applyBorder="1" applyAlignment="1">
      <alignment vertical="center"/>
    </xf>
    <xf numFmtId="0" fontId="90" fillId="25" borderId="14" xfId="0" applyFont="1" applyFill="1" applyBorder="1" applyAlignment="1">
      <alignment horizontal="center" vertical="center"/>
    </xf>
    <xf numFmtId="0" fontId="35" fillId="27" borderId="13" xfId="15" applyBorder="1" applyAlignment="1">
      <alignment horizontal="center" vertical="center"/>
    </xf>
    <xf numFmtId="0" fontId="25" fillId="28" borderId="11" xfId="0" applyFont="1" applyFill="1" applyBorder="1" applyAlignment="1">
      <alignment horizontal="center" vertical="center"/>
    </xf>
    <xf numFmtId="1" fontId="7" fillId="28" borderId="11" xfId="0" applyNumberFormat="1" applyFont="1" applyFill="1" applyBorder="1" applyAlignment="1">
      <alignment horizontal="center" vertical="center"/>
    </xf>
    <xf numFmtId="9" fontId="7" fillId="28" borderId="11" xfId="1" applyFont="1" applyFill="1" applyBorder="1" applyAlignment="1">
      <alignment horizontal="center" vertical="center"/>
    </xf>
    <xf numFmtId="0" fontId="7" fillId="28" borderId="11" xfId="0" applyFont="1" applyFill="1" applyBorder="1" applyAlignment="1">
      <alignment horizontal="center" vertical="center"/>
    </xf>
    <xf numFmtId="165" fontId="1" fillId="29" borderId="11" xfId="6" applyNumberFormat="1" applyFill="1" applyBorder="1" applyAlignment="1">
      <alignment horizontal="center" vertical="center"/>
    </xf>
    <xf numFmtId="9" fontId="17" fillId="0" borderId="0" xfId="1" applyFont="1" applyFill="1" applyBorder="1" applyAlignment="1">
      <alignment vertical="center"/>
    </xf>
    <xf numFmtId="2" fontId="0" fillId="0" borderId="0" xfId="0" applyNumberFormat="1" applyAlignment="1">
      <alignment vertical="center"/>
    </xf>
    <xf numFmtId="9" fontId="21" fillId="0" borderId="11" xfId="1" applyFont="1" applyFill="1" applyBorder="1" applyAlignment="1">
      <alignment horizontal="left" vertical="center"/>
    </xf>
    <xf numFmtId="0" fontId="4" fillId="3" borderId="5" xfId="3" applyFont="1" applyBorder="1" applyAlignment="1">
      <alignment horizontal="left" vertical="center" indent="1"/>
    </xf>
    <xf numFmtId="0" fontId="58" fillId="0" borderId="0" xfId="0" applyFont="1" applyAlignment="1">
      <alignment vertical="center"/>
    </xf>
    <xf numFmtId="169" fontId="0" fillId="30" borderId="11" xfId="0" applyNumberFormat="1" applyFont="1" applyFill="1" applyBorder="1" applyAlignment="1">
      <alignment horizontal="center" vertical="center"/>
    </xf>
    <xf numFmtId="165" fontId="1" fillId="15" borderId="11" xfId="8" applyNumberFormat="1" applyBorder="1" applyAlignment="1">
      <alignment horizontal="center" vertical="center"/>
    </xf>
    <xf numFmtId="2" fontId="0" fillId="0" borderId="9" xfId="0" applyNumberFormat="1" applyFont="1" applyFill="1" applyBorder="1" applyAlignment="1">
      <alignment horizontal="center" vertical="center"/>
    </xf>
    <xf numFmtId="1" fontId="0" fillId="0" borderId="11" xfId="0" applyNumberFormat="1" applyFont="1" applyFill="1" applyBorder="1" applyAlignment="1">
      <alignment horizontal="center" vertical="center"/>
    </xf>
    <xf numFmtId="2" fontId="14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right" vertical="center"/>
    </xf>
    <xf numFmtId="2" fontId="7" fillId="0" borderId="0" xfId="0" applyNumberFormat="1" applyFont="1" applyFill="1" applyBorder="1" applyAlignment="1">
      <alignment horizontal="left" vertical="center"/>
    </xf>
    <xf numFmtId="0" fontId="0" fillId="0" borderId="16" xfId="0" applyFont="1" applyFill="1" applyBorder="1" applyAlignment="1">
      <alignment horizontal="right" vertical="center"/>
    </xf>
    <xf numFmtId="2" fontId="0" fillId="0" borderId="4" xfId="0" applyNumberFormat="1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9" fontId="7" fillId="0" borderId="0" xfId="1" applyFont="1" applyFill="1" applyBorder="1" applyAlignment="1">
      <alignment horizontal="center" vertical="center"/>
    </xf>
    <xf numFmtId="165" fontId="0" fillId="0" borderId="0" xfId="0" applyNumberFormat="1" applyFont="1" applyFill="1" applyBorder="1" applyAlignment="1">
      <alignment horizontal="center" vertical="center"/>
    </xf>
    <xf numFmtId="9" fontId="92" fillId="0" borderId="0" xfId="1" applyFont="1" applyFill="1" applyBorder="1" applyAlignment="1">
      <alignment horizontal="center" vertical="center"/>
    </xf>
    <xf numFmtId="2" fontId="0" fillId="0" borderId="0" xfId="1" applyNumberFormat="1" applyFont="1" applyFill="1" applyBorder="1" applyAlignment="1">
      <alignment horizontal="center" vertical="center"/>
    </xf>
    <xf numFmtId="164" fontId="0" fillId="0" borderId="0" xfId="1" applyNumberFormat="1" applyFont="1" applyFill="1" applyBorder="1" applyAlignment="1">
      <alignment horizontal="center" vertical="center"/>
    </xf>
    <xf numFmtId="165" fontId="0" fillId="0" borderId="9" xfId="0" applyNumberFormat="1" applyFont="1" applyFill="1" applyBorder="1" applyAlignment="1">
      <alignment horizontal="center" vertical="center"/>
    </xf>
    <xf numFmtId="9" fontId="7" fillId="0" borderId="9" xfId="1" applyFont="1" applyFill="1" applyBorder="1" applyAlignment="1">
      <alignment horizontal="center" vertical="center"/>
    </xf>
    <xf numFmtId="9" fontId="7" fillId="0" borderId="8" xfId="1" applyFont="1" applyBorder="1" applyAlignment="1">
      <alignment horizontal="center" vertical="center"/>
    </xf>
    <xf numFmtId="9" fontId="7" fillId="0" borderId="6" xfId="1" applyFont="1" applyBorder="1" applyAlignment="1">
      <alignment horizontal="center" vertical="center"/>
    </xf>
    <xf numFmtId="165" fontId="0" fillId="0" borderId="4" xfId="0" applyNumberFormat="1" applyFont="1" applyFill="1" applyBorder="1" applyAlignment="1">
      <alignment horizontal="center" vertical="center"/>
    </xf>
    <xf numFmtId="9" fontId="7" fillId="0" borderId="4" xfId="1" applyFont="1" applyFill="1" applyBorder="1" applyAlignment="1">
      <alignment horizontal="center" vertical="center"/>
    </xf>
    <xf numFmtId="9" fontId="7" fillId="0" borderId="3" xfId="1" applyFont="1" applyBorder="1" applyAlignment="1">
      <alignment horizontal="center" vertical="center"/>
    </xf>
    <xf numFmtId="2" fontId="0" fillId="0" borderId="9" xfId="1" applyNumberFormat="1" applyFont="1" applyFill="1" applyBorder="1" applyAlignment="1">
      <alignment horizontal="center" vertical="center"/>
    </xf>
    <xf numFmtId="164" fontId="0" fillId="0" borderId="4" xfId="1" applyNumberFormat="1" applyFont="1" applyFill="1" applyBorder="1" applyAlignment="1">
      <alignment horizontal="center" vertical="center"/>
    </xf>
    <xf numFmtId="0" fontId="21" fillId="0" borderId="9" xfId="0" applyFont="1" applyFill="1" applyBorder="1" applyAlignment="1">
      <alignment horizontal="center" vertical="center"/>
    </xf>
    <xf numFmtId="0" fontId="21" fillId="0" borderId="8" xfId="0" applyFont="1" applyFill="1" applyBorder="1" applyAlignment="1">
      <alignment horizontal="center" vertical="center"/>
    </xf>
    <xf numFmtId="165" fontId="86" fillId="31" borderId="4" xfId="0" applyNumberFormat="1" applyFont="1" applyFill="1" applyBorder="1" applyAlignment="1">
      <alignment horizontal="center" vertical="center"/>
    </xf>
    <xf numFmtId="2" fontId="86" fillId="31" borderId="4" xfId="0" applyNumberFormat="1" applyFont="1" applyFill="1" applyBorder="1" applyAlignment="1">
      <alignment horizontal="center" vertical="center"/>
    </xf>
    <xf numFmtId="9" fontId="86" fillId="31" borderId="4" xfId="1" applyFont="1" applyFill="1" applyBorder="1" applyAlignment="1">
      <alignment horizontal="center" vertical="center"/>
    </xf>
    <xf numFmtId="9" fontId="86" fillId="31" borderId="3" xfId="1" applyFont="1" applyFill="1" applyBorder="1" applyAlignment="1">
      <alignment horizontal="center" vertical="center"/>
    </xf>
    <xf numFmtId="1" fontId="56" fillId="0" borderId="15" xfId="9" applyNumberFormat="1" applyFont="1" applyFill="1" applyBorder="1" applyAlignment="1">
      <alignment horizontal="center" vertical="center"/>
    </xf>
    <xf numFmtId="0" fontId="91" fillId="31" borderId="16" xfId="0" applyFont="1" applyFill="1" applyBorder="1" applyAlignment="1">
      <alignment horizontal="right" vertical="center"/>
    </xf>
    <xf numFmtId="0" fontId="0" fillId="0" borderId="15" xfId="0" applyFont="1" applyFill="1" applyBorder="1" applyAlignment="1">
      <alignment horizontal="right" vertical="center"/>
    </xf>
    <xf numFmtId="0" fontId="0" fillId="0" borderId="17" xfId="0" applyFont="1" applyFill="1" applyBorder="1" applyAlignment="1">
      <alignment horizontal="right" vertical="center"/>
    </xf>
    <xf numFmtId="0" fontId="0" fillId="0" borderId="15" xfId="0" applyFont="1" applyBorder="1" applyAlignment="1">
      <alignment horizontal="right" vertical="center"/>
    </xf>
    <xf numFmtId="0" fontId="0" fillId="0" borderId="17" xfId="0" applyFont="1" applyBorder="1" applyAlignment="1">
      <alignment horizontal="right" vertical="center"/>
    </xf>
    <xf numFmtId="0" fontId="21" fillId="0" borderId="10" xfId="0" applyFont="1" applyFill="1" applyBorder="1" applyAlignment="1">
      <alignment horizontal="center" vertical="center"/>
    </xf>
    <xf numFmtId="9" fontId="86" fillId="31" borderId="5" xfId="1" applyFont="1" applyFill="1" applyBorder="1" applyAlignment="1">
      <alignment horizontal="center" vertical="center"/>
    </xf>
    <xf numFmtId="9" fontId="7" fillId="0" borderId="10" xfId="1" applyFont="1" applyFill="1" applyBorder="1" applyAlignment="1">
      <alignment horizontal="center" vertical="center"/>
    </xf>
    <xf numFmtId="9" fontId="7" fillId="0" borderId="7" xfId="1" applyFont="1" applyFill="1" applyBorder="1" applyAlignment="1">
      <alignment horizontal="center" vertical="center"/>
    </xf>
    <xf numFmtId="9" fontId="7" fillId="0" borderId="5" xfId="1" applyFont="1" applyFill="1" applyBorder="1" applyAlignment="1">
      <alignment horizontal="center" vertical="center"/>
    </xf>
    <xf numFmtId="166" fontId="88" fillId="7" borderId="11" xfId="0" applyNumberFormat="1" applyFont="1" applyFill="1" applyBorder="1" applyAlignment="1">
      <alignment horizontal="center" vertical="center"/>
    </xf>
    <xf numFmtId="166" fontId="81" fillId="0" borderId="11" xfId="0" applyNumberFormat="1" applyFont="1" applyFill="1" applyBorder="1" applyAlignment="1">
      <alignment horizontal="center" vertical="center"/>
    </xf>
    <xf numFmtId="1" fontId="39" fillId="19" borderId="11" xfId="1" applyNumberFormat="1" applyFont="1" applyFill="1" applyBorder="1" applyAlignment="1">
      <alignment horizontal="right" vertical="center"/>
    </xf>
    <xf numFmtId="1" fontId="35" fillId="23" borderId="13" xfId="14" applyNumberFormat="1" applyBorder="1" applyAlignment="1">
      <alignment horizontal="right" vertical="center"/>
    </xf>
    <xf numFmtId="0" fontId="0" fillId="7" borderId="11" xfId="0" applyFont="1" applyFill="1" applyBorder="1" applyAlignment="1">
      <alignment vertical="center"/>
    </xf>
    <xf numFmtId="1" fontId="0" fillId="7" borderId="11" xfId="0" applyNumberFormat="1" applyFont="1" applyFill="1" applyBorder="1" applyAlignment="1">
      <alignment horizontal="center" vertical="center"/>
    </xf>
    <xf numFmtId="0" fontId="0" fillId="11" borderId="11" xfId="0" applyFont="1" applyFill="1" applyBorder="1" applyAlignment="1">
      <alignment vertical="center"/>
    </xf>
    <xf numFmtId="1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9" fontId="14" fillId="0" borderId="0" xfId="0" applyNumberFormat="1" applyFont="1" applyFill="1" applyBorder="1" applyAlignment="1">
      <alignment horizontal="left" vertical="center"/>
    </xf>
    <xf numFmtId="0" fontId="3" fillId="32" borderId="0" xfId="0" applyFont="1" applyFill="1" applyAlignment="1">
      <alignment horizontal="center"/>
    </xf>
    <xf numFmtId="0" fontId="93" fillId="0" borderId="11" xfId="0" quotePrefix="1" applyFont="1" applyBorder="1"/>
    <xf numFmtId="9" fontId="14" fillId="0" borderId="0" xfId="1" applyFont="1" applyFill="1" applyBorder="1" applyAlignment="1">
      <alignment horizontal="center" vertical="center"/>
    </xf>
    <xf numFmtId="0" fontId="94" fillId="0" borderId="11" xfId="12" applyFont="1" applyBorder="1" applyAlignment="1">
      <alignment horizontal="center" wrapText="1"/>
    </xf>
    <xf numFmtId="10" fontId="94" fillId="0" borderId="11" xfId="12" applyNumberFormat="1" applyFont="1" applyFill="1" applyBorder="1" applyAlignment="1">
      <alignment horizontal="center"/>
    </xf>
    <xf numFmtId="10" fontId="94" fillId="0" borderId="11" xfId="12" applyNumberFormat="1" applyFont="1" applyFill="1" applyBorder="1" applyAlignment="1">
      <alignment horizontal="center" vertical="center"/>
    </xf>
    <xf numFmtId="0" fontId="76" fillId="4" borderId="11" xfId="12" applyNumberFormat="1" applyFill="1" applyBorder="1" applyAlignment="1">
      <alignment horizontal="center"/>
    </xf>
    <xf numFmtId="10" fontId="76" fillId="4" borderId="11" xfId="12" applyNumberFormat="1" applyFill="1" applyBorder="1" applyAlignment="1">
      <alignment horizontal="center"/>
    </xf>
    <xf numFmtId="10" fontId="0" fillId="4" borderId="11" xfId="0" applyNumberFormat="1" applyFill="1" applyBorder="1" applyAlignment="1">
      <alignment horizontal="center"/>
    </xf>
    <xf numFmtId="0" fontId="76" fillId="7" borderId="11" xfId="12" applyNumberFormat="1" applyFill="1" applyBorder="1" applyAlignment="1">
      <alignment horizontal="center"/>
    </xf>
    <xf numFmtId="10" fontId="76" fillId="7" borderId="11" xfId="12" applyNumberFormat="1" applyFill="1" applyBorder="1" applyAlignment="1">
      <alignment horizontal="center"/>
    </xf>
    <xf numFmtId="10" fontId="0" fillId="7" borderId="11" xfId="0" applyNumberFormat="1" applyFill="1" applyBorder="1" applyAlignment="1">
      <alignment horizontal="center"/>
    </xf>
    <xf numFmtId="0" fontId="76" fillId="22" borderId="11" xfId="12" applyNumberFormat="1" applyFill="1" applyBorder="1" applyAlignment="1">
      <alignment horizontal="center"/>
    </xf>
    <xf numFmtId="10" fontId="76" fillId="22" borderId="11" xfId="12" applyNumberFormat="1" applyFill="1" applyBorder="1" applyAlignment="1">
      <alignment horizontal="center"/>
    </xf>
    <xf numFmtId="10" fontId="0" fillId="22" borderId="11" xfId="0" applyNumberFormat="1" applyFill="1" applyBorder="1" applyAlignment="1">
      <alignment horizontal="center"/>
    </xf>
    <xf numFmtId="0" fontId="76" fillId="10" borderId="11" xfId="12" applyNumberFormat="1" applyFill="1" applyBorder="1" applyAlignment="1">
      <alignment horizontal="center"/>
    </xf>
    <xf numFmtId="10" fontId="76" fillId="10" borderId="11" xfId="12" applyNumberFormat="1" applyFill="1" applyBorder="1" applyAlignment="1">
      <alignment horizontal="center"/>
    </xf>
    <xf numFmtId="10" fontId="0" fillId="10" borderId="11" xfId="0" applyNumberFormat="1" applyFill="1" applyBorder="1" applyAlignment="1">
      <alignment horizontal="center"/>
    </xf>
    <xf numFmtId="0" fontId="76" fillId="33" borderId="11" xfId="12" applyNumberFormat="1" applyFill="1" applyBorder="1" applyAlignment="1">
      <alignment horizontal="center"/>
    </xf>
    <xf numFmtId="10" fontId="76" fillId="33" borderId="11" xfId="12" applyNumberFormat="1" applyFill="1" applyBorder="1" applyAlignment="1">
      <alignment horizontal="center"/>
    </xf>
    <xf numFmtId="10" fontId="0" fillId="33" borderId="11" xfId="0" applyNumberFormat="1" applyFill="1" applyBorder="1" applyAlignment="1">
      <alignment horizontal="center"/>
    </xf>
    <xf numFmtId="10" fontId="95" fillId="4" borderId="11" xfId="12" applyNumberFormat="1" applyFont="1" applyFill="1" applyBorder="1" applyAlignment="1">
      <alignment horizontal="center"/>
    </xf>
    <xf numFmtId="10" fontId="95" fillId="22" borderId="11" xfId="12" applyNumberFormat="1" applyFont="1" applyFill="1" applyBorder="1" applyAlignment="1">
      <alignment horizontal="center"/>
    </xf>
    <xf numFmtId="10" fontId="95" fillId="10" borderId="11" xfId="12" applyNumberFormat="1" applyFont="1" applyFill="1" applyBorder="1" applyAlignment="1">
      <alignment horizontal="center"/>
    </xf>
    <xf numFmtId="10" fontId="95" fillId="33" borderId="11" xfId="12" applyNumberFormat="1" applyFont="1" applyFill="1" applyBorder="1" applyAlignment="1">
      <alignment horizontal="center"/>
    </xf>
    <xf numFmtId="10" fontId="95" fillId="7" borderId="11" xfId="12" applyNumberFormat="1" applyFont="1" applyFill="1" applyBorder="1" applyAlignment="1">
      <alignment horizontal="center"/>
    </xf>
    <xf numFmtId="164" fontId="0" fillId="22" borderId="11" xfId="0" applyNumberFormat="1" applyFill="1" applyBorder="1" applyAlignment="1">
      <alignment horizontal="center" vertical="center"/>
    </xf>
    <xf numFmtId="0" fontId="0" fillId="0" borderId="10" xfId="0" applyFont="1" applyBorder="1" applyAlignment="1">
      <alignment vertical="center"/>
    </xf>
    <xf numFmtId="2" fontId="0" fillId="0" borderId="9" xfId="0" applyNumberFormat="1" applyFont="1" applyBorder="1" applyAlignment="1">
      <alignment horizontal="center" vertical="center"/>
    </xf>
    <xf numFmtId="0" fontId="0" fillId="0" borderId="9" xfId="0" applyFont="1" applyBorder="1" applyAlignment="1">
      <alignment vertical="center"/>
    </xf>
    <xf numFmtId="2" fontId="0" fillId="0" borderId="6" xfId="0" applyNumberFormat="1" applyFont="1" applyBorder="1" applyAlignment="1">
      <alignment horizontal="center" vertical="center"/>
    </xf>
    <xf numFmtId="0" fontId="0" fillId="22" borderId="5" xfId="0" applyFont="1" applyFill="1" applyBorder="1" applyAlignment="1">
      <alignment vertical="center"/>
    </xf>
    <xf numFmtId="0" fontId="0" fillId="22" borderId="4" xfId="0" applyFont="1" applyFill="1" applyBorder="1" applyAlignment="1">
      <alignment vertical="center"/>
    </xf>
    <xf numFmtId="2" fontId="0" fillId="22" borderId="3" xfId="0" applyNumberFormat="1" applyFont="1" applyFill="1" applyBorder="1" applyAlignment="1">
      <alignment horizontal="center" vertical="center"/>
    </xf>
    <xf numFmtId="2" fontId="0" fillId="0" borderId="8" xfId="0" applyNumberFormat="1" applyFont="1" applyBorder="1" applyAlignment="1">
      <alignment horizontal="left" vertical="center"/>
    </xf>
    <xf numFmtId="170" fontId="0" fillId="0" borderId="0" xfId="0" applyNumberFormat="1"/>
    <xf numFmtId="169" fontId="0" fillId="0" borderId="0" xfId="0" applyNumberFormat="1"/>
    <xf numFmtId="164" fontId="0" fillId="0" borderId="0" xfId="0" applyNumberFormat="1"/>
    <xf numFmtId="167" fontId="0" fillId="0" borderId="0" xfId="0" applyNumberFormat="1"/>
    <xf numFmtId="9" fontId="0" fillId="0" borderId="0" xfId="1" applyFont="1"/>
    <xf numFmtId="10" fontId="0" fillId="0" borderId="0" xfId="1" applyNumberFormat="1" applyFont="1" applyAlignment="1">
      <alignment vertical="center"/>
    </xf>
    <xf numFmtId="0" fontId="0" fillId="12" borderId="0" xfId="0" applyFont="1" applyFill="1" applyAlignment="1">
      <alignment vertical="center"/>
    </xf>
    <xf numFmtId="0" fontId="70" fillId="12" borderId="11" xfId="11" applyFill="1" applyBorder="1" applyAlignment="1">
      <alignment vertical="center"/>
    </xf>
    <xf numFmtId="0" fontId="0" fillId="12" borderId="0" xfId="0" quotePrefix="1" applyFont="1" applyFill="1" applyAlignment="1">
      <alignment vertical="center"/>
    </xf>
    <xf numFmtId="0" fontId="52" fillId="12" borderId="11" xfId="9" applyFill="1" applyBorder="1" applyAlignment="1">
      <alignment vertical="center"/>
    </xf>
    <xf numFmtId="0" fontId="0" fillId="12" borderId="9" xfId="0" applyFont="1" applyFill="1" applyBorder="1" applyAlignment="1">
      <alignment vertical="center"/>
    </xf>
    <xf numFmtId="0" fontId="0" fillId="12" borderId="8" xfId="0" applyFont="1" applyFill="1" applyBorder="1" applyAlignment="1">
      <alignment vertical="center"/>
    </xf>
    <xf numFmtId="0" fontId="0" fillId="12" borderId="7" xfId="0" applyFont="1" applyFill="1" applyBorder="1" applyAlignment="1">
      <alignment vertical="center"/>
    </xf>
    <xf numFmtId="0" fontId="0" fillId="12" borderId="6" xfId="0" applyFont="1" applyFill="1" applyBorder="1" applyAlignment="1">
      <alignment vertical="center"/>
    </xf>
    <xf numFmtId="0" fontId="0" fillId="12" borderId="0" xfId="0" applyFont="1" applyFill="1" applyBorder="1" applyAlignment="1">
      <alignment vertical="center"/>
    </xf>
    <xf numFmtId="0" fontId="4" fillId="12" borderId="5" xfId="0" applyFont="1" applyFill="1" applyBorder="1" applyAlignment="1">
      <alignment horizontal="right" vertical="center"/>
    </xf>
    <xf numFmtId="0" fontId="81" fillId="12" borderId="4" xfId="0" applyFont="1" applyFill="1" applyBorder="1" applyAlignment="1">
      <alignment horizontal="left" vertical="center"/>
    </xf>
    <xf numFmtId="0" fontId="4" fillId="12" borderId="3" xfId="0" applyFont="1" applyFill="1" applyBorder="1" applyAlignment="1">
      <alignment vertical="center"/>
    </xf>
    <xf numFmtId="0" fontId="61" fillId="12" borderId="10" xfId="0" applyFont="1" applyFill="1" applyBorder="1" applyAlignment="1">
      <alignment vertical="center"/>
    </xf>
    <xf numFmtId="166" fontId="61" fillId="12" borderId="9" xfId="0" applyNumberFormat="1" applyFont="1" applyFill="1" applyBorder="1" applyAlignment="1">
      <alignment vertical="center"/>
    </xf>
    <xf numFmtId="0" fontId="61" fillId="12" borderId="8" xfId="0" applyFont="1" applyFill="1" applyBorder="1" applyAlignment="1">
      <alignment vertical="center"/>
    </xf>
    <xf numFmtId="0" fontId="71" fillId="12" borderId="7" xfId="0" applyFont="1" applyFill="1" applyBorder="1" applyAlignment="1">
      <alignment vertical="center"/>
    </xf>
    <xf numFmtId="166" fontId="71" fillId="12" borderId="0" xfId="0" applyNumberFormat="1" applyFont="1" applyFill="1" applyBorder="1" applyAlignment="1">
      <alignment vertical="center"/>
    </xf>
    <xf numFmtId="0" fontId="71" fillId="12" borderId="6" xfId="0" applyFont="1" applyFill="1" applyBorder="1" applyAlignment="1">
      <alignment vertical="center"/>
    </xf>
    <xf numFmtId="0" fontId="0" fillId="12" borderId="7" xfId="0" applyFont="1" applyFill="1" applyBorder="1" applyAlignment="1">
      <alignment horizontal="left" vertical="center" indent="1"/>
    </xf>
    <xf numFmtId="166" fontId="25" fillId="12" borderId="0" xfId="0" applyNumberFormat="1" applyFont="1" applyFill="1" applyBorder="1" applyAlignment="1">
      <alignment vertical="center"/>
    </xf>
    <xf numFmtId="0" fontId="25" fillId="12" borderId="6" xfId="0" applyFont="1" applyFill="1" applyBorder="1" applyAlignment="1">
      <alignment vertical="center"/>
    </xf>
    <xf numFmtId="0" fontId="0" fillId="12" borderId="5" xfId="0" applyFont="1" applyFill="1" applyBorder="1" applyAlignment="1">
      <alignment horizontal="left" vertical="center" indent="1"/>
    </xf>
    <xf numFmtId="166" fontId="25" fillId="12" borderId="4" xfId="0" applyNumberFormat="1" applyFont="1" applyFill="1" applyBorder="1" applyAlignment="1">
      <alignment vertical="center"/>
    </xf>
    <xf numFmtId="0" fontId="25" fillId="12" borderId="3" xfId="0" applyFont="1" applyFill="1" applyBorder="1" applyAlignment="1">
      <alignment vertical="center"/>
    </xf>
    <xf numFmtId="0" fontId="3" fillId="12" borderId="6" xfId="0" applyFont="1" applyFill="1" applyBorder="1" applyAlignment="1">
      <alignment vertical="center"/>
    </xf>
    <xf numFmtId="166" fontId="3" fillId="12" borderId="0" xfId="16" applyNumberFormat="1" applyFont="1" applyFill="1" applyBorder="1" applyAlignment="1">
      <alignment vertical="center"/>
    </xf>
    <xf numFmtId="0" fontId="98" fillId="0" borderId="11" xfId="0" applyFont="1" applyBorder="1" applyAlignment="1">
      <alignment horizontal="left"/>
    </xf>
    <xf numFmtId="11" fontId="11" fillId="28" borderId="11" xfId="0" applyNumberFormat="1" applyFont="1" applyFill="1" applyBorder="1" applyAlignment="1">
      <alignment horizontal="center" vertical="center"/>
    </xf>
    <xf numFmtId="170" fontId="11" fillId="28" borderId="11" xfId="0" applyNumberFormat="1" applyFont="1" applyFill="1" applyBorder="1" applyAlignment="1">
      <alignment horizontal="center" vertical="center"/>
    </xf>
    <xf numFmtId="0" fontId="0" fillId="12" borderId="0" xfId="0" applyFill="1" applyAlignment="1">
      <alignment vertical="center"/>
    </xf>
    <xf numFmtId="0" fontId="21" fillId="12" borderId="0" xfId="0" applyFont="1" applyFill="1" applyBorder="1" applyAlignment="1">
      <alignment horizontal="left" vertical="center"/>
    </xf>
    <xf numFmtId="2" fontId="0" fillId="12" borderId="0" xfId="0" applyNumberFormat="1" applyFont="1" applyFill="1" applyAlignment="1">
      <alignment horizontal="center" vertical="center"/>
    </xf>
    <xf numFmtId="0" fontId="17" fillId="12" borderId="0" xfId="0" applyFont="1" applyFill="1" applyBorder="1" applyAlignment="1">
      <alignment vertical="center"/>
    </xf>
    <xf numFmtId="0" fontId="80" fillId="12" borderId="0" xfId="0" applyFont="1" applyFill="1" applyAlignment="1">
      <alignment vertical="center"/>
    </xf>
    <xf numFmtId="0" fontId="0" fillId="12" borderId="11" xfId="0" applyFont="1" applyFill="1" applyBorder="1" applyAlignment="1">
      <alignment horizontal="center" vertical="center"/>
    </xf>
    <xf numFmtId="2" fontId="11" fillId="12" borderId="0" xfId="0" applyNumberFormat="1" applyFont="1" applyFill="1" applyAlignment="1">
      <alignment horizontal="center" vertical="center"/>
    </xf>
    <xf numFmtId="0" fontId="59" fillId="12" borderId="0" xfId="0" applyFont="1" applyFill="1" applyBorder="1" applyAlignment="1">
      <alignment horizontal="left" vertical="center"/>
    </xf>
    <xf numFmtId="11" fontId="11" fillId="12" borderId="0" xfId="0" applyNumberFormat="1" applyFont="1" applyFill="1" applyAlignment="1">
      <alignment horizontal="center" vertical="center"/>
    </xf>
    <xf numFmtId="0" fontId="0" fillId="12" borderId="14" xfId="0" applyFont="1" applyFill="1" applyBorder="1" applyAlignment="1">
      <alignment vertical="center"/>
    </xf>
    <xf numFmtId="0" fontId="25" fillId="12" borderId="0" xfId="0" applyFont="1" applyFill="1" applyAlignment="1">
      <alignment horizontal="center" vertical="center"/>
    </xf>
    <xf numFmtId="2" fontId="81" fillId="0" borderId="11" xfId="0" applyNumberFormat="1" applyFont="1" applyFill="1" applyBorder="1" applyAlignment="1">
      <alignment horizontal="center" vertical="center"/>
    </xf>
    <xf numFmtId="0" fontId="100" fillId="0" borderId="0" xfId="0" applyFont="1"/>
    <xf numFmtId="14" fontId="0" fillId="0" borderId="0" xfId="0" applyNumberFormat="1"/>
    <xf numFmtId="166" fontId="0" fillId="0" borderId="0" xfId="0" applyNumberFormat="1" applyAlignment="1">
      <alignment horizontal="center"/>
    </xf>
    <xf numFmtId="11" fontId="0" fillId="12" borderId="0" xfId="0" applyNumberFormat="1" applyFont="1" applyFill="1" applyAlignment="1">
      <alignment vertical="center"/>
    </xf>
    <xf numFmtId="0" fontId="0" fillId="12" borderId="10" xfId="0" applyFont="1" applyFill="1" applyBorder="1" applyAlignment="1">
      <alignment vertical="center"/>
    </xf>
    <xf numFmtId="1" fontId="0" fillId="12" borderId="0" xfId="0" applyNumberFormat="1" applyFont="1" applyFill="1" applyBorder="1" applyAlignment="1">
      <alignment vertical="center"/>
    </xf>
    <xf numFmtId="0" fontId="0" fillId="12" borderId="5" xfId="0" applyFont="1" applyFill="1" applyBorder="1" applyAlignment="1">
      <alignment vertical="center"/>
    </xf>
    <xf numFmtId="0" fontId="0" fillId="12" borderId="4" xfId="0" applyFont="1" applyFill="1" applyBorder="1" applyAlignment="1">
      <alignment vertical="center"/>
    </xf>
    <xf numFmtId="164" fontId="0" fillId="12" borderId="5" xfId="0" applyNumberFormat="1" applyFont="1" applyFill="1" applyBorder="1" applyAlignment="1">
      <alignment vertical="center"/>
    </xf>
    <xf numFmtId="9" fontId="0" fillId="12" borderId="4" xfId="1" applyFont="1" applyFill="1" applyBorder="1" applyAlignment="1">
      <alignment vertical="center"/>
    </xf>
    <xf numFmtId="166" fontId="0" fillId="12" borderId="9" xfId="0" applyNumberFormat="1" applyFont="1" applyFill="1" applyBorder="1" applyAlignment="1">
      <alignment vertical="center"/>
    </xf>
    <xf numFmtId="166" fontId="0" fillId="12" borderId="0" xfId="0" applyNumberFormat="1" applyFont="1" applyFill="1" applyBorder="1" applyAlignment="1">
      <alignment vertical="center"/>
    </xf>
    <xf numFmtId="166" fontId="0" fillId="12" borderId="4" xfId="0" applyNumberFormat="1" applyFont="1" applyFill="1" applyBorder="1" applyAlignment="1">
      <alignment vertical="center"/>
    </xf>
    <xf numFmtId="0" fontId="33" fillId="12" borderId="8" xfId="0" applyFont="1" applyFill="1" applyBorder="1" applyAlignment="1">
      <alignment vertical="center"/>
    </xf>
    <xf numFmtId="0" fontId="33" fillId="12" borderId="6" xfId="0" applyFont="1" applyFill="1" applyBorder="1" applyAlignment="1">
      <alignment vertical="center"/>
    </xf>
    <xf numFmtId="0" fontId="33" fillId="12" borderId="3" xfId="0" applyFont="1" applyFill="1" applyBorder="1" applyAlignment="1">
      <alignment vertical="center"/>
    </xf>
    <xf numFmtId="164" fontId="33" fillId="12" borderId="3" xfId="0" applyNumberFormat="1" applyFont="1" applyFill="1" applyBorder="1" applyAlignment="1">
      <alignment vertical="center"/>
    </xf>
    <xf numFmtId="164" fontId="0" fillId="12" borderId="7" xfId="0" applyNumberFormat="1" applyFont="1" applyFill="1" applyBorder="1" applyAlignment="1">
      <alignment vertical="center"/>
    </xf>
    <xf numFmtId="164" fontId="33" fillId="12" borderId="6" xfId="0" applyNumberFormat="1" applyFont="1" applyFill="1" applyBorder="1" applyAlignment="1">
      <alignment vertical="center"/>
    </xf>
    <xf numFmtId="0" fontId="0" fillId="12" borderId="13" xfId="0" applyFont="1" applyFill="1" applyBorder="1" applyAlignment="1">
      <alignment vertical="center"/>
    </xf>
    <xf numFmtId="0" fontId="52" fillId="12" borderId="11" xfId="9" applyFill="1" applyBorder="1" applyAlignment="1">
      <alignment horizontal="center" vertical="center"/>
    </xf>
    <xf numFmtId="0" fontId="71" fillId="12" borderId="12" xfId="0" applyFont="1" applyFill="1" applyBorder="1" applyAlignment="1">
      <alignment vertical="center"/>
    </xf>
    <xf numFmtId="11" fontId="0" fillId="12" borderId="11" xfId="0" applyNumberFormat="1" applyFont="1" applyFill="1" applyBorder="1" applyAlignment="1">
      <alignment horizontal="center" vertical="center"/>
    </xf>
    <xf numFmtId="11" fontId="101" fillId="5" borderId="7" xfId="0" applyNumberFormat="1" applyFont="1" applyFill="1" applyBorder="1" applyAlignment="1">
      <alignment horizontal="center" vertical="center"/>
    </xf>
    <xf numFmtId="0" fontId="101" fillId="5" borderId="0" xfId="0" applyFont="1" applyFill="1" applyBorder="1" applyAlignment="1">
      <alignment horizontal="center" vertical="center"/>
    </xf>
    <xf numFmtId="0" fontId="101" fillId="5" borderId="6" xfId="0" applyFont="1" applyFill="1" applyBorder="1" applyAlignment="1">
      <alignment horizontal="center" vertical="center"/>
    </xf>
    <xf numFmtId="165" fontId="4" fillId="12" borderId="12" xfId="0" applyNumberFormat="1" applyFont="1" applyFill="1" applyBorder="1" applyAlignment="1">
      <alignment vertical="center"/>
    </xf>
    <xf numFmtId="0" fontId="102" fillId="12" borderId="0" xfId="0" applyFont="1" applyFill="1" applyAlignment="1">
      <alignment vertical="center"/>
    </xf>
    <xf numFmtId="0" fontId="103" fillId="12" borderId="0" xfId="0" applyFont="1" applyFill="1" applyAlignment="1">
      <alignment vertical="center"/>
    </xf>
    <xf numFmtId="0" fontId="7" fillId="35" borderId="11" xfId="13" applyFont="1" applyFill="1" applyBorder="1" applyAlignment="1">
      <alignment horizontal="center" vertical="center"/>
    </xf>
    <xf numFmtId="0" fontId="45" fillId="35" borderId="11" xfId="0" applyFont="1" applyFill="1" applyBorder="1" applyAlignment="1">
      <alignment horizontal="center" vertical="center"/>
    </xf>
    <xf numFmtId="166" fontId="74" fillId="35" borderId="11" xfId="0" applyNumberFormat="1" applyFont="1" applyFill="1" applyBorder="1" applyAlignment="1">
      <alignment horizontal="center" vertical="center"/>
    </xf>
    <xf numFmtId="1" fontId="7" fillId="35" borderId="11" xfId="0" applyNumberFormat="1" applyFont="1" applyFill="1" applyBorder="1" applyAlignment="1">
      <alignment horizontal="center" vertical="center"/>
    </xf>
    <xf numFmtId="2" fontId="74" fillId="35" borderId="11" xfId="0" applyNumberFormat="1" applyFont="1" applyFill="1" applyBorder="1" applyAlignment="1">
      <alignment horizontal="center" vertical="center"/>
    </xf>
    <xf numFmtId="9" fontId="85" fillId="35" borderId="11" xfId="0" applyNumberFormat="1" applyFont="1" applyFill="1" applyBorder="1" applyAlignment="1">
      <alignment horizontal="center" vertical="center"/>
    </xf>
    <xf numFmtId="9" fontId="81" fillId="35" borderId="11" xfId="0" applyNumberFormat="1" applyFont="1" applyFill="1" applyBorder="1" applyAlignment="1">
      <alignment horizontal="center" vertical="center"/>
    </xf>
    <xf numFmtId="166" fontId="9" fillId="35" borderId="11" xfId="0" applyNumberFormat="1" applyFont="1" applyFill="1" applyBorder="1" applyAlignment="1">
      <alignment horizontal="center" vertical="center"/>
    </xf>
    <xf numFmtId="165" fontId="9" fillId="35" borderId="11" xfId="0" applyNumberFormat="1" applyFont="1" applyFill="1" applyBorder="1" applyAlignment="1">
      <alignment horizontal="center" vertical="center"/>
    </xf>
    <xf numFmtId="166" fontId="81" fillId="35" borderId="11" xfId="0" applyNumberFormat="1" applyFont="1" applyFill="1" applyBorder="1" applyAlignment="1">
      <alignment horizontal="center" vertical="center"/>
    </xf>
    <xf numFmtId="0" fontId="0" fillId="12" borderId="4" xfId="0" applyFont="1" applyFill="1" applyBorder="1" applyAlignment="1">
      <alignment horizontal="center" vertical="center"/>
    </xf>
    <xf numFmtId="0" fontId="0" fillId="12" borderId="3" xfId="0" applyFont="1" applyFill="1" applyBorder="1" applyAlignment="1">
      <alignment horizontal="center" vertical="center"/>
    </xf>
    <xf numFmtId="0" fontId="0" fillId="12" borderId="9" xfId="0" applyFont="1" applyFill="1" applyBorder="1" applyAlignment="1">
      <alignment horizontal="center" vertical="center"/>
    </xf>
    <xf numFmtId="0" fontId="0" fillId="12" borderId="8" xfId="0" applyFont="1" applyFill="1" applyBorder="1" applyAlignment="1">
      <alignment horizontal="center" vertical="center"/>
    </xf>
    <xf numFmtId="0" fontId="0" fillId="12" borderId="0" xfId="0" applyFont="1" applyFill="1" applyBorder="1" applyAlignment="1">
      <alignment horizontal="center" vertical="center"/>
    </xf>
    <xf numFmtId="0" fontId="0" fillId="12" borderId="6" xfId="0" applyFont="1" applyFill="1" applyBorder="1" applyAlignment="1">
      <alignment horizontal="center" vertical="center"/>
    </xf>
    <xf numFmtId="1" fontId="0" fillId="12" borderId="0" xfId="0" applyNumberFormat="1" applyFont="1" applyFill="1" applyBorder="1" applyAlignment="1">
      <alignment horizontal="center" vertical="center"/>
    </xf>
    <xf numFmtId="0" fontId="0" fillId="0" borderId="13" xfId="0" applyFont="1" applyBorder="1" applyAlignment="1">
      <alignment vertical="center"/>
    </xf>
    <xf numFmtId="0" fontId="0" fillId="12" borderId="14" xfId="0" applyFont="1" applyFill="1" applyBorder="1" applyAlignment="1">
      <alignment horizontal="center" vertical="center"/>
    </xf>
    <xf numFmtId="11" fontId="0" fillId="10" borderId="11" xfId="0" applyNumberFormat="1" applyFill="1" applyBorder="1" applyAlignment="1">
      <alignment horizontal="center" vertical="center"/>
    </xf>
    <xf numFmtId="166" fontId="0" fillId="4" borderId="11" xfId="0" applyNumberForma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2" xfId="0" applyFont="1" applyFill="1" applyBorder="1" applyAlignment="1">
      <alignment vertical="center"/>
    </xf>
    <xf numFmtId="2" fontId="0" fillId="12" borderId="0" xfId="0" applyNumberFormat="1" applyFont="1" applyFill="1" applyBorder="1" applyAlignment="1">
      <alignment vertical="center"/>
    </xf>
    <xf numFmtId="0" fontId="0" fillId="7" borderId="0" xfId="0" applyFill="1" applyAlignment="1">
      <alignment vertical="center"/>
    </xf>
    <xf numFmtId="0" fontId="0" fillId="0" borderId="10" xfId="0" applyBorder="1" applyAlignment="1">
      <alignment vertical="center"/>
    </xf>
    <xf numFmtId="0" fontId="33" fillId="0" borderId="9" xfId="0" applyFont="1" applyBorder="1" applyAlignment="1">
      <alignment horizontal="right"/>
    </xf>
    <xf numFmtId="11" fontId="5" fillId="0" borderId="0" xfId="0" applyNumberFormat="1" applyFont="1" applyBorder="1" applyAlignment="1">
      <alignment horizontal="center"/>
    </xf>
    <xf numFmtId="11" fontId="5" fillId="0" borderId="6" xfId="0" applyNumberFormat="1" applyFont="1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0" fontId="33" fillId="0" borderId="4" xfId="0" applyFont="1" applyBorder="1" applyAlignment="1">
      <alignment horizontal="right"/>
    </xf>
    <xf numFmtId="0" fontId="0" fillId="4" borderId="11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166" fontId="0" fillId="10" borderId="11" xfId="0" applyNumberFormat="1" applyFill="1" applyBorder="1" applyAlignment="1">
      <alignment horizontal="center" vertical="center"/>
    </xf>
    <xf numFmtId="11" fontId="5" fillId="0" borderId="0" xfId="0" quotePrefix="1" applyNumberFormat="1" applyFont="1" applyBorder="1" applyAlignment="1">
      <alignment horizontal="center" vertical="center"/>
    </xf>
    <xf numFmtId="11" fontId="104" fillId="4" borderId="11" xfId="9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0" fontId="29" fillId="10" borderId="11" xfId="0" applyFont="1" applyFill="1" applyBorder="1" applyAlignment="1">
      <alignment horizontal="center" vertical="center"/>
    </xf>
    <xf numFmtId="11" fontId="0" fillId="0" borderId="0" xfId="0" applyNumberFormat="1" applyFont="1" applyBorder="1" applyAlignment="1">
      <alignment horizontal="center" vertical="center"/>
    </xf>
    <xf numFmtId="11" fontId="0" fillId="0" borderId="6" xfId="0" applyNumberFormat="1" applyFont="1" applyBorder="1" applyAlignment="1">
      <alignment horizontal="center" vertical="center"/>
    </xf>
    <xf numFmtId="11" fontId="0" fillId="0" borderId="9" xfId="0" applyNumberFormat="1" applyFont="1" applyBorder="1" applyAlignment="1">
      <alignment horizontal="center" vertical="center"/>
    </xf>
    <xf numFmtId="11" fontId="0" fillId="0" borderId="8" xfId="0" applyNumberFormat="1" applyFont="1" applyBorder="1" applyAlignment="1">
      <alignment horizontal="center" vertical="center"/>
    </xf>
    <xf numFmtId="11" fontId="104" fillId="9" borderId="11" xfId="9" applyNumberFormat="1" applyFont="1" applyFill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7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1" fontId="4" fillId="0" borderId="9" xfId="0" applyNumberFormat="1" applyFont="1" applyBorder="1" applyAlignment="1">
      <alignment horizontal="center" vertical="center"/>
    </xf>
    <xf numFmtId="0" fontId="4" fillId="9" borderId="11" xfId="0" applyFont="1" applyFill="1" applyBorder="1" applyAlignment="1">
      <alignment horizontal="center" vertical="center"/>
    </xf>
    <xf numFmtId="0" fontId="73" fillId="0" borderId="11" xfId="0" applyFont="1" applyBorder="1" applyAlignment="1">
      <alignment horizontal="center"/>
    </xf>
    <xf numFmtId="170" fontId="73" fillId="0" borderId="11" xfId="0" applyNumberFormat="1" applyFont="1" applyBorder="1" applyAlignment="1">
      <alignment horizontal="center" vertical="center"/>
    </xf>
    <xf numFmtId="11" fontId="73" fillId="0" borderId="11" xfId="0" applyNumberFormat="1" applyFont="1" applyBorder="1" applyAlignment="1">
      <alignment horizontal="center"/>
    </xf>
    <xf numFmtId="170" fontId="73" fillId="0" borderId="11" xfId="0" applyNumberFormat="1" applyFont="1" applyBorder="1" applyAlignment="1">
      <alignment horizontal="center"/>
    </xf>
    <xf numFmtId="0" fontId="73" fillId="0" borderId="11" xfId="0" applyFont="1" applyBorder="1" applyAlignment="1">
      <alignment horizontal="center" vertical="center"/>
    </xf>
    <xf numFmtId="165" fontId="73" fillId="0" borderId="11" xfId="0" applyNumberFormat="1" applyFont="1" applyBorder="1" applyAlignment="1">
      <alignment horizontal="center"/>
    </xf>
    <xf numFmtId="165" fontId="73" fillId="0" borderId="11" xfId="0" applyNumberFormat="1" applyFont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70" fontId="0" fillId="0" borderId="0" xfId="0" applyNumberFormat="1" applyFill="1" applyBorder="1" applyAlignment="1">
      <alignment horizontal="center" vertical="center"/>
    </xf>
    <xf numFmtId="0" fontId="38" fillId="0" borderId="0" xfId="0" applyFont="1" applyFill="1"/>
    <xf numFmtId="0" fontId="0" fillId="0" borderId="0" xfId="0" applyFill="1" applyAlignment="1">
      <alignment horizontal="center" vertical="center"/>
    </xf>
    <xf numFmtId="11" fontId="0" fillId="0" borderId="0" xfId="0" applyNumberFormat="1" applyFill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2" fontId="105" fillId="0" borderId="11" xfId="0" applyNumberFormat="1" applyFont="1" applyFill="1" applyBorder="1" applyAlignment="1">
      <alignment horizontal="center" vertical="center"/>
    </xf>
    <xf numFmtId="11" fontId="105" fillId="0" borderId="11" xfId="0" applyNumberFormat="1" applyFont="1" applyFill="1" applyBorder="1" applyAlignment="1">
      <alignment horizontal="center" vertical="center"/>
    </xf>
    <xf numFmtId="170" fontId="105" fillId="0" borderId="11" xfId="0" applyNumberFormat="1" applyFont="1" applyFill="1" applyBorder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2" fontId="0" fillId="0" borderId="11" xfId="0" applyNumberFormat="1" applyFill="1" applyBorder="1" applyAlignment="1">
      <alignment horizontal="center" vertical="center"/>
    </xf>
    <xf numFmtId="11" fontId="0" fillId="0" borderId="11" xfId="0" applyNumberFormat="1" applyFill="1" applyBorder="1" applyAlignment="1">
      <alignment horizontal="center" vertical="center"/>
    </xf>
    <xf numFmtId="170" fontId="0" fillId="0" borderId="11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1" fontId="0" fillId="0" borderId="0" xfId="0" applyNumberFormat="1" applyFill="1" applyBorder="1" applyAlignment="1">
      <alignment horizontal="center" vertical="center"/>
    </xf>
    <xf numFmtId="11" fontId="105" fillId="0" borderId="0" xfId="0" applyNumberFormat="1" applyFont="1" applyFill="1" applyBorder="1" applyAlignment="1">
      <alignment horizontal="center" vertical="center"/>
    </xf>
    <xf numFmtId="170" fontId="105" fillId="0" borderId="0" xfId="0" applyNumberFormat="1" applyFont="1" applyFill="1" applyBorder="1" applyAlignment="1">
      <alignment horizontal="center" vertical="center"/>
    </xf>
    <xf numFmtId="11" fontId="106" fillId="0" borderId="11" xfId="0" applyNumberFormat="1" applyFont="1" applyFill="1" applyBorder="1" applyAlignment="1">
      <alignment horizontal="center" vertical="center"/>
    </xf>
    <xf numFmtId="11" fontId="57" fillId="16" borderId="11" xfId="9" applyNumberFormat="1" applyFont="1" applyBorder="1" applyAlignment="1">
      <alignment horizontal="center" vertical="center"/>
    </xf>
    <xf numFmtId="170" fontId="52" fillId="16" borderId="11" xfId="9" applyNumberFormat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166" fontId="0" fillId="0" borderId="11" xfId="0" applyNumberFormat="1" applyFill="1" applyBorder="1" applyAlignment="1">
      <alignment horizontal="center" vertical="center"/>
    </xf>
    <xf numFmtId="165" fontId="52" fillId="0" borderId="11" xfId="9" applyNumberFormat="1" applyFill="1" applyBorder="1" applyAlignment="1">
      <alignment horizontal="center" vertical="center"/>
    </xf>
    <xf numFmtId="170" fontId="1" fillId="0" borderId="11" xfId="9" applyNumberFormat="1" applyFont="1" applyFill="1" applyBorder="1" applyAlignment="1">
      <alignment horizontal="center" vertical="center"/>
    </xf>
    <xf numFmtId="0" fontId="108" fillId="0" borderId="0" xfId="0" applyFont="1"/>
    <xf numFmtId="165" fontId="105" fillId="0" borderId="11" xfId="0" applyNumberFormat="1" applyFont="1" applyBorder="1" applyAlignment="1">
      <alignment horizontal="center" vertical="center"/>
    </xf>
    <xf numFmtId="169" fontId="105" fillId="0" borderId="11" xfId="0" applyNumberFormat="1" applyFont="1" applyBorder="1" applyAlignment="1">
      <alignment horizontal="center" vertical="center"/>
    </xf>
    <xf numFmtId="0" fontId="99" fillId="0" borderId="0" xfId="0" applyFont="1" applyFill="1"/>
    <xf numFmtId="169" fontId="105" fillId="0" borderId="11" xfId="0" applyNumberFormat="1" applyFont="1" applyFill="1" applyBorder="1" applyAlignment="1">
      <alignment horizontal="center" vertical="center"/>
    </xf>
    <xf numFmtId="169" fontId="106" fillId="0" borderId="11" xfId="0" applyNumberFormat="1" applyFont="1" applyFill="1" applyBorder="1" applyAlignment="1">
      <alignment horizontal="center" vertical="center"/>
    </xf>
    <xf numFmtId="0" fontId="0" fillId="9" borderId="11" xfId="0" applyFill="1" applyBorder="1" applyAlignment="1">
      <alignment vertical="center"/>
    </xf>
    <xf numFmtId="1" fontId="0" fillId="9" borderId="11" xfId="1" applyNumberFormat="1" applyFont="1" applyFill="1" applyBorder="1" applyAlignment="1">
      <alignment horizontal="center" vertical="center"/>
    </xf>
    <xf numFmtId="164" fontId="0" fillId="9" borderId="11" xfId="0" applyNumberFormat="1" applyFill="1" applyBorder="1" applyAlignment="1">
      <alignment horizontal="center" vertical="center"/>
    </xf>
    <xf numFmtId="0" fontId="0" fillId="4" borderId="11" xfId="0" applyFill="1" applyBorder="1" applyAlignment="1">
      <alignment vertical="center"/>
    </xf>
    <xf numFmtId="1" fontId="0" fillId="4" borderId="11" xfId="1" applyNumberFormat="1" applyFont="1" applyFill="1" applyBorder="1" applyAlignment="1">
      <alignment horizontal="center" vertical="center"/>
    </xf>
    <xf numFmtId="9" fontId="0" fillId="4" borderId="11" xfId="1" applyFont="1" applyFill="1" applyBorder="1" applyAlignment="1">
      <alignment horizontal="center" vertical="center"/>
    </xf>
    <xf numFmtId="164" fontId="0" fillId="4" borderId="11" xfId="0" applyNumberFormat="1" applyFill="1" applyBorder="1" applyAlignment="1">
      <alignment horizontal="center" vertical="center"/>
    </xf>
    <xf numFmtId="0" fontId="4" fillId="12" borderId="11" xfId="0" applyFont="1" applyFill="1" applyBorder="1" applyAlignment="1">
      <alignment vertical="center"/>
    </xf>
    <xf numFmtId="0" fontId="4" fillId="12" borderId="11" xfId="0" applyFont="1" applyFill="1" applyBorder="1" applyAlignment="1">
      <alignment horizontal="center" vertical="center"/>
    </xf>
    <xf numFmtId="0" fontId="0" fillId="0" borderId="16" xfId="0" applyFont="1" applyBorder="1" applyAlignment="1">
      <alignment horizontal="right" vertical="center"/>
    </xf>
    <xf numFmtId="0" fontId="3" fillId="32" borderId="0" xfId="0" applyFont="1" applyFill="1" applyAlignment="1"/>
    <xf numFmtId="0" fontId="0" fillId="32" borderId="0" xfId="0" applyFont="1" applyFill="1" applyAlignment="1">
      <alignment vertical="center"/>
    </xf>
    <xf numFmtId="0" fontId="52" fillId="0" borderId="0" xfId="9" applyFill="1" applyAlignment="1"/>
    <xf numFmtId="0" fontId="107" fillId="0" borderId="0" xfId="9" applyFont="1" applyFill="1" applyAlignment="1"/>
    <xf numFmtId="0" fontId="109" fillId="0" borderId="0" xfId="9" applyFont="1" applyFill="1" applyAlignment="1"/>
    <xf numFmtId="0" fontId="1" fillId="0" borderId="0" xfId="9" applyFont="1" applyFill="1" applyAlignment="1"/>
    <xf numFmtId="11" fontId="73" fillId="0" borderId="0" xfId="0" applyNumberFormat="1" applyFont="1" applyFill="1" applyBorder="1" applyAlignment="1">
      <alignment horizontal="center"/>
    </xf>
    <xf numFmtId="0" fontId="0" fillId="0" borderId="0" xfId="0" applyNumberFormat="1"/>
    <xf numFmtId="11" fontId="0" fillId="0" borderId="0" xfId="4" applyNumberFormat="1" applyFont="1" applyAlignment="1">
      <alignment vertical="center"/>
    </xf>
    <xf numFmtId="171" fontId="0" fillId="0" borderId="0" xfId="0" applyNumberFormat="1"/>
    <xf numFmtId="2" fontId="0" fillId="0" borderId="0" xfId="0" applyNumberFormat="1" applyFont="1" applyFill="1" applyAlignment="1">
      <alignment horizontal="center" vertical="center"/>
    </xf>
    <xf numFmtId="2" fontId="1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17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4" fillId="10" borderId="11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2" fontId="39" fillId="19" borderId="13" xfId="2" applyNumberFormat="1" applyFont="1" applyFill="1" applyBorder="1" applyAlignment="1">
      <alignment horizontal="center" vertical="center"/>
    </xf>
    <xf numFmtId="2" fontId="39" fillId="19" borderId="14" xfId="2" applyNumberFormat="1" applyFont="1" applyFill="1" applyBorder="1" applyAlignment="1">
      <alignment horizontal="center" vertical="center"/>
    </xf>
    <xf numFmtId="9" fontId="0" fillId="19" borderId="11" xfId="1" applyFont="1" applyFill="1" applyBorder="1" applyAlignment="1">
      <alignment horizontal="center" vertical="center"/>
    </xf>
    <xf numFmtId="9" fontId="0" fillId="0" borderId="13" xfId="0" applyNumberFormat="1" applyFont="1" applyBorder="1" applyAlignment="1">
      <alignment horizontal="center" vertical="center"/>
    </xf>
    <xf numFmtId="9" fontId="0" fillId="0" borderId="14" xfId="0" applyNumberFormat="1" applyFont="1" applyBorder="1" applyAlignment="1">
      <alignment horizontal="center" vertical="center"/>
    </xf>
    <xf numFmtId="9" fontId="70" fillId="18" borderId="13" xfId="11" applyNumberFormat="1" applyBorder="1" applyAlignment="1">
      <alignment horizontal="center" vertical="center"/>
    </xf>
    <xf numFmtId="9" fontId="70" fillId="18" borderId="14" xfId="11" applyNumberFormat="1" applyBorder="1" applyAlignment="1">
      <alignment horizontal="center" vertical="center"/>
    </xf>
    <xf numFmtId="167" fontId="0" fillId="0" borderId="13" xfId="0" applyNumberFormat="1" applyFont="1" applyBorder="1" applyAlignment="1">
      <alignment horizontal="center" vertical="center"/>
    </xf>
    <xf numFmtId="167" fontId="0" fillId="0" borderId="14" xfId="0" applyNumberFormat="1" applyFont="1" applyBorder="1" applyAlignment="1">
      <alignment horizontal="center" vertical="center"/>
    </xf>
    <xf numFmtId="11" fontId="0" fillId="0" borderId="11" xfId="0" applyNumberFormat="1" applyFont="1" applyBorder="1" applyAlignment="1">
      <alignment horizontal="center" vertical="center"/>
    </xf>
    <xf numFmtId="0" fontId="90" fillId="25" borderId="11" xfId="0" applyFont="1" applyFill="1" applyBorder="1" applyAlignment="1">
      <alignment horizontal="left" vertical="center"/>
    </xf>
    <xf numFmtId="0" fontId="89" fillId="22" borderId="11" xfId="0" applyFont="1" applyFill="1" applyBorder="1" applyAlignment="1">
      <alignment horizontal="center" vertical="center"/>
    </xf>
    <xf numFmtId="0" fontId="71" fillId="26" borderId="11" xfId="0" applyFont="1" applyFill="1" applyBorder="1" applyAlignment="1">
      <alignment horizontal="center" vertical="center"/>
    </xf>
    <xf numFmtId="0" fontId="90" fillId="25" borderId="5" xfId="0" applyFont="1" applyFill="1" applyBorder="1" applyAlignment="1">
      <alignment horizontal="center" vertical="center"/>
    </xf>
    <xf numFmtId="0" fontId="90" fillId="25" borderId="3" xfId="0" applyFont="1" applyFill="1" applyBorder="1" applyAlignment="1">
      <alignment horizontal="center" vertical="center"/>
    </xf>
    <xf numFmtId="0" fontId="4" fillId="11" borderId="11" xfId="0" applyFont="1" applyFill="1" applyBorder="1" applyAlignment="1">
      <alignment horizontal="center"/>
    </xf>
    <xf numFmtId="11" fontId="0" fillId="0" borderId="11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9" borderId="13" xfId="0" applyNumberFormat="1" applyFont="1" applyFill="1" applyBorder="1" applyAlignment="1">
      <alignment horizontal="center" vertical="center"/>
    </xf>
    <xf numFmtId="2" fontId="0" fillId="9" borderId="14" xfId="0" applyNumberFormat="1" applyFont="1" applyFill="1" applyBorder="1" applyAlignment="1">
      <alignment horizontal="center" vertical="center"/>
    </xf>
    <xf numFmtId="167" fontId="0" fillId="0" borderId="11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</cellXfs>
  <cellStyles count="17">
    <cellStyle name="20% - Accent1" xfId="6" builtinId="30"/>
    <cellStyle name="20% - Accent5" xfId="7" builtinId="46"/>
    <cellStyle name="20% - Accent6" xfId="8" builtinId="50"/>
    <cellStyle name="60% - Accent5" xfId="16" builtinId="48"/>
    <cellStyle name="Accent1" xfId="14" builtinId="29"/>
    <cellStyle name="Accent5" xfId="15" builtinId="45"/>
    <cellStyle name="Bad" xfId="13" builtinId="27"/>
    <cellStyle name="Calculation" xfId="2" builtinId="22"/>
    <cellStyle name="Comma" xfId="4" builtinId="3"/>
    <cellStyle name="Good" xfId="11" builtinId="26"/>
    <cellStyle name="Input" xfId="10" builtinId="20"/>
    <cellStyle name="Neutral" xfId="9" builtinId="28"/>
    <cellStyle name="Normal" xfId="0" builtinId="0"/>
    <cellStyle name="Normal 2" xfId="5"/>
    <cellStyle name="Normal 3" xfId="12"/>
    <cellStyle name="Note" xfId="3" builtinId="10"/>
    <cellStyle name="Percent" xfId="1" builtinId="5"/>
  </cellStyles>
  <dxfs count="7">
    <dxf>
      <fill>
        <patternFill>
          <bgColor indexed="11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</dxfs>
  <tableStyles count="0" defaultTableStyle="TableStyleMedium2" defaultPivotStyle="PivotStyleLight16"/>
  <colors>
    <mruColors>
      <color rgb="FFECF4FA"/>
      <color rgb="FFE1FFFF"/>
      <color rgb="FFCCCCFF"/>
      <color rgb="FFD5FFD5"/>
      <color rgb="FFFFFFCC"/>
      <color rgb="FF6666FF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e2v QE curves at -100 deg C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BDE!$AW$19</c:f>
              <c:strCache>
                <c:ptCount val="1"/>
                <c:pt idx="0">
                  <c:v>Basic Multi2 DD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BDE!$AV$20:$AV$100</c:f>
              <c:numCache>
                <c:formatCode>General</c:formatCode>
                <c:ptCount val="8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</c:numCache>
            </c:numRef>
          </c:xVal>
          <c:yVal>
            <c:numRef>
              <c:f>BDE!$AW$20:$AW$100</c:f>
              <c:numCache>
                <c:formatCode>0.00%</c:formatCode>
                <c:ptCount val="81"/>
                <c:pt idx="0">
                  <c:v>6.3214366698992983E-2</c:v>
                </c:pt>
                <c:pt idx="1">
                  <c:v>9.3186255238026997E-2</c:v>
                </c:pt>
                <c:pt idx="2">
                  <c:v>0.12257571845667591</c:v>
                </c:pt>
                <c:pt idx="3">
                  <c:v>0.15598303147399026</c:v>
                </c:pt>
                <c:pt idx="4">
                  <c:v>0.20127054103104247</c:v>
                </c:pt>
                <c:pt idx="5">
                  <c:v>0.25986764381769767</c:v>
                </c:pt>
                <c:pt idx="6">
                  <c:v>0.32973579992312962</c:v>
                </c:pt>
                <c:pt idx="7">
                  <c:v>0.4325534724014593</c:v>
                </c:pt>
                <c:pt idx="8">
                  <c:v>0.55556259068304958</c:v>
                </c:pt>
                <c:pt idx="9">
                  <c:v>0.65669504100120479</c:v>
                </c:pt>
                <c:pt idx="10">
                  <c:v>0.72540286483527272</c:v>
                </c:pt>
                <c:pt idx="11">
                  <c:v>0.77962826775307625</c:v>
                </c:pt>
                <c:pt idx="12">
                  <c:v>0.80856801234220965</c:v>
                </c:pt>
                <c:pt idx="13">
                  <c:v>0.8261489181247974</c:v>
                </c:pt>
                <c:pt idx="14">
                  <c:v>0.83740324569596647</c:v>
                </c:pt>
                <c:pt idx="15">
                  <c:v>0.84571277924507116</c:v>
                </c:pt>
                <c:pt idx="16">
                  <c:v>0.85434754416029024</c:v>
                </c:pt>
                <c:pt idx="17">
                  <c:v>0.86389784190059771</c:v>
                </c:pt>
                <c:pt idx="18">
                  <c:v>0.87319232335391705</c:v>
                </c:pt>
                <c:pt idx="19">
                  <c:v>0.88168163071002581</c:v>
                </c:pt>
                <c:pt idx="20">
                  <c:v>0.88695980365785987</c:v>
                </c:pt>
                <c:pt idx="21">
                  <c:v>0.88902131516925542</c:v>
                </c:pt>
                <c:pt idx="22">
                  <c:v>0.89255649340622634</c:v>
                </c:pt>
                <c:pt idx="23">
                  <c:v>0.89245377180286189</c:v>
                </c:pt>
                <c:pt idx="24">
                  <c:v>0.8966082925843667</c:v>
                </c:pt>
                <c:pt idx="25">
                  <c:v>0.89627735105344097</c:v>
                </c:pt>
                <c:pt idx="26">
                  <c:v>0.89949036971652341</c:v>
                </c:pt>
                <c:pt idx="27">
                  <c:v>0.90027368232461058</c:v>
                </c:pt>
                <c:pt idx="28">
                  <c:v>0.90455130379955373</c:v>
                </c:pt>
                <c:pt idx="29">
                  <c:v>0.90665589689465664</c:v>
                </c:pt>
                <c:pt idx="30">
                  <c:v>0.91152082772456611</c:v>
                </c:pt>
                <c:pt idx="31">
                  <c:v>0.91401629464757861</c:v>
                </c:pt>
                <c:pt idx="32">
                  <c:v>0.91865325591456382</c:v>
                </c:pt>
                <c:pt idx="33">
                  <c:v>0.92269629832549793</c:v>
                </c:pt>
                <c:pt idx="34">
                  <c:v>0.92649261848807629</c:v>
                </c:pt>
                <c:pt idx="35">
                  <c:v>0.92906070362307758</c:v>
                </c:pt>
                <c:pt idx="36">
                  <c:v>0.93230479415755074</c:v>
                </c:pt>
                <c:pt idx="37">
                  <c:v>0.93448920613307829</c:v>
                </c:pt>
                <c:pt idx="38">
                  <c:v>0.93686511212116141</c:v>
                </c:pt>
                <c:pt idx="39">
                  <c:v>0.9392621104520732</c:v>
                </c:pt>
                <c:pt idx="40">
                  <c:v>0.94073681993483382</c:v>
                </c:pt>
                <c:pt idx="41">
                  <c:v>0.94162248033510887</c:v>
                </c:pt>
                <c:pt idx="42">
                  <c:v>0.94135079926295029</c:v>
                </c:pt>
                <c:pt idx="43">
                  <c:v>0.94066126506723813</c:v>
                </c:pt>
                <c:pt idx="44">
                  <c:v>0.9393852166989064</c:v>
                </c:pt>
                <c:pt idx="45">
                  <c:v>0.93652254819405167</c:v>
                </c:pt>
                <c:pt idx="46">
                  <c:v>0.93222844897163659</c:v>
                </c:pt>
                <c:pt idx="47">
                  <c:v>0.92593703594351762</c:v>
                </c:pt>
                <c:pt idx="48">
                  <c:v>0.91823766626858672</c:v>
                </c:pt>
                <c:pt idx="49">
                  <c:v>0.90884753960144216</c:v>
                </c:pt>
                <c:pt idx="50">
                  <c:v>0.89673653650056639</c:v>
                </c:pt>
                <c:pt idx="51">
                  <c:v>0.88187412411573429</c:v>
                </c:pt>
                <c:pt idx="52">
                  <c:v>0.86365247568034298</c:v>
                </c:pt>
                <c:pt idx="53">
                  <c:v>0.84262734604586187</c:v>
                </c:pt>
                <c:pt idx="54">
                  <c:v>0.81852732969846165</c:v>
                </c:pt>
                <c:pt idx="55">
                  <c:v>0.79047487307291331</c:v>
                </c:pt>
                <c:pt idx="56">
                  <c:v>0.75878048496250061</c:v>
                </c:pt>
                <c:pt idx="57">
                  <c:v>0.72316567994292003</c:v>
                </c:pt>
                <c:pt idx="58">
                  <c:v>0.68441564129298271</c:v>
                </c:pt>
                <c:pt idx="59">
                  <c:v>0.64275035855190055</c:v>
                </c:pt>
                <c:pt idx="60">
                  <c:v>0.59796118366798157</c:v>
                </c:pt>
                <c:pt idx="61">
                  <c:v>0.55082169590670516</c:v>
                </c:pt>
                <c:pt idx="62">
                  <c:v>0.5016994251365765</c:v>
                </c:pt>
                <c:pt idx="63">
                  <c:v>0.45172688394986016</c:v>
                </c:pt>
                <c:pt idx="64">
                  <c:v>0.40155736786419333</c:v>
                </c:pt>
                <c:pt idx="65">
                  <c:v>0.35156475615026078</c:v>
                </c:pt>
                <c:pt idx="66">
                  <c:v>0.30271054646275836</c:v>
                </c:pt>
                <c:pt idx="67">
                  <c:v>0.25564639629813107</c:v>
                </c:pt>
                <c:pt idx="68">
                  <c:v>0.21134493194475062</c:v>
                </c:pt>
                <c:pt idx="69">
                  <c:v>0.17041006131389</c:v>
                </c:pt>
                <c:pt idx="70">
                  <c:v>0.13327634370970631</c:v>
                </c:pt>
                <c:pt idx="71">
                  <c:v>0.10055818656687217</c:v>
                </c:pt>
                <c:pt idx="72">
                  <c:v>7.2683823320237012E-2</c:v>
                </c:pt>
                <c:pt idx="73">
                  <c:v>4.9984069155819454E-2</c:v>
                </c:pt>
                <c:pt idx="74">
                  <c:v>3.2552494188295533E-2</c:v>
                </c:pt>
                <c:pt idx="75">
                  <c:v>1.9294818564419228E-2</c:v>
                </c:pt>
                <c:pt idx="76">
                  <c:v>1.0031598338514015E-2</c:v>
                </c:pt>
                <c:pt idx="77">
                  <c:v>4.7530166602745162E-3</c:v>
                </c:pt>
                <c:pt idx="78">
                  <c:v>2.1283359968486534E-3</c:v>
                </c:pt>
                <c:pt idx="79">
                  <c:v>6.0222660159116293E-4</c:v>
                </c:pt>
                <c:pt idx="80">
                  <c:v>5.0534528732088339E-5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5E-4525-9593-A30C3A124CFD}"/>
            </c:ext>
          </c:extLst>
        </c:ser>
        <c:ser>
          <c:idx val="1"/>
          <c:order val="1"/>
          <c:tx>
            <c:strRef>
              <c:f>BDE!$AX$19</c:f>
              <c:strCache>
                <c:ptCount val="1"/>
                <c:pt idx="0">
                  <c:v> Astro Multi2 DD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BDE!$AV$20:$AV$100</c:f>
              <c:numCache>
                <c:formatCode>General</c:formatCode>
                <c:ptCount val="8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</c:numCache>
            </c:numRef>
          </c:xVal>
          <c:yVal>
            <c:numRef>
              <c:f>BDE!$AX$20:$AX$100</c:f>
              <c:numCache>
                <c:formatCode>0.00%</c:formatCode>
                <c:ptCount val="81"/>
                <c:pt idx="0">
                  <c:v>0.18976940252794597</c:v>
                </c:pt>
                <c:pt idx="1">
                  <c:v>0.26100779823614034</c:v>
                </c:pt>
                <c:pt idx="2">
                  <c:v>0.31790471198372589</c:v>
                </c:pt>
                <c:pt idx="3">
                  <c:v>0.36617967754564784</c:v>
                </c:pt>
                <c:pt idx="4">
                  <c:v>0.42134256405356002</c:v>
                </c:pt>
                <c:pt idx="5">
                  <c:v>0.48609446438583587</c:v>
                </c:pt>
                <c:pt idx="6">
                  <c:v>0.55259590779014356</c:v>
                </c:pt>
                <c:pt idx="7">
                  <c:v>0.65807804447564322</c:v>
                </c:pt>
                <c:pt idx="8">
                  <c:v>0.77809886650287052</c:v>
                </c:pt>
                <c:pt idx="9">
                  <c:v>0.85513966571727462</c:v>
                </c:pt>
                <c:pt idx="10">
                  <c:v>0.89286605888390869</c:v>
                </c:pt>
                <c:pt idx="11">
                  <c:v>0.91949744032164005</c:v>
                </c:pt>
                <c:pt idx="12">
                  <c:v>0.92423680529390129</c:v>
                </c:pt>
                <c:pt idx="13">
                  <c:v>0.92474167741624369</c:v>
                </c:pt>
                <c:pt idx="14">
                  <c:v>0.92045150146746724</c:v>
                </c:pt>
                <c:pt idx="15">
                  <c:v>0.91298538668501994</c:v>
                </c:pt>
                <c:pt idx="16">
                  <c:v>0.90598168851314476</c:v>
                </c:pt>
                <c:pt idx="17">
                  <c:v>0.89975264661534438</c:v>
                </c:pt>
                <c:pt idx="18">
                  <c:v>0.89582365786848928</c:v>
                </c:pt>
                <c:pt idx="19">
                  <c:v>0.89350546239281792</c:v>
                </c:pt>
                <c:pt idx="20">
                  <c:v>0.89017245613111495</c:v>
                </c:pt>
                <c:pt idx="21">
                  <c:v>0.88582435509073243</c:v>
                </c:pt>
                <c:pt idx="22">
                  <c:v>0.88523500091743557</c:v>
                </c:pt>
                <c:pt idx="23">
                  <c:v>0.88302597567163099</c:v>
                </c:pt>
                <c:pt idx="24">
                  <c:v>0.88740067654205079</c:v>
                </c:pt>
                <c:pt idx="25">
                  <c:v>0.88707313357722617</c:v>
                </c:pt>
                <c:pt idx="26">
                  <c:v>0.89025315651360049</c:v>
                </c:pt>
                <c:pt idx="27">
                  <c:v>0.89129373045387228</c:v>
                </c:pt>
                <c:pt idx="28">
                  <c:v>0.8955286839760358</c:v>
                </c:pt>
                <c:pt idx="29">
                  <c:v>0.8974786713827726</c:v>
                </c:pt>
                <c:pt idx="30">
                  <c:v>0.90229435909025957</c:v>
                </c:pt>
                <c:pt idx="31">
                  <c:v>0.90476456674700756</c:v>
                </c:pt>
                <c:pt idx="32">
                  <c:v>0.90976085656468342</c:v>
                </c:pt>
                <c:pt idx="33">
                  <c:v>0.91376476304758913</c:v>
                </c:pt>
                <c:pt idx="34">
                  <c:v>0.91725114082860015</c:v>
                </c:pt>
                <c:pt idx="35">
                  <c:v>0.91979361010770666</c:v>
                </c:pt>
                <c:pt idx="36">
                  <c:v>0.92300534184125549</c:v>
                </c:pt>
                <c:pt idx="37">
                  <c:v>0.9255813554937401</c:v>
                </c:pt>
                <c:pt idx="38">
                  <c:v>0.92793461358440921</c:v>
                </c:pt>
                <c:pt idx="39">
                  <c:v>0.92989326105497794</c:v>
                </c:pt>
                <c:pt idx="40">
                  <c:v>0.93135326076621194</c:v>
                </c:pt>
                <c:pt idx="41">
                  <c:v>0.93223008697759024</c:v>
                </c:pt>
                <c:pt idx="42">
                  <c:v>0.932377541718591</c:v>
                </c:pt>
                <c:pt idx="43">
                  <c:v>0.93169458038384478</c:v>
                </c:pt>
                <c:pt idx="44">
                  <c:v>0.93001513935502866</c:v>
                </c:pt>
                <c:pt idx="45">
                  <c:v>0.92718102508418099</c:v>
                </c:pt>
                <c:pt idx="46">
                  <c:v>0.92292975817498635</c:v>
                </c:pt>
                <c:pt idx="47">
                  <c:v>0.91711070733160449</c:v>
                </c:pt>
                <c:pt idx="48">
                  <c:v>0.9094847305162499</c:v>
                </c:pt>
                <c:pt idx="49">
                  <c:v>0.89978206615298351</c:v>
                </c:pt>
                <c:pt idx="50">
                  <c:v>0.88779186656673614</c:v>
                </c:pt>
                <c:pt idx="51">
                  <c:v>0.8730777021541809</c:v>
                </c:pt>
                <c:pt idx="52">
                  <c:v>0.85541986346057208</c:v>
                </c:pt>
                <c:pt idx="53">
                  <c:v>0.83459515210083135</c:v>
                </c:pt>
                <c:pt idx="54">
                  <c:v>0.81036277244227628</c:v>
                </c:pt>
                <c:pt idx="55">
                  <c:v>0.78259013040566827</c:v>
                </c:pt>
                <c:pt idx="56">
                  <c:v>0.75121188402570027</c:v>
                </c:pt>
                <c:pt idx="57">
                  <c:v>0.716272232889547</c:v>
                </c:pt>
                <c:pt idx="58">
                  <c:v>0.67789157202834893</c:v>
                </c:pt>
                <c:pt idx="59">
                  <c:v>0.6363391222822895</c:v>
                </c:pt>
                <c:pt idx="60">
                  <c:v>0.59199670558167006</c:v>
                </c:pt>
                <c:pt idx="61">
                  <c:v>0.54532741964859155</c:v>
                </c:pt>
                <c:pt idx="62">
                  <c:v>0.49691706540932884</c:v>
                </c:pt>
                <c:pt idx="63">
                  <c:v>0.44742087850261691</c:v>
                </c:pt>
                <c:pt idx="64">
                  <c:v>0.39755195716791508</c:v>
                </c:pt>
                <c:pt idx="65">
                  <c:v>0.34805800631222777</c:v>
                </c:pt>
                <c:pt idx="66">
                  <c:v>0.29969110227442952</c:v>
                </c:pt>
                <c:pt idx="67">
                  <c:v>0.25320949290774081</c:v>
                </c:pt>
                <c:pt idx="68">
                  <c:v>0.20933032431227161</c:v>
                </c:pt>
                <c:pt idx="69">
                  <c:v>0.16871027359496329</c:v>
                </c:pt>
                <c:pt idx="70">
                  <c:v>0.13194695335261977</c:v>
                </c:pt>
                <c:pt idx="71">
                  <c:v>9.9555149720068473E-2</c:v>
                </c:pt>
                <c:pt idx="72">
                  <c:v>7.1958824635935115E-2</c:v>
                </c:pt>
                <c:pt idx="73">
                  <c:v>4.9485493506952416E-2</c:v>
                </c:pt>
                <c:pt idx="74">
                  <c:v>3.221340570716745E-2</c:v>
                </c:pt>
                <c:pt idx="75">
                  <c:v>1.9093830871039861E-2</c:v>
                </c:pt>
                <c:pt idx="76">
                  <c:v>9.9271025224878257E-3</c:v>
                </c:pt>
                <c:pt idx="77">
                  <c:v>4.7035060700633229E-3</c:v>
                </c:pt>
                <c:pt idx="78">
                  <c:v>2.1061658302148132E-3</c:v>
                </c:pt>
                <c:pt idx="79">
                  <c:v>5.9595340782458831E-4</c:v>
                </c:pt>
                <c:pt idx="80">
                  <c:v>5.0008127391129085E-5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95E-4525-9593-A30C3A124CFD}"/>
            </c:ext>
          </c:extLst>
        </c:ser>
        <c:ser>
          <c:idx val="2"/>
          <c:order val="2"/>
          <c:tx>
            <c:strRef>
              <c:f>BDE!$AY$19</c:f>
              <c:strCache>
                <c:ptCount val="1"/>
                <c:pt idx="0">
                  <c:v>Astro Multi2 std Si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BDE!$AV$20:$AV$100</c:f>
              <c:numCache>
                <c:formatCode>General</c:formatCode>
                <c:ptCount val="8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</c:numCache>
            </c:numRef>
          </c:xVal>
          <c:yVal>
            <c:numRef>
              <c:f>BDE!$AY$20:$AY$100</c:f>
              <c:numCache>
                <c:formatCode>0.00%</c:formatCode>
                <c:ptCount val="81"/>
                <c:pt idx="0">
                  <c:v>0.18976940252794597</c:v>
                </c:pt>
                <c:pt idx="1">
                  <c:v>0.26100779823614034</c:v>
                </c:pt>
                <c:pt idx="2">
                  <c:v>0.31790471198372589</c:v>
                </c:pt>
                <c:pt idx="3">
                  <c:v>0.3661796775456479</c:v>
                </c:pt>
                <c:pt idx="4">
                  <c:v>0.42134256405355996</c:v>
                </c:pt>
                <c:pt idx="5">
                  <c:v>0.48609446438583587</c:v>
                </c:pt>
                <c:pt idx="6">
                  <c:v>0.55259590779014356</c:v>
                </c:pt>
                <c:pt idx="7">
                  <c:v>0.65807804447564322</c:v>
                </c:pt>
                <c:pt idx="8">
                  <c:v>0.77809886650287052</c:v>
                </c:pt>
                <c:pt idx="9">
                  <c:v>0.85513966571727473</c:v>
                </c:pt>
                <c:pt idx="10">
                  <c:v>0.89286605888390869</c:v>
                </c:pt>
                <c:pt idx="11">
                  <c:v>0.91949744032164005</c:v>
                </c:pt>
                <c:pt idx="12">
                  <c:v>0.92423680529389518</c:v>
                </c:pt>
                <c:pt idx="13">
                  <c:v>0.9247416774154279</c:v>
                </c:pt>
                <c:pt idx="14">
                  <c:v>0.92045150146746657</c:v>
                </c:pt>
                <c:pt idx="15">
                  <c:v>0.91298537158814375</c:v>
                </c:pt>
                <c:pt idx="16">
                  <c:v>0.90598155581086615</c:v>
                </c:pt>
                <c:pt idx="17">
                  <c:v>0.89975146086725744</c:v>
                </c:pt>
                <c:pt idx="18">
                  <c:v>0.89581866435877366</c:v>
                </c:pt>
                <c:pt idx="19">
                  <c:v>0.89349518540919171</c:v>
                </c:pt>
                <c:pt idx="20">
                  <c:v>0.89014608013522345</c:v>
                </c:pt>
                <c:pt idx="21">
                  <c:v>0.88572801322575367</c:v>
                </c:pt>
                <c:pt idx="22">
                  <c:v>0.88503435745876047</c:v>
                </c:pt>
                <c:pt idx="23">
                  <c:v>0.88261984252613568</c:v>
                </c:pt>
                <c:pt idx="24">
                  <c:v>0.88539916965639431</c:v>
                </c:pt>
                <c:pt idx="25">
                  <c:v>0.88408564959678304</c:v>
                </c:pt>
                <c:pt idx="26">
                  <c:v>0.88603530269699438</c:v>
                </c:pt>
                <c:pt idx="27">
                  <c:v>0.88548156394683508</c:v>
                </c:pt>
                <c:pt idx="28">
                  <c:v>0.88764712000234447</c:v>
                </c:pt>
                <c:pt idx="29">
                  <c:v>0.88700813877346907</c:v>
                </c:pt>
                <c:pt idx="30">
                  <c:v>0.88856202205280843</c:v>
                </c:pt>
                <c:pt idx="31">
                  <c:v>0.88706687507652238</c:v>
                </c:pt>
                <c:pt idx="32">
                  <c:v>0.88718963068070278</c:v>
                </c:pt>
                <c:pt idx="33">
                  <c:v>0.88536534982322335</c:v>
                </c:pt>
                <c:pt idx="34">
                  <c:v>0.88194825445745106</c:v>
                </c:pt>
                <c:pt idx="35">
                  <c:v>0.87642884507918961</c:v>
                </c:pt>
                <c:pt idx="36">
                  <c:v>0.87023028026027327</c:v>
                </c:pt>
                <c:pt idx="37">
                  <c:v>0.86202173751085875</c:v>
                </c:pt>
                <c:pt idx="38">
                  <c:v>0.85211282242023367</c:v>
                </c:pt>
                <c:pt idx="39">
                  <c:v>0.84029215767641363</c:v>
                </c:pt>
                <c:pt idx="40">
                  <c:v>0.82644664609070939</c:v>
                </c:pt>
                <c:pt idx="41">
                  <c:v>0.81052027119328673</c:v>
                </c:pt>
                <c:pt idx="42">
                  <c:v>0.79245050147273144</c:v>
                </c:pt>
                <c:pt idx="43">
                  <c:v>0.77226245118780235</c:v>
                </c:pt>
                <c:pt idx="44">
                  <c:v>0.74998139035872136</c:v>
                </c:pt>
                <c:pt idx="45">
                  <c:v>0.72569367289573339</c:v>
                </c:pt>
                <c:pt idx="46">
                  <c:v>0.69946663170785195</c:v>
                </c:pt>
                <c:pt idx="47">
                  <c:v>0.67149932254964129</c:v>
                </c:pt>
                <c:pt idx="48">
                  <c:v>0.64197364767068466</c:v>
                </c:pt>
                <c:pt idx="49">
                  <c:v>0.6110923320020194</c:v>
                </c:pt>
                <c:pt idx="50">
                  <c:v>0.5791197875629005</c:v>
                </c:pt>
                <c:pt idx="51">
                  <c:v>0.54621720753888603</c:v>
                </c:pt>
                <c:pt idx="52">
                  <c:v>0.5126732952255233</c:v>
                </c:pt>
                <c:pt idx="53">
                  <c:v>0.47876105315775064</c:v>
                </c:pt>
                <c:pt idx="54">
                  <c:v>0.44472400552761032</c:v>
                </c:pt>
                <c:pt idx="55">
                  <c:v>0.41082059154125827</c:v>
                </c:pt>
                <c:pt idx="56">
                  <c:v>0.37729269240456464</c:v>
                </c:pt>
                <c:pt idx="57">
                  <c:v>0.34437305715294131</c:v>
                </c:pt>
                <c:pt idx="58">
                  <c:v>0.31226713040367288</c:v>
                </c:pt>
                <c:pt idx="59">
                  <c:v>0.28117427945787515</c:v>
                </c:pt>
                <c:pt idx="60">
                  <c:v>0.25127313338262353</c:v>
                </c:pt>
                <c:pt idx="61">
                  <c:v>0.22271411836099661</c:v>
                </c:pt>
                <c:pt idx="62">
                  <c:v>0.19563517797432589</c:v>
                </c:pt>
                <c:pt idx="63">
                  <c:v>0.17015090895020721</c:v>
                </c:pt>
                <c:pt idx="64">
                  <c:v>0.14635577376007269</c:v>
                </c:pt>
                <c:pt idx="65">
                  <c:v>0.12432472370329477</c:v>
                </c:pt>
                <c:pt idx="66">
                  <c:v>0.10411246154717098</c:v>
                </c:pt>
                <c:pt idx="67">
                  <c:v>8.5761194114456485E-2</c:v>
                </c:pt>
                <c:pt idx="68">
                  <c:v>6.9295335579313722E-2</c:v>
                </c:pt>
                <c:pt idx="69">
                  <c:v>5.472300954264131E-2</c:v>
                </c:pt>
                <c:pt idx="70">
                  <c:v>4.2042370548058379E-2</c:v>
                </c:pt>
                <c:pt idx="71">
                  <c:v>3.1240432653671848E-2</c:v>
                </c:pt>
                <c:pt idx="72">
                  <c:v>2.2295072983894704E-2</c:v>
                </c:pt>
                <c:pt idx="73">
                  <c:v>1.5176658594209465E-2</c:v>
                </c:pt>
                <c:pt idx="74">
                  <c:v>9.8033172311239036E-3</c:v>
                </c:pt>
                <c:pt idx="75">
                  <c:v>5.776889325343741E-3</c:v>
                </c:pt>
                <c:pt idx="76">
                  <c:v>2.9912861913663222E-3</c:v>
                </c:pt>
                <c:pt idx="77">
                  <c:v>1.4140083536167099E-3</c:v>
                </c:pt>
                <c:pt idx="78">
                  <c:v>6.3244426069142008E-4</c:v>
                </c:pt>
                <c:pt idx="79">
                  <c:v>1.7883378985109001E-4</c:v>
                </c:pt>
                <c:pt idx="80">
                  <c:v>1.5002775957711261E-5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95E-4525-9593-A30C3A124CFD}"/>
            </c:ext>
          </c:extLst>
        </c:ser>
        <c:ser>
          <c:idx val="3"/>
          <c:order val="3"/>
          <c:tx>
            <c:strRef>
              <c:f>BDE!$AZ$19</c:f>
              <c:strCache>
                <c:ptCount val="1"/>
                <c:pt idx="0">
                  <c:v>Basic Multi2 std Si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BDE!$AV$20:$AV$100</c:f>
              <c:numCache>
                <c:formatCode>General</c:formatCode>
                <c:ptCount val="8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</c:numCache>
            </c:numRef>
          </c:xVal>
          <c:yVal>
            <c:numRef>
              <c:f>BDE!$AZ$20:$AZ$100</c:f>
              <c:numCache>
                <c:formatCode>0.00%</c:formatCode>
                <c:ptCount val="81"/>
                <c:pt idx="0">
                  <c:v>6.3214366698992983E-2</c:v>
                </c:pt>
                <c:pt idx="1">
                  <c:v>9.3186255238026997E-2</c:v>
                </c:pt>
                <c:pt idx="2">
                  <c:v>0.12257571845667591</c:v>
                </c:pt>
                <c:pt idx="3">
                  <c:v>0.15598303147399026</c:v>
                </c:pt>
                <c:pt idx="4">
                  <c:v>0.20127054103104247</c:v>
                </c:pt>
                <c:pt idx="5">
                  <c:v>0.25986764381769767</c:v>
                </c:pt>
                <c:pt idx="6">
                  <c:v>0.32973579992312962</c:v>
                </c:pt>
                <c:pt idx="7">
                  <c:v>0.4325534724014593</c:v>
                </c:pt>
                <c:pt idx="8">
                  <c:v>0.55556259068304958</c:v>
                </c:pt>
                <c:pt idx="9">
                  <c:v>0.65669504100120479</c:v>
                </c:pt>
                <c:pt idx="10">
                  <c:v>0.72540286483527272</c:v>
                </c:pt>
                <c:pt idx="11">
                  <c:v>0.77962826775307625</c:v>
                </c:pt>
                <c:pt idx="12">
                  <c:v>0.80856801234220421</c:v>
                </c:pt>
                <c:pt idx="13">
                  <c:v>0.82614891812406854</c:v>
                </c:pt>
                <c:pt idx="14">
                  <c:v>0.83740324569596591</c:v>
                </c:pt>
                <c:pt idx="15">
                  <c:v>0.84571276526059624</c:v>
                </c:pt>
                <c:pt idx="16">
                  <c:v>0.85434741902104372</c:v>
                </c:pt>
                <c:pt idx="17">
                  <c:v>0.86389670340412617</c:v>
                </c:pt>
                <c:pt idx="18">
                  <c:v>0.87318745599602576</c:v>
                </c:pt>
                <c:pt idx="19">
                  <c:v>0.88167148972257403</c:v>
                </c:pt>
                <c:pt idx="20">
                  <c:v>0.88693352285353244</c:v>
                </c:pt>
                <c:pt idx="21">
                  <c:v>0.88892462560431296</c:v>
                </c:pt>
                <c:pt idx="22">
                  <c:v>0.89235419049037423</c:v>
                </c:pt>
                <c:pt idx="23">
                  <c:v>0.89204330249897112</c:v>
                </c:pt>
                <c:pt idx="24">
                  <c:v>0.89458601818365602</c:v>
                </c:pt>
                <c:pt idx="25">
                  <c:v>0.89325886911891494</c:v>
                </c:pt>
                <c:pt idx="26">
                  <c:v>0.89522875170242167</c:v>
                </c:pt>
                <c:pt idx="27">
                  <c:v>0.89440295714750251</c:v>
                </c:pt>
                <c:pt idx="28">
                  <c:v>0.89659033158733037</c:v>
                </c:pt>
                <c:pt idx="29">
                  <c:v>0.89607829718498733</c:v>
                </c:pt>
                <c:pt idx="30">
                  <c:v>0.89764806979710809</c:v>
                </c:pt>
                <c:pt idx="31">
                  <c:v>0.89613763409986125</c:v>
                </c:pt>
                <c:pt idx="32">
                  <c:v>0.8958614090257021</c:v>
                </c:pt>
                <c:pt idx="33">
                  <c:v>0.89401929685157078</c:v>
                </c:pt>
                <c:pt idx="34">
                  <c:v>0.89083404890085693</c:v>
                </c:pt>
                <c:pt idx="35">
                  <c:v>0.88525903043562659</c:v>
                </c:pt>
                <c:pt idx="36">
                  <c:v>0.87899801391101573</c:v>
                </c:pt>
                <c:pt idx="37">
                  <c:v>0.87031788656359466</c:v>
                </c:pt>
                <c:pt idx="38">
                  <c:v>0.86031360747811259</c:v>
                </c:pt>
                <c:pt idx="39">
                  <c:v>0.84875825911465719</c:v>
                </c:pt>
                <c:pt idx="40">
                  <c:v>0.83477325139718717</c:v>
                </c:pt>
                <c:pt idx="41">
                  <c:v>0.81868641527899355</c:v>
                </c:pt>
                <c:pt idx="42">
                  <c:v>0.80007709276510053</c:v>
                </c:pt>
                <c:pt idx="43">
                  <c:v>0.77969475146991052</c:v>
                </c:pt>
                <c:pt idx="44">
                  <c:v>0.7575375938405311</c:v>
                </c:pt>
                <c:pt idx="45">
                  <c:v>0.73300517305874302</c:v>
                </c:pt>
                <c:pt idx="46">
                  <c:v>0.70651388950099869</c:v>
                </c:pt>
                <c:pt idx="47">
                  <c:v>0.67796187242079575</c:v>
                </c:pt>
                <c:pt idx="48">
                  <c:v>0.64815204067082355</c:v>
                </c:pt>
                <c:pt idx="49">
                  <c:v>0.61724920211391943</c:v>
                </c:pt>
                <c:pt idx="50">
                  <c:v>0.58495452827969963</c:v>
                </c:pt>
                <c:pt idx="51">
                  <c:v>0.55172044857724767</c:v>
                </c:pt>
                <c:pt idx="52">
                  <c:v>0.51760729385626514</c:v>
                </c:pt>
                <c:pt idx="53">
                  <c:v>0.48336867833099811</c:v>
                </c:pt>
                <c:pt idx="54">
                  <c:v>0.44920468347803888</c:v>
                </c:pt>
                <c:pt idx="55">
                  <c:v>0.41495968622295215</c:v>
                </c:pt>
                <c:pt idx="56">
                  <c:v>0.38109398720021964</c:v>
                </c:pt>
                <c:pt idx="57">
                  <c:v>0.34768732416915005</c:v>
                </c:pt>
                <c:pt idx="58">
                  <c:v>0.31527240804966311</c:v>
                </c:pt>
                <c:pt idx="59">
                  <c:v>0.28400716317572144</c:v>
                </c:pt>
                <c:pt idx="60">
                  <c:v>0.25380475743324543</c:v>
                </c:pt>
                <c:pt idx="61">
                  <c:v>0.22495800496703972</c:v>
                </c:pt>
                <c:pt idx="62">
                  <c:v>0.19751798269468029</c:v>
                </c:pt>
                <c:pt idx="63">
                  <c:v>0.17178845153258515</c:v>
                </c:pt>
                <c:pt idx="64">
                  <c:v>0.14783033569118922</c:v>
                </c:pt>
                <c:pt idx="65">
                  <c:v>0.12557731866391444</c:v>
                </c:pt>
                <c:pt idx="66">
                  <c:v>0.10516141416727029</c:v>
                </c:pt>
                <c:pt idx="67">
                  <c:v>8.6586565005182081E-2</c:v>
                </c:pt>
                <c:pt idx="68">
                  <c:v>6.9962238057069526E-2</c:v>
                </c:pt>
                <c:pt idx="69">
                  <c:v>5.5274354150063411E-2</c:v>
                </c:pt>
                <c:pt idx="70">
                  <c:v>4.2465955334031295E-2</c:v>
                </c:pt>
                <c:pt idx="71">
                  <c:v>3.1555185884919366E-2</c:v>
                </c:pt>
                <c:pt idx="72">
                  <c:v>2.2519700035010637E-2</c:v>
                </c:pt>
                <c:pt idx="73">
                  <c:v>1.5329566282301501E-2</c:v>
                </c:pt>
                <c:pt idx="74">
                  <c:v>9.9065100440831038E-3</c:v>
                </c:pt>
                <c:pt idx="75">
                  <c:v>5.8376986866631496E-3</c:v>
                </c:pt>
                <c:pt idx="76">
                  <c:v>3.0227734144333365E-3</c:v>
                </c:pt>
                <c:pt idx="77">
                  <c:v>1.4288926520758334E-3</c:v>
                </c:pt>
                <c:pt idx="78">
                  <c:v>6.3910156869869815E-4</c:v>
                </c:pt>
                <c:pt idx="79">
                  <c:v>1.8071625079689094E-4</c:v>
                </c:pt>
                <c:pt idx="80">
                  <c:v>1.5160699915160852E-5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95E-4525-9593-A30C3A124CFD}"/>
            </c:ext>
          </c:extLst>
        </c:ser>
        <c:ser>
          <c:idx val="4"/>
          <c:order val="4"/>
          <c:tx>
            <c:strRef>
              <c:f>BDE!$BA$19</c:f>
              <c:strCache>
                <c:ptCount val="1"/>
                <c:pt idx="0">
                  <c:v>Astro Midband DD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BDE!$AV$20:$AV$100</c:f>
              <c:numCache>
                <c:formatCode>General</c:formatCode>
                <c:ptCount val="8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</c:numCache>
            </c:numRef>
          </c:xVal>
          <c:yVal>
            <c:numRef>
              <c:f>BDE!$BA$20:$BA$100</c:f>
              <c:numCache>
                <c:formatCode>0.00%</c:formatCode>
                <c:ptCount val="81"/>
                <c:pt idx="0">
                  <c:v>0.29623325373865667</c:v>
                </c:pt>
                <c:pt idx="1">
                  <c:v>0.29408918717564342</c:v>
                </c:pt>
                <c:pt idx="2">
                  <c:v>0.29698006805778787</c:v>
                </c:pt>
                <c:pt idx="3">
                  <c:v>0.29843251182438524</c:v>
                </c:pt>
                <c:pt idx="4">
                  <c:v>0.30267722711147771</c:v>
                </c:pt>
                <c:pt idx="5">
                  <c:v>0.30629482389284884</c:v>
                </c:pt>
                <c:pt idx="6">
                  <c:v>0.31988925650265387</c:v>
                </c:pt>
                <c:pt idx="7">
                  <c:v>0.3500650058670855</c:v>
                </c:pt>
                <c:pt idx="8">
                  <c:v>0.41539581141383464</c:v>
                </c:pt>
                <c:pt idx="9">
                  <c:v>0.47217264895892946</c:v>
                </c:pt>
                <c:pt idx="10">
                  <c:v>0.52450775404175465</c:v>
                </c:pt>
                <c:pt idx="11">
                  <c:v>0.58109611668050232</c:v>
                </c:pt>
                <c:pt idx="12">
                  <c:v>0.61619646700676822</c:v>
                </c:pt>
                <c:pt idx="13">
                  <c:v>0.65509263404529017</c:v>
                </c:pt>
                <c:pt idx="14">
                  <c:v>0.68872898035010477</c:v>
                </c:pt>
                <c:pt idx="15">
                  <c:v>0.72083429988061354</c:v>
                </c:pt>
                <c:pt idx="16">
                  <c:v>0.74886417045607756</c:v>
                </c:pt>
                <c:pt idx="17">
                  <c:v>0.77507511397693396</c:v>
                </c:pt>
                <c:pt idx="18">
                  <c:v>0.79994779770400049</c:v>
                </c:pt>
                <c:pt idx="19">
                  <c:v>0.82237974975538219</c:v>
                </c:pt>
                <c:pt idx="20">
                  <c:v>0.84087527961225206</c:v>
                </c:pt>
                <c:pt idx="21">
                  <c:v>0.85603350585181037</c:v>
                </c:pt>
                <c:pt idx="22">
                  <c:v>0.87073190765193764</c:v>
                </c:pt>
                <c:pt idx="23">
                  <c:v>0.882446845491617</c:v>
                </c:pt>
                <c:pt idx="24">
                  <c:v>0.89456439971058299</c:v>
                </c:pt>
                <c:pt idx="25">
                  <c:v>0.90300043393790475</c:v>
                </c:pt>
                <c:pt idx="26">
                  <c:v>0.91070618298317929</c:v>
                </c:pt>
                <c:pt idx="27">
                  <c:v>0.91639475959023065</c:v>
                </c:pt>
                <c:pt idx="28">
                  <c:v>0.9213601209760599</c:v>
                </c:pt>
                <c:pt idx="29">
                  <c:v>0.9247110851542315</c:v>
                </c:pt>
                <c:pt idx="30">
                  <c:v>0.92741351343291212</c:v>
                </c:pt>
                <c:pt idx="31">
                  <c:v>0.92883666696160205</c:v>
                </c:pt>
                <c:pt idx="32">
                  <c:v>0.92973113817839537</c:v>
                </c:pt>
                <c:pt idx="33">
                  <c:v>0.92975945456878428</c:v>
                </c:pt>
                <c:pt idx="34">
                  <c:v>0.92908190157891113</c:v>
                </c:pt>
                <c:pt idx="35">
                  <c:v>0.92770492480362243</c:v>
                </c:pt>
                <c:pt idx="36">
                  <c:v>0.9254513116073706</c:v>
                </c:pt>
                <c:pt idx="37">
                  <c:v>0.92267441948866935</c:v>
                </c:pt>
                <c:pt idx="38">
                  <c:v>0.91946412440963177</c:v>
                </c:pt>
                <c:pt idx="39">
                  <c:v>0.91580320386156044</c:v>
                </c:pt>
                <c:pt idx="40">
                  <c:v>0.91166686269965724</c:v>
                </c:pt>
                <c:pt idx="41">
                  <c:v>0.90701992057085301</c:v>
                </c:pt>
                <c:pt idx="42">
                  <c:v>0.90178985727076211</c:v>
                </c:pt>
                <c:pt idx="43">
                  <c:v>0.89590708663314489</c:v>
                </c:pt>
                <c:pt idx="44">
                  <c:v>0.88926161508929724</c:v>
                </c:pt>
                <c:pt idx="45">
                  <c:v>0.88173546853139506</c:v>
                </c:pt>
                <c:pt idx="46">
                  <c:v>0.87312410460541134</c:v>
                </c:pt>
                <c:pt idx="47">
                  <c:v>0.86330099843895902</c:v>
                </c:pt>
                <c:pt idx="48">
                  <c:v>0.85208200390174105</c:v>
                </c:pt>
                <c:pt idx="49">
                  <c:v>0.83925311689070692</c:v>
                </c:pt>
                <c:pt idx="50">
                  <c:v>0.82469209630159135</c:v>
                </c:pt>
                <c:pt idx="51">
                  <c:v>0.80797434376283361</c:v>
                </c:pt>
                <c:pt idx="52">
                  <c:v>0.7889489683938945</c:v>
                </c:pt>
                <c:pt idx="53">
                  <c:v>0.76746410482985339</c:v>
                </c:pt>
                <c:pt idx="54">
                  <c:v>0.74329879227484474</c:v>
                </c:pt>
                <c:pt idx="55">
                  <c:v>0.71635661332427747</c:v>
                </c:pt>
                <c:pt idx="56">
                  <c:v>0.68657604934557215</c:v>
                </c:pt>
                <c:pt idx="57">
                  <c:v>0.65399312572426604</c:v>
                </c:pt>
                <c:pt idx="58">
                  <c:v>0.61864795993264576</c:v>
                </c:pt>
                <c:pt idx="59">
                  <c:v>0.58074556805531585</c:v>
                </c:pt>
                <c:pt idx="60">
                  <c:v>0.54057628961713033</c:v>
                </c:pt>
                <c:pt idx="61">
                  <c:v>0.49845153682762655</c:v>
                </c:pt>
                <c:pt idx="62">
                  <c:v>0.45483453127189954</c:v>
                </c:pt>
                <c:pt idx="63">
                  <c:v>0.41023978846242903</c:v>
                </c:pt>
                <c:pt idx="64">
                  <c:v>0.36524439369951284</c:v>
                </c:pt>
                <c:pt idx="65">
                  <c:v>0.3204729882149725</c:v>
                </c:pt>
                <c:pt idx="66">
                  <c:v>0.2765589178539532</c:v>
                </c:pt>
                <c:pt idx="67">
                  <c:v>0.23419608749807486</c:v>
                </c:pt>
                <c:pt idx="68">
                  <c:v>0.19404702559257572</c:v>
                </c:pt>
                <c:pt idx="69">
                  <c:v>0.15672147318678897</c:v>
                </c:pt>
                <c:pt idx="70">
                  <c:v>0.12280602396171264</c:v>
                </c:pt>
                <c:pt idx="71">
                  <c:v>9.2815662905144855E-2</c:v>
                </c:pt>
                <c:pt idx="72">
                  <c:v>6.7183007710251125E-2</c:v>
                </c:pt>
                <c:pt idx="73">
                  <c:v>4.6252293040768978E-2</c:v>
                </c:pt>
                <c:pt idx="74">
                  <c:v>3.0132490137142739E-2</c:v>
                </c:pt>
                <c:pt idx="75">
                  <c:v>1.7869695070177091E-2</c:v>
                </c:pt>
                <c:pt idx="76">
                  <c:v>9.2935440205274677E-3</c:v>
                </c:pt>
                <c:pt idx="77">
                  <c:v>4.4037009028545229E-3</c:v>
                </c:pt>
                <c:pt idx="78">
                  <c:v>1.9717557952172687E-3</c:v>
                </c:pt>
                <c:pt idx="79">
                  <c:v>5.5785325127586955E-4</c:v>
                </c:pt>
                <c:pt idx="80">
                  <c:v>4.6803826546344754E-5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95E-4525-9593-A30C3A124CFD}"/>
            </c:ext>
          </c:extLst>
        </c:ser>
        <c:ser>
          <c:idx val="5"/>
          <c:order val="5"/>
          <c:tx>
            <c:strRef>
              <c:f>BDE!$BB$19</c:f>
              <c:strCache>
                <c:ptCount val="1"/>
                <c:pt idx="0">
                  <c:v>Basic NIR DD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BDE!$AV$20:$AV$100</c:f>
              <c:numCache>
                <c:formatCode>General</c:formatCode>
                <c:ptCount val="8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</c:numCache>
            </c:numRef>
          </c:xVal>
          <c:yVal>
            <c:numRef>
              <c:f>BDE!$BB$20:$BB$100</c:f>
              <c:numCache>
                <c:formatCode>0.00%</c:formatCode>
                <c:ptCount val="81"/>
                <c:pt idx="0">
                  <c:v>0.17538601201928181</c:v>
                </c:pt>
                <c:pt idx="1">
                  <c:v>0.21346726352381448</c:v>
                </c:pt>
                <c:pt idx="2">
                  <c:v>0.23914033823703626</c:v>
                </c:pt>
                <c:pt idx="3">
                  <c:v>0.25477962290907652</c:v>
                </c:pt>
                <c:pt idx="4">
                  <c:v>0.2648050361137782</c:v>
                </c:pt>
                <c:pt idx="5">
                  <c:v>0.26788085521375082</c:v>
                </c:pt>
                <c:pt idx="6">
                  <c:v>0.27454194129205128</c:v>
                </c:pt>
                <c:pt idx="7">
                  <c:v>0.27619901231503191</c:v>
                </c:pt>
                <c:pt idx="8">
                  <c:v>0.30634598901998567</c:v>
                </c:pt>
                <c:pt idx="9">
                  <c:v>0.3334487985166425</c:v>
                </c:pt>
                <c:pt idx="10">
                  <c:v>0.36982624846987366</c:v>
                </c:pt>
                <c:pt idx="11">
                  <c:v>0.40414610444941229</c:v>
                </c:pt>
                <c:pt idx="12">
                  <c:v>0.42059354676525224</c:v>
                </c:pt>
                <c:pt idx="13">
                  <c:v>0.44135806606655026</c:v>
                </c:pt>
                <c:pt idx="14">
                  <c:v>0.46140107993828222</c:v>
                </c:pt>
                <c:pt idx="15">
                  <c:v>0.48045746383733218</c:v>
                </c:pt>
                <c:pt idx="16">
                  <c:v>0.50083022532697818</c:v>
                </c:pt>
                <c:pt idx="17">
                  <c:v>0.52340520584463357</c:v>
                </c:pt>
                <c:pt idx="18">
                  <c:v>0.54784917544607237</c:v>
                </c:pt>
                <c:pt idx="19">
                  <c:v>0.5724896499728781</c:v>
                </c:pt>
                <c:pt idx="20">
                  <c:v>0.59324942158476524</c:v>
                </c:pt>
                <c:pt idx="21">
                  <c:v>0.6097559881839093</c:v>
                </c:pt>
                <c:pt idx="22">
                  <c:v>0.62937655775181744</c:v>
                </c:pt>
                <c:pt idx="23">
                  <c:v>0.64435464611223181</c:v>
                </c:pt>
                <c:pt idx="24">
                  <c:v>0.66579236703000699</c:v>
                </c:pt>
                <c:pt idx="25">
                  <c:v>0.67988155610742917</c:v>
                </c:pt>
                <c:pt idx="26">
                  <c:v>0.69781134338192685</c:v>
                </c:pt>
                <c:pt idx="27">
                  <c:v>0.71192957253592104</c:v>
                </c:pt>
                <c:pt idx="28">
                  <c:v>0.72966298721072242</c:v>
                </c:pt>
                <c:pt idx="29">
                  <c:v>0.74393439174688358</c:v>
                </c:pt>
                <c:pt idx="30">
                  <c:v>0.76103597627394848</c:v>
                </c:pt>
                <c:pt idx="31">
                  <c:v>0.77466864933145207</c:v>
                </c:pt>
                <c:pt idx="32">
                  <c:v>0.79039630641035763</c:v>
                </c:pt>
                <c:pt idx="33">
                  <c:v>0.80471585682762214</c:v>
                </c:pt>
                <c:pt idx="34">
                  <c:v>0.81814648485609853</c:v>
                </c:pt>
                <c:pt idx="35">
                  <c:v>0.82981225126748259</c:v>
                </c:pt>
                <c:pt idx="36">
                  <c:v>0.84131163926132224</c:v>
                </c:pt>
                <c:pt idx="37">
                  <c:v>0.85131707783642341</c:v>
                </c:pt>
                <c:pt idx="38">
                  <c:v>0.86103010394896573</c:v>
                </c:pt>
                <c:pt idx="39">
                  <c:v>0.87029757727838841</c:v>
                </c:pt>
                <c:pt idx="40">
                  <c:v>0.87825355126767424</c:v>
                </c:pt>
                <c:pt idx="41">
                  <c:v>0.88520601036760671</c:v>
                </c:pt>
                <c:pt idx="42">
                  <c:v>0.89063152632463705</c:v>
                </c:pt>
                <c:pt idx="43">
                  <c:v>0.89522829036382445</c:v>
                </c:pt>
                <c:pt idx="44">
                  <c:v>0.8988557034780803</c:v>
                </c:pt>
                <c:pt idx="45">
                  <c:v>0.9005604183846716</c:v>
                </c:pt>
                <c:pt idx="46">
                  <c:v>0.90053005358009031</c:v>
                </c:pt>
                <c:pt idx="47">
                  <c:v>0.89819146229681668</c:v>
                </c:pt>
                <c:pt idx="48">
                  <c:v>0.89411436067124561</c:v>
                </c:pt>
                <c:pt idx="49">
                  <c:v>0.88803000529922671</c:v>
                </c:pt>
                <c:pt idx="50">
                  <c:v>0.87887256927562951</c:v>
                </c:pt>
                <c:pt idx="51">
                  <c:v>0.86672979624890845</c:v>
                </c:pt>
                <c:pt idx="52">
                  <c:v>0.85095741797879165</c:v>
                </c:pt>
                <c:pt idx="53">
                  <c:v>0.83207080064844452</c:v>
                </c:pt>
                <c:pt idx="54">
                  <c:v>0.80983459362116195</c:v>
                </c:pt>
                <c:pt idx="55">
                  <c:v>0.78337070567635969</c:v>
                </c:pt>
                <c:pt idx="56">
                  <c:v>0.75299499894370903</c:v>
                </c:pt>
                <c:pt idx="57">
                  <c:v>0.71843385174638297</c:v>
                </c:pt>
                <c:pt idx="58">
                  <c:v>0.68051434718952419</c:v>
                </c:pt>
                <c:pt idx="59">
                  <c:v>0.63947228766186737</c:v>
                </c:pt>
                <c:pt idx="60">
                  <c:v>0.59512471687595225</c:v>
                </c:pt>
                <c:pt idx="61">
                  <c:v>0.54829919194170462</c:v>
                </c:pt>
                <c:pt idx="62">
                  <c:v>0.49939110450452812</c:v>
                </c:pt>
                <c:pt idx="63">
                  <c:v>0.44956660134195275</c:v>
                </c:pt>
                <c:pt idx="64">
                  <c:v>0.39951124331469529</c:v>
                </c:pt>
                <c:pt idx="65">
                  <c:v>0.34962755043608756</c:v>
                </c:pt>
                <c:pt idx="66">
                  <c:v>0.30090203923146713</c:v>
                </c:pt>
                <c:pt idx="67">
                  <c:v>0.25398870348537833</c:v>
                </c:pt>
                <c:pt idx="68">
                  <c:v>0.20986076941215961</c:v>
                </c:pt>
                <c:pt idx="69">
                  <c:v>0.1691246638416587</c:v>
                </c:pt>
                <c:pt idx="70">
                  <c:v>0.13220555614341617</c:v>
                </c:pt>
                <c:pt idx="71">
                  <c:v>9.9705239299375081E-2</c:v>
                </c:pt>
                <c:pt idx="72">
                  <c:v>7.203934689254804E-2</c:v>
                </c:pt>
                <c:pt idx="73">
                  <c:v>4.9525528210196665E-2</c:v>
                </c:pt>
                <c:pt idx="74">
                  <c:v>3.2246429324666703E-2</c:v>
                </c:pt>
                <c:pt idx="75">
                  <c:v>1.9110326624403439E-2</c:v>
                </c:pt>
                <c:pt idx="76">
                  <c:v>9.9346023062775665E-3</c:v>
                </c:pt>
                <c:pt idx="77">
                  <c:v>4.7068576060243792E-3</c:v>
                </c:pt>
                <c:pt idx="78">
                  <c:v>2.1076681732903925E-3</c:v>
                </c:pt>
                <c:pt idx="79">
                  <c:v>5.9638494793707491E-4</c:v>
                </c:pt>
                <c:pt idx="80">
                  <c:v>5.0045295755196544E-5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95E-4525-9593-A30C3A124CFD}"/>
            </c:ext>
          </c:extLst>
        </c:ser>
        <c:ser>
          <c:idx val="6"/>
          <c:order val="6"/>
          <c:tx>
            <c:strRef>
              <c:f>BDE!$BC$19</c:f>
              <c:strCache>
                <c:ptCount val="1"/>
                <c:pt idx="0">
                  <c:v>Basic Midband Std Si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BDE!$AV$20:$AV$100</c:f>
              <c:numCache>
                <c:formatCode>General</c:formatCode>
                <c:ptCount val="8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  <c:pt idx="71">
                  <c:v>1010</c:v>
                </c:pt>
                <c:pt idx="72">
                  <c:v>1020</c:v>
                </c:pt>
                <c:pt idx="73">
                  <c:v>1030</c:v>
                </c:pt>
                <c:pt idx="74">
                  <c:v>1040</c:v>
                </c:pt>
                <c:pt idx="75">
                  <c:v>1050</c:v>
                </c:pt>
                <c:pt idx="76">
                  <c:v>1060</c:v>
                </c:pt>
                <c:pt idx="77">
                  <c:v>1070</c:v>
                </c:pt>
                <c:pt idx="78">
                  <c:v>1080</c:v>
                </c:pt>
                <c:pt idx="79">
                  <c:v>1090</c:v>
                </c:pt>
                <c:pt idx="80">
                  <c:v>1100</c:v>
                </c:pt>
              </c:numCache>
            </c:numRef>
          </c:xVal>
          <c:yVal>
            <c:numRef>
              <c:f>BDE!$BC$20:$BC$100</c:f>
              <c:numCache>
                <c:formatCode>0.00%</c:formatCode>
                <c:ptCount val="81"/>
                <c:pt idx="0">
                  <c:v>8.9373833639778771E-2</c:v>
                </c:pt>
                <c:pt idx="1">
                  <c:v>9.9237904303159721E-2</c:v>
                </c:pt>
                <c:pt idx="2">
                  <c:v>0.11209793941702839</c:v>
                </c:pt>
                <c:pt idx="3">
                  <c:v>0.12814643980589793</c:v>
                </c:pt>
                <c:pt idx="4">
                  <c:v>0.14946334713675347</c:v>
                </c:pt>
                <c:pt idx="5">
                  <c:v>0.17309430293428779</c:v>
                </c:pt>
                <c:pt idx="6">
                  <c:v>0.20637532855480126</c:v>
                </c:pt>
                <c:pt idx="7">
                  <c:v>0.25514173556415409</c:v>
                </c:pt>
                <c:pt idx="8">
                  <c:v>0.33182195697838057</c:v>
                </c:pt>
                <c:pt idx="9">
                  <c:v>0.40743932854243869</c:v>
                </c:pt>
                <c:pt idx="10">
                  <c:v>0.4765058524341394</c:v>
                </c:pt>
                <c:pt idx="11">
                  <c:v>0.54758044060104383</c:v>
                </c:pt>
                <c:pt idx="12">
                  <c:v>0.5976817599995512</c:v>
                </c:pt>
                <c:pt idx="13">
                  <c:v>0.64497216056343154</c:v>
                </c:pt>
                <c:pt idx="14">
                  <c:v>0.68605893711800636</c:v>
                </c:pt>
                <c:pt idx="15">
                  <c:v>0.72631906701625781</c:v>
                </c:pt>
                <c:pt idx="16">
                  <c:v>0.762988022326061</c:v>
                </c:pt>
                <c:pt idx="17">
                  <c:v>0.79829983712831687</c:v>
                </c:pt>
                <c:pt idx="18">
                  <c:v>0.8300017916647584</c:v>
                </c:pt>
                <c:pt idx="19">
                  <c:v>0.85720374199405713</c:v>
                </c:pt>
                <c:pt idx="20">
                  <c:v>0.87906566174763767</c:v>
                </c:pt>
                <c:pt idx="21">
                  <c:v>0.89598977408670522</c:v>
                </c:pt>
                <c:pt idx="22">
                  <c:v>0.9096479793586697</c:v>
                </c:pt>
                <c:pt idx="23">
                  <c:v>0.91871716263048475</c:v>
                </c:pt>
                <c:pt idx="24">
                  <c:v>0.92402103989234186</c:v>
                </c:pt>
                <c:pt idx="25">
                  <c:v>0.92723389938605194</c:v>
                </c:pt>
                <c:pt idx="26">
                  <c:v>0.92944950334491361</c:v>
                </c:pt>
                <c:pt idx="27">
                  <c:v>0.92947891882194034</c:v>
                </c:pt>
                <c:pt idx="28">
                  <c:v>0.92882666289772797</c:v>
                </c:pt>
                <c:pt idx="29">
                  <c:v>0.92656768595473826</c:v>
                </c:pt>
                <c:pt idx="30">
                  <c:v>0.92329635842072066</c:v>
                </c:pt>
                <c:pt idx="31">
                  <c:v>0.91832904282662275</c:v>
                </c:pt>
                <c:pt idx="32">
                  <c:v>0.91214288583172509</c:v>
                </c:pt>
                <c:pt idx="33">
                  <c:v>0.90492503934309698</c:v>
                </c:pt>
                <c:pt idx="34">
                  <c:v>0.89658659898330262</c:v>
                </c:pt>
                <c:pt idx="35">
                  <c:v>0.88640724680471261</c:v>
                </c:pt>
                <c:pt idx="36">
                  <c:v>0.87465468113338318</c:v>
                </c:pt>
                <c:pt idx="37">
                  <c:v>0.86100837781338502</c:v>
                </c:pt>
                <c:pt idx="38">
                  <c:v>0.8463539713004935</c:v>
                </c:pt>
                <c:pt idx="39">
                  <c:v>0.83059897247880021</c:v>
                </c:pt>
                <c:pt idx="40">
                  <c:v>0.81295419287805726</c:v>
                </c:pt>
                <c:pt idx="41">
                  <c:v>0.7937875644297081</c:v>
                </c:pt>
                <c:pt idx="42">
                  <c:v>0.77273267882897734</c:v>
                </c:pt>
                <c:pt idx="43">
                  <c:v>0.75052611937720126</c:v>
                </c:pt>
                <c:pt idx="44">
                  <c:v>0.72716661444709541</c:v>
                </c:pt>
                <c:pt idx="45">
                  <c:v>0.70206397151833877</c:v>
                </c:pt>
                <c:pt idx="46">
                  <c:v>0.67557184374402779</c:v>
                </c:pt>
                <c:pt idx="47">
                  <c:v>0.6475638441502467</c:v>
                </c:pt>
                <c:pt idx="48">
                  <c:v>0.61876405069374318</c:v>
                </c:pt>
                <c:pt idx="49">
                  <c:v>0.58927076281297608</c:v>
                </c:pt>
                <c:pt idx="50">
                  <c:v>0.55878410634771414</c:v>
                </c:pt>
                <c:pt idx="51">
                  <c:v>0.52757732571430616</c:v>
                </c:pt>
                <c:pt idx="52">
                  <c:v>0.49567503583166111</c:v>
                </c:pt>
                <c:pt idx="53">
                  <c:v>0.46375681443688338</c:v>
                </c:pt>
                <c:pt idx="54">
                  <c:v>0.43193274322644709</c:v>
                </c:pt>
                <c:pt idx="55">
                  <c:v>0.40001104371924695</c:v>
                </c:pt>
                <c:pt idx="56">
                  <c:v>0.36838758012037903</c:v>
                </c:pt>
                <c:pt idx="57">
                  <c:v>0.33710941488454332</c:v>
                </c:pt>
                <c:pt idx="58">
                  <c:v>0.30664364568614305</c:v>
                </c:pt>
                <c:pt idx="59">
                  <c:v>0.27713450384806265</c:v>
                </c:pt>
                <c:pt idx="60">
                  <c:v>0.24849211521937986</c:v>
                </c:pt>
                <c:pt idx="61">
                  <c:v>0.22098402244128942</c:v>
                </c:pt>
                <c:pt idx="62">
                  <c:v>0.19467097537285061</c:v>
                </c:pt>
                <c:pt idx="63">
                  <c:v>0.16986161753917658</c:v>
                </c:pt>
                <c:pt idx="64">
                  <c:v>0.14663163726298206</c:v>
                </c:pt>
                <c:pt idx="65">
                  <c:v>0.1249340338554286</c:v>
                </c:pt>
                <c:pt idx="66">
                  <c:v>0.10491569932203401</c:v>
                </c:pt>
                <c:pt idx="67">
                  <c:v>8.6610391532522396E-2</c:v>
                </c:pt>
                <c:pt idx="68">
                  <c:v>7.0152142143640725E-2</c:v>
                </c:pt>
                <c:pt idx="69">
                  <c:v>5.5546038598075283E-2</c:v>
                </c:pt>
                <c:pt idx="70">
                  <c:v>4.275840718319731E-2</c:v>
                </c:pt>
                <c:pt idx="71">
                  <c:v>3.1827454781953479E-2</c:v>
                </c:pt>
                <c:pt idx="72">
                  <c:v>2.2747588062323961E-2</c:v>
                </c:pt>
                <c:pt idx="73">
                  <c:v>1.5503450145367241E-2</c:v>
                </c:pt>
                <c:pt idx="74">
                  <c:v>1.0028503842749987E-2</c:v>
                </c:pt>
                <c:pt idx="75">
                  <c:v>5.9140253583352589E-3</c:v>
                </c:pt>
                <c:pt idx="76">
                  <c:v>3.0641233829380794E-3</c:v>
                </c:pt>
                <c:pt idx="77">
                  <c:v>1.4490581513523556E-3</c:v>
                </c:pt>
                <c:pt idx="78">
                  <c:v>6.4831541439097997E-4</c:v>
                </c:pt>
                <c:pt idx="79">
                  <c:v>1.833718804986255E-4</c:v>
                </c:pt>
                <c:pt idx="80">
                  <c:v>1.5387377108887872E-5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95E-4525-9593-A30C3A124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24224"/>
        <c:axId val="565920696"/>
      </c:scatterChart>
      <c:valAx>
        <c:axId val="565924224"/>
        <c:scaling>
          <c:orientation val="minMax"/>
          <c:max val="10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20696"/>
        <c:crosses val="autoZero"/>
        <c:crossBetween val="midCat"/>
      </c:valAx>
      <c:valAx>
        <c:axId val="56592069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2422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Base Req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BDE!$BG$59:$BG$79</c:f>
              <c:numCache>
                <c:formatCode>0.0</c:formatCode>
                <c:ptCount val="21"/>
                <c:pt idx="0">
                  <c:v>3</c:v>
                </c:pt>
                <c:pt idx="1">
                  <c:v>3.3</c:v>
                </c:pt>
                <c:pt idx="2">
                  <c:v>3.6</c:v>
                </c:pt>
                <c:pt idx="3">
                  <c:v>3.9</c:v>
                </c:pt>
                <c:pt idx="4">
                  <c:v>4.2</c:v>
                </c:pt>
                <c:pt idx="5">
                  <c:v>4.5</c:v>
                </c:pt>
                <c:pt idx="6">
                  <c:v>4.8</c:v>
                </c:pt>
                <c:pt idx="7">
                  <c:v>5.0999999999999996</c:v>
                </c:pt>
                <c:pt idx="8">
                  <c:v>5.4</c:v>
                </c:pt>
                <c:pt idx="9">
                  <c:v>5.7</c:v>
                </c:pt>
                <c:pt idx="10">
                  <c:v>6</c:v>
                </c:pt>
                <c:pt idx="11">
                  <c:v>6.3</c:v>
                </c:pt>
                <c:pt idx="12">
                  <c:v>6.6</c:v>
                </c:pt>
                <c:pt idx="13">
                  <c:v>6.9</c:v>
                </c:pt>
                <c:pt idx="14">
                  <c:v>7.2</c:v>
                </c:pt>
                <c:pt idx="15">
                  <c:v>7.5</c:v>
                </c:pt>
                <c:pt idx="16">
                  <c:v>7.8</c:v>
                </c:pt>
                <c:pt idx="17">
                  <c:v>8.1</c:v>
                </c:pt>
                <c:pt idx="18">
                  <c:v>8.4</c:v>
                </c:pt>
                <c:pt idx="19">
                  <c:v>8.6999999999999993</c:v>
                </c:pt>
                <c:pt idx="20">
                  <c:v>9</c:v>
                </c:pt>
              </c:numCache>
            </c:numRef>
          </c:xVal>
          <c:yVal>
            <c:numRef>
              <c:f>BDE!$BJ$59:$BJ$79</c:f>
              <c:numCache>
                <c:formatCode>0.0E+00</c:formatCode>
                <c:ptCount val="21"/>
                <c:pt idx="0">
                  <c:v>6E-9</c:v>
                </c:pt>
                <c:pt idx="1">
                  <c:v>6E-9</c:v>
                </c:pt>
                <c:pt idx="2">
                  <c:v>6E-9</c:v>
                </c:pt>
                <c:pt idx="3">
                  <c:v>6E-9</c:v>
                </c:pt>
                <c:pt idx="4">
                  <c:v>3E-9</c:v>
                </c:pt>
                <c:pt idx="5">
                  <c:v>3E-9</c:v>
                </c:pt>
                <c:pt idx="6">
                  <c:v>3E-9</c:v>
                </c:pt>
                <c:pt idx="7">
                  <c:v>2.0000000000000001E-9</c:v>
                </c:pt>
                <c:pt idx="8">
                  <c:v>2.0000000000000001E-9</c:v>
                </c:pt>
                <c:pt idx="9">
                  <c:v>2.0000000000000001E-9</c:v>
                </c:pt>
                <c:pt idx="10">
                  <c:v>2.0000000000000001E-9</c:v>
                </c:pt>
                <c:pt idx="11">
                  <c:v>2.0000000000000001E-9</c:v>
                </c:pt>
                <c:pt idx="12">
                  <c:v>2.0000000000000001E-9</c:v>
                </c:pt>
                <c:pt idx="13">
                  <c:v>2.0000000000000001E-9</c:v>
                </c:pt>
                <c:pt idx="14">
                  <c:v>2.0000000000000001E-9</c:v>
                </c:pt>
                <c:pt idx="15">
                  <c:v>2.0000000000000001E-9</c:v>
                </c:pt>
                <c:pt idx="16">
                  <c:v>2.0000000000000001E-9</c:v>
                </c:pt>
                <c:pt idx="17">
                  <c:v>2.0000000000000001E-9</c:v>
                </c:pt>
                <c:pt idx="18">
                  <c:v>2.0000000000000001E-9</c:v>
                </c:pt>
                <c:pt idx="19">
                  <c:v>2.0000000000000001E-9</c:v>
                </c:pt>
                <c:pt idx="20">
                  <c:v>2.0000000000000001E-9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17-4D44-863C-F72B80913EA4}"/>
            </c:ext>
          </c:extLst>
        </c:ser>
        <c:ser>
          <c:idx val="1"/>
          <c:order val="1"/>
          <c:tx>
            <c:v>Base Fit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BDE!$BP$59:$BP$79</c:f>
              <c:numCache>
                <c:formatCode>0.0</c:formatCode>
                <c:ptCount val="21"/>
                <c:pt idx="0">
                  <c:v>3</c:v>
                </c:pt>
                <c:pt idx="1">
                  <c:v>3.3</c:v>
                </c:pt>
                <c:pt idx="2">
                  <c:v>3.6</c:v>
                </c:pt>
                <c:pt idx="3">
                  <c:v>3.9</c:v>
                </c:pt>
                <c:pt idx="4">
                  <c:v>4.2</c:v>
                </c:pt>
                <c:pt idx="5">
                  <c:v>4.5</c:v>
                </c:pt>
                <c:pt idx="6">
                  <c:v>4.8</c:v>
                </c:pt>
                <c:pt idx="7">
                  <c:v>5.0999999999999996</c:v>
                </c:pt>
                <c:pt idx="8">
                  <c:v>5.4</c:v>
                </c:pt>
                <c:pt idx="9">
                  <c:v>5.7</c:v>
                </c:pt>
                <c:pt idx="10">
                  <c:v>6</c:v>
                </c:pt>
                <c:pt idx="11">
                  <c:v>6.3</c:v>
                </c:pt>
                <c:pt idx="12">
                  <c:v>6.6</c:v>
                </c:pt>
                <c:pt idx="13">
                  <c:v>6.9</c:v>
                </c:pt>
                <c:pt idx="14">
                  <c:v>7.2</c:v>
                </c:pt>
                <c:pt idx="15">
                  <c:v>7.5</c:v>
                </c:pt>
                <c:pt idx="16">
                  <c:v>7.8</c:v>
                </c:pt>
                <c:pt idx="17">
                  <c:v>8.1</c:v>
                </c:pt>
                <c:pt idx="18">
                  <c:v>8.4</c:v>
                </c:pt>
                <c:pt idx="19">
                  <c:v>8.6999999999999993</c:v>
                </c:pt>
                <c:pt idx="20">
                  <c:v>9</c:v>
                </c:pt>
              </c:numCache>
            </c:numRef>
          </c:xVal>
          <c:yVal>
            <c:numRef>
              <c:f>BDE!$BS$59:$BS$79</c:f>
              <c:numCache>
                <c:formatCode>0.00E+00</c:formatCode>
                <c:ptCount val="21"/>
                <c:pt idx="0">
                  <c:v>7.2472260160145984E-9</c:v>
                </c:pt>
                <c:pt idx="1">
                  <c:v>2.3095799984617735E-9</c:v>
                </c:pt>
                <c:pt idx="2">
                  <c:v>1.6662117437376031E-9</c:v>
                </c:pt>
                <c:pt idx="3">
                  <c:v>2.1576017733061114E-9</c:v>
                </c:pt>
                <c:pt idx="4">
                  <c:v>2.306946387724597E-9</c:v>
                </c:pt>
                <c:pt idx="5">
                  <c:v>1.9226324040398731E-9</c:v>
                </c:pt>
                <c:pt idx="6">
                  <c:v>1.4675072501136031E-9</c:v>
                </c:pt>
                <c:pt idx="7">
                  <c:v>1.3662615529876561E-9</c:v>
                </c:pt>
                <c:pt idx="8">
                  <c:v>1.6199045358227248E-9</c:v>
                </c:pt>
                <c:pt idx="9">
                  <c:v>1.8635060467185033E-9</c:v>
                </c:pt>
                <c:pt idx="10">
                  <c:v>2.0916808160367671E-9</c:v>
                </c:pt>
                <c:pt idx="11">
                  <c:v>2.2961441464677435E-9</c:v>
                </c:pt>
                <c:pt idx="12">
                  <c:v>2.3506936867925952E-9</c:v>
                </c:pt>
                <c:pt idx="13">
                  <c:v>2.1551424713197391E-9</c:v>
                </c:pt>
                <c:pt idx="14">
                  <c:v>2.0683055067821635E-9</c:v>
                </c:pt>
                <c:pt idx="15">
                  <c:v>2.2349563000867927E-9</c:v>
                </c:pt>
                <c:pt idx="16">
                  <c:v>2.319224126747009E-9</c:v>
                </c:pt>
                <c:pt idx="17">
                  <c:v>2.2626045200997864E-9</c:v>
                </c:pt>
                <c:pt idx="18">
                  <c:v>2.4045621298822136E-9</c:v>
                </c:pt>
                <c:pt idx="19">
                  <c:v>3.6118678935405156E-9</c:v>
                </c:pt>
                <c:pt idx="20">
                  <c:v>3.2304959370635068E-9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117-4D44-863C-F72B80913EA4}"/>
            </c:ext>
          </c:extLst>
        </c:ser>
        <c:ser>
          <c:idx val="2"/>
          <c:order val="2"/>
          <c:tx>
            <c:v>Goal Req</c:v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BDE!$BG$86:$BG$107</c:f>
              <c:numCache>
                <c:formatCode>0.0</c:formatCode>
                <c:ptCount val="22"/>
                <c:pt idx="0">
                  <c:v>2.7</c:v>
                </c:pt>
                <c:pt idx="1">
                  <c:v>3</c:v>
                </c:pt>
                <c:pt idx="2">
                  <c:v>3.3</c:v>
                </c:pt>
                <c:pt idx="3">
                  <c:v>3.6</c:v>
                </c:pt>
                <c:pt idx="4">
                  <c:v>3.9</c:v>
                </c:pt>
                <c:pt idx="5">
                  <c:v>4.2</c:v>
                </c:pt>
                <c:pt idx="6">
                  <c:v>4.5</c:v>
                </c:pt>
                <c:pt idx="7">
                  <c:v>4.8</c:v>
                </c:pt>
                <c:pt idx="8">
                  <c:v>5.0999999999999996</c:v>
                </c:pt>
                <c:pt idx="9">
                  <c:v>5.4</c:v>
                </c:pt>
                <c:pt idx="10">
                  <c:v>5.7</c:v>
                </c:pt>
                <c:pt idx="11">
                  <c:v>6</c:v>
                </c:pt>
                <c:pt idx="12">
                  <c:v>6.3</c:v>
                </c:pt>
                <c:pt idx="13">
                  <c:v>6.6</c:v>
                </c:pt>
                <c:pt idx="14">
                  <c:v>6.9</c:v>
                </c:pt>
                <c:pt idx="15">
                  <c:v>7.2</c:v>
                </c:pt>
                <c:pt idx="16">
                  <c:v>7.5</c:v>
                </c:pt>
                <c:pt idx="17">
                  <c:v>7.8</c:v>
                </c:pt>
                <c:pt idx="18">
                  <c:v>8.1</c:v>
                </c:pt>
                <c:pt idx="19">
                  <c:v>8.4</c:v>
                </c:pt>
                <c:pt idx="20">
                  <c:v>8.6999999999999993</c:v>
                </c:pt>
                <c:pt idx="21">
                  <c:v>9</c:v>
                </c:pt>
              </c:numCache>
            </c:numRef>
          </c:xVal>
          <c:yVal>
            <c:numRef>
              <c:f>BDE!$BJ$86:$BJ$107</c:f>
              <c:numCache>
                <c:formatCode>0.00E+00</c:formatCode>
                <c:ptCount val="22"/>
                <c:pt idx="0">
                  <c:v>2.0000000000000001E-9</c:v>
                </c:pt>
                <c:pt idx="1">
                  <c:v>2.0000000000000001E-9</c:v>
                </c:pt>
                <c:pt idx="2">
                  <c:v>2.0000000000000001E-9</c:v>
                </c:pt>
                <c:pt idx="3">
                  <c:v>2.0000000000000001E-9</c:v>
                </c:pt>
                <c:pt idx="4">
                  <c:v>2.0000000000000001E-9</c:v>
                </c:pt>
                <c:pt idx="5">
                  <c:v>1.0000000000000001E-9</c:v>
                </c:pt>
                <c:pt idx="6">
                  <c:v>1.0000000000000001E-9</c:v>
                </c:pt>
                <c:pt idx="7">
                  <c:v>1.0000000000000001E-9</c:v>
                </c:pt>
                <c:pt idx="8">
                  <c:v>1.0000000000000001E-9</c:v>
                </c:pt>
                <c:pt idx="9">
                  <c:v>1.0000000000000001E-9</c:v>
                </c:pt>
                <c:pt idx="10">
                  <c:v>1.0000000000000001E-9</c:v>
                </c:pt>
                <c:pt idx="11">
                  <c:v>1.0000000000000001E-9</c:v>
                </c:pt>
                <c:pt idx="12">
                  <c:v>1.0000000000000001E-9</c:v>
                </c:pt>
                <c:pt idx="13">
                  <c:v>1.0000000000000001E-9</c:v>
                </c:pt>
                <c:pt idx="14">
                  <c:v>1.0000000000000001E-9</c:v>
                </c:pt>
                <c:pt idx="15">
                  <c:v>1.0000000000000001E-9</c:v>
                </c:pt>
                <c:pt idx="16">
                  <c:v>1.0000000000000001E-9</c:v>
                </c:pt>
                <c:pt idx="17">
                  <c:v>1.0000000000000001E-9</c:v>
                </c:pt>
                <c:pt idx="18">
                  <c:v>1.0000000000000001E-9</c:v>
                </c:pt>
                <c:pt idx="19">
                  <c:v>1.0000000000000001E-9</c:v>
                </c:pt>
                <c:pt idx="20">
                  <c:v>1.0000000000000001E-9</c:v>
                </c:pt>
                <c:pt idx="21">
                  <c:v>1.0000000000000001E-9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117-4D44-863C-F72B80913EA4}"/>
            </c:ext>
          </c:extLst>
        </c:ser>
        <c:ser>
          <c:idx val="3"/>
          <c:order val="3"/>
          <c:tx>
            <c:v>Goal Fit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BDE!$BP$86:$BP$107</c:f>
              <c:numCache>
                <c:formatCode>0.0</c:formatCode>
                <c:ptCount val="22"/>
                <c:pt idx="0">
                  <c:v>2.7</c:v>
                </c:pt>
                <c:pt idx="1">
                  <c:v>3</c:v>
                </c:pt>
                <c:pt idx="2">
                  <c:v>3.3</c:v>
                </c:pt>
                <c:pt idx="3">
                  <c:v>3.6</c:v>
                </c:pt>
                <c:pt idx="4">
                  <c:v>3.9</c:v>
                </c:pt>
                <c:pt idx="5">
                  <c:v>4.2</c:v>
                </c:pt>
                <c:pt idx="6">
                  <c:v>4.5</c:v>
                </c:pt>
                <c:pt idx="7">
                  <c:v>4.8</c:v>
                </c:pt>
                <c:pt idx="8">
                  <c:v>5.0999999999999996</c:v>
                </c:pt>
                <c:pt idx="9">
                  <c:v>5.4</c:v>
                </c:pt>
                <c:pt idx="10">
                  <c:v>5.7</c:v>
                </c:pt>
                <c:pt idx="11">
                  <c:v>6</c:v>
                </c:pt>
                <c:pt idx="12">
                  <c:v>6.3</c:v>
                </c:pt>
                <c:pt idx="13">
                  <c:v>6.6</c:v>
                </c:pt>
                <c:pt idx="14">
                  <c:v>6.9</c:v>
                </c:pt>
                <c:pt idx="15">
                  <c:v>7.2</c:v>
                </c:pt>
                <c:pt idx="16">
                  <c:v>7.5</c:v>
                </c:pt>
                <c:pt idx="17">
                  <c:v>7.8</c:v>
                </c:pt>
                <c:pt idx="18">
                  <c:v>8.1</c:v>
                </c:pt>
                <c:pt idx="19">
                  <c:v>8.4</c:v>
                </c:pt>
                <c:pt idx="20">
                  <c:v>8.6999999999999993</c:v>
                </c:pt>
                <c:pt idx="21">
                  <c:v>9</c:v>
                </c:pt>
              </c:numCache>
            </c:numRef>
          </c:xVal>
          <c:yVal>
            <c:numRef>
              <c:f>BDE!$BS$86:$BS$107</c:f>
              <c:numCache>
                <c:formatCode>0.00E+00</c:formatCode>
                <c:ptCount val="22"/>
                <c:pt idx="0">
                  <c:v>9.0319224499509866E-9</c:v>
                </c:pt>
                <c:pt idx="1">
                  <c:v>2.7142377193734087E-9</c:v>
                </c:pt>
                <c:pt idx="2">
                  <c:v>8.6498601449477665E-10</c:v>
                </c:pt>
                <c:pt idx="3">
                  <c:v>6.240311469963728E-10</c:v>
                </c:pt>
                <c:pt idx="4">
                  <c:v>8.0806699053590087E-10</c:v>
                </c:pt>
                <c:pt idx="5">
                  <c:v>8.6399967219150139E-10</c:v>
                </c:pt>
                <c:pt idx="6">
                  <c:v>7.200660473404626E-10</c:v>
                </c:pt>
                <c:pt idx="7">
                  <c:v>5.4961215821204842E-10</c:v>
                </c:pt>
                <c:pt idx="8">
                  <c:v>5.116935270756316E-10</c:v>
                </c:pt>
                <c:pt idx="9">
                  <c:v>6.0668812911288348E-10</c:v>
                </c:pt>
                <c:pt idx="10">
                  <c:v>6.9792198989059366E-10</c:v>
                </c:pt>
                <c:pt idx="11">
                  <c:v>7.8337821329585392E-10</c:v>
                </c:pt>
                <c:pt idx="12">
                  <c:v>8.5995400691097443E-10</c:v>
                </c:pt>
                <c:pt idx="13">
                  <c:v>8.8038395067111307E-10</c:v>
                </c:pt>
                <c:pt idx="14">
                  <c:v>8.0714593050548492E-10</c:v>
                </c:pt>
                <c:pt idx="15">
                  <c:v>7.7462367108333526E-10</c:v>
                </c:pt>
                <c:pt idx="16">
                  <c:v>8.3703787869206553E-10</c:v>
                </c:pt>
                <c:pt idx="17">
                  <c:v>8.6859794224539708E-10</c:v>
                </c:pt>
                <c:pt idx="18">
                  <c:v>8.4739271535190931E-10</c:v>
                </c:pt>
                <c:pt idx="19">
                  <c:v>9.0055880927144787E-10</c:v>
                </c:pt>
                <c:pt idx="20">
                  <c:v>1.3527200686687816E-9</c:v>
                </c:pt>
                <c:pt idx="21">
                  <c:v>1.2098882945397923E-9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117-4D44-863C-F72B80913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25792"/>
        <c:axId val="565921088"/>
      </c:scatterChart>
      <c:valAx>
        <c:axId val="565925792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Working Angle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21088"/>
        <c:crosses val="autoZero"/>
        <c:crossBetween val="midCat"/>
      </c:valAx>
      <c:valAx>
        <c:axId val="565921088"/>
        <c:scaling>
          <c:logBase val="10"/>
          <c:orientation val="minMax"/>
          <c:max val="2.000000000000001E-8"/>
          <c:min val="2.0000000000000011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Contrast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2579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Req 660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BDE!$BG$116:$BG$146</c:f>
              <c:numCache>
                <c:formatCode>0.00</c:formatCode>
                <c:ptCount val="31"/>
                <c:pt idx="0">
                  <c:v>3</c:v>
                </c:pt>
                <c:pt idx="1">
                  <c:v>3.2</c:v>
                </c:pt>
                <c:pt idx="2">
                  <c:v>3.4</c:v>
                </c:pt>
                <c:pt idx="3">
                  <c:v>3.6</c:v>
                </c:pt>
                <c:pt idx="4">
                  <c:v>3.8</c:v>
                </c:pt>
                <c:pt idx="5">
                  <c:v>4</c:v>
                </c:pt>
                <c:pt idx="6">
                  <c:v>4.2</c:v>
                </c:pt>
                <c:pt idx="7">
                  <c:v>4.4000000000000004</c:v>
                </c:pt>
                <c:pt idx="8">
                  <c:v>4.5999999999999996</c:v>
                </c:pt>
                <c:pt idx="9">
                  <c:v>4.8</c:v>
                </c:pt>
                <c:pt idx="10">
                  <c:v>5</c:v>
                </c:pt>
                <c:pt idx="11">
                  <c:v>5.2</c:v>
                </c:pt>
                <c:pt idx="12">
                  <c:v>5.4</c:v>
                </c:pt>
                <c:pt idx="13">
                  <c:v>5.6</c:v>
                </c:pt>
                <c:pt idx="14">
                  <c:v>5.8</c:v>
                </c:pt>
                <c:pt idx="15">
                  <c:v>6</c:v>
                </c:pt>
                <c:pt idx="16">
                  <c:v>6.2</c:v>
                </c:pt>
                <c:pt idx="17">
                  <c:v>6.4</c:v>
                </c:pt>
                <c:pt idx="18">
                  <c:v>6.6</c:v>
                </c:pt>
                <c:pt idx="19">
                  <c:v>6.8</c:v>
                </c:pt>
                <c:pt idx="20">
                  <c:v>7</c:v>
                </c:pt>
                <c:pt idx="21">
                  <c:v>7.2</c:v>
                </c:pt>
                <c:pt idx="22">
                  <c:v>7.4</c:v>
                </c:pt>
                <c:pt idx="23">
                  <c:v>7.6</c:v>
                </c:pt>
                <c:pt idx="24">
                  <c:v>7.8</c:v>
                </c:pt>
                <c:pt idx="25">
                  <c:v>8</c:v>
                </c:pt>
                <c:pt idx="26">
                  <c:v>8.1999999999999993</c:v>
                </c:pt>
                <c:pt idx="27">
                  <c:v>8.4</c:v>
                </c:pt>
                <c:pt idx="28">
                  <c:v>8.6</c:v>
                </c:pt>
                <c:pt idx="29">
                  <c:v>8.8000000000000007</c:v>
                </c:pt>
                <c:pt idx="30">
                  <c:v>9</c:v>
                </c:pt>
              </c:numCache>
            </c:numRef>
          </c:xVal>
          <c:yVal>
            <c:numRef>
              <c:f>BDE!$BJ$116:$BJ$146</c:f>
              <c:numCache>
                <c:formatCode>0.0E+00</c:formatCode>
                <c:ptCount val="31"/>
                <c:pt idx="0">
                  <c:v>6E-9</c:v>
                </c:pt>
                <c:pt idx="1">
                  <c:v>6E-9</c:v>
                </c:pt>
                <c:pt idx="2">
                  <c:v>6E-9</c:v>
                </c:pt>
                <c:pt idx="3">
                  <c:v>6E-9</c:v>
                </c:pt>
                <c:pt idx="4">
                  <c:v>6E-9</c:v>
                </c:pt>
                <c:pt idx="5">
                  <c:v>4.0000000000000002E-9</c:v>
                </c:pt>
                <c:pt idx="6">
                  <c:v>4.0000000000000002E-9</c:v>
                </c:pt>
                <c:pt idx="7">
                  <c:v>4.0000000000000002E-9</c:v>
                </c:pt>
                <c:pt idx="8">
                  <c:v>4.0000000000000002E-9</c:v>
                </c:pt>
                <c:pt idx="9">
                  <c:v>4.0000000000000002E-9</c:v>
                </c:pt>
                <c:pt idx="10">
                  <c:v>4.0000000000000002E-9</c:v>
                </c:pt>
                <c:pt idx="11">
                  <c:v>4.0000000000000002E-9</c:v>
                </c:pt>
                <c:pt idx="12">
                  <c:v>4.0000000000000002E-9</c:v>
                </c:pt>
                <c:pt idx="13">
                  <c:v>4.0000000000000002E-9</c:v>
                </c:pt>
                <c:pt idx="14">
                  <c:v>4.0000000000000002E-9</c:v>
                </c:pt>
                <c:pt idx="15">
                  <c:v>4.0000000000000002E-9</c:v>
                </c:pt>
                <c:pt idx="16">
                  <c:v>4.0000000000000002E-9</c:v>
                </c:pt>
                <c:pt idx="17">
                  <c:v>4.0000000000000002E-9</c:v>
                </c:pt>
                <c:pt idx="18">
                  <c:v>4.0000000000000002E-9</c:v>
                </c:pt>
                <c:pt idx="19">
                  <c:v>4.0000000000000002E-9</c:v>
                </c:pt>
                <c:pt idx="20">
                  <c:v>4.0000000000000002E-9</c:v>
                </c:pt>
                <c:pt idx="21">
                  <c:v>4.0000000000000002E-9</c:v>
                </c:pt>
                <c:pt idx="22">
                  <c:v>4.0000000000000002E-9</c:v>
                </c:pt>
                <c:pt idx="23">
                  <c:v>4.0000000000000002E-9</c:v>
                </c:pt>
                <c:pt idx="24">
                  <c:v>4.0000000000000002E-9</c:v>
                </c:pt>
                <c:pt idx="25">
                  <c:v>4.0000000000000002E-9</c:v>
                </c:pt>
                <c:pt idx="26">
                  <c:v>4.0000000000000002E-9</c:v>
                </c:pt>
                <c:pt idx="27">
                  <c:v>4.0000000000000002E-9</c:v>
                </c:pt>
                <c:pt idx="28">
                  <c:v>4.0000000000000002E-9</c:v>
                </c:pt>
                <c:pt idx="29">
                  <c:v>4.0000000000000002E-9</c:v>
                </c:pt>
                <c:pt idx="30">
                  <c:v>4.0000000000000002E-9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00-46D1-91CF-B4481BA6E3E0}"/>
            </c:ext>
          </c:extLst>
        </c:ser>
        <c:ser>
          <c:idx val="1"/>
          <c:order val="1"/>
          <c:tx>
            <c:v>Fit 660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BDE!$BP$116:$BP$146</c:f>
              <c:numCache>
                <c:formatCode>0.00</c:formatCode>
                <c:ptCount val="31"/>
                <c:pt idx="0">
                  <c:v>3</c:v>
                </c:pt>
                <c:pt idx="1">
                  <c:v>3.2</c:v>
                </c:pt>
                <c:pt idx="2">
                  <c:v>3.4</c:v>
                </c:pt>
                <c:pt idx="3">
                  <c:v>3.6</c:v>
                </c:pt>
                <c:pt idx="4">
                  <c:v>3.8</c:v>
                </c:pt>
                <c:pt idx="5">
                  <c:v>4</c:v>
                </c:pt>
                <c:pt idx="6">
                  <c:v>4.2</c:v>
                </c:pt>
                <c:pt idx="7">
                  <c:v>4.4000000000000004</c:v>
                </c:pt>
                <c:pt idx="8">
                  <c:v>4.5999999999999996</c:v>
                </c:pt>
                <c:pt idx="9">
                  <c:v>4.8</c:v>
                </c:pt>
                <c:pt idx="10">
                  <c:v>5</c:v>
                </c:pt>
                <c:pt idx="11">
                  <c:v>5.2</c:v>
                </c:pt>
                <c:pt idx="12">
                  <c:v>5.4</c:v>
                </c:pt>
                <c:pt idx="13">
                  <c:v>5.6</c:v>
                </c:pt>
                <c:pt idx="14">
                  <c:v>5.8</c:v>
                </c:pt>
                <c:pt idx="15">
                  <c:v>6</c:v>
                </c:pt>
                <c:pt idx="16">
                  <c:v>6.2</c:v>
                </c:pt>
                <c:pt idx="17">
                  <c:v>6.4</c:v>
                </c:pt>
                <c:pt idx="18">
                  <c:v>6.6</c:v>
                </c:pt>
                <c:pt idx="19">
                  <c:v>6.8</c:v>
                </c:pt>
                <c:pt idx="20">
                  <c:v>7</c:v>
                </c:pt>
                <c:pt idx="21">
                  <c:v>7.2</c:v>
                </c:pt>
                <c:pt idx="22">
                  <c:v>7.4</c:v>
                </c:pt>
                <c:pt idx="23">
                  <c:v>7.6</c:v>
                </c:pt>
                <c:pt idx="24">
                  <c:v>7.8</c:v>
                </c:pt>
                <c:pt idx="25">
                  <c:v>8</c:v>
                </c:pt>
                <c:pt idx="26">
                  <c:v>8.1999999999999993</c:v>
                </c:pt>
                <c:pt idx="27">
                  <c:v>8.4</c:v>
                </c:pt>
                <c:pt idx="28">
                  <c:v>8.6</c:v>
                </c:pt>
                <c:pt idx="29">
                  <c:v>8.8000000000000007</c:v>
                </c:pt>
                <c:pt idx="30">
                  <c:v>9</c:v>
                </c:pt>
              </c:numCache>
            </c:numRef>
          </c:xVal>
          <c:yVal>
            <c:numRef>
              <c:f>BDE!$BS$116:$BS$146</c:f>
              <c:numCache>
                <c:formatCode>0.00E+00</c:formatCode>
                <c:ptCount val="31"/>
                <c:pt idx="0">
                  <c:v>4.5740872455552217E-9</c:v>
                </c:pt>
                <c:pt idx="1">
                  <c:v>2.8940102977677469E-9</c:v>
                </c:pt>
                <c:pt idx="2">
                  <c:v>2.8612234352629453E-9</c:v>
                </c:pt>
                <c:pt idx="3">
                  <c:v>1.8957044979955174E-9</c:v>
                </c:pt>
                <c:pt idx="4">
                  <c:v>1.7079852698511913E-9</c:v>
                </c:pt>
                <c:pt idx="5">
                  <c:v>1.4575250148254062E-9</c:v>
                </c:pt>
                <c:pt idx="6">
                  <c:v>1.1778232617299773E-9</c:v>
                </c:pt>
                <c:pt idx="7">
                  <c:v>9.4038339434319744E-10</c:v>
                </c:pt>
                <c:pt idx="8">
                  <c:v>9.9317657960240565E-10</c:v>
                </c:pt>
                <c:pt idx="9">
                  <c:v>1.2630791279929339E-9</c:v>
                </c:pt>
                <c:pt idx="10">
                  <c:v>1.5917325456485219E-9</c:v>
                </c:pt>
                <c:pt idx="11">
                  <c:v>2.0377331331949047E-9</c:v>
                </c:pt>
                <c:pt idx="12">
                  <c:v>1.9104359725072311E-9</c:v>
                </c:pt>
                <c:pt idx="13">
                  <c:v>1.9855932970229449E-9</c:v>
                </c:pt>
                <c:pt idx="14">
                  <c:v>2.0646502559196787E-9</c:v>
                </c:pt>
                <c:pt idx="15">
                  <c:v>2.3200456176627863E-9</c:v>
                </c:pt>
                <c:pt idx="16">
                  <c:v>2.6112141630413322E-9</c:v>
                </c:pt>
                <c:pt idx="17">
                  <c:v>2.3013559652531559E-9</c:v>
                </c:pt>
                <c:pt idx="18">
                  <c:v>2.261419744394155E-9</c:v>
                </c:pt>
                <c:pt idx="19">
                  <c:v>2.1901317079136988E-9</c:v>
                </c:pt>
                <c:pt idx="20">
                  <c:v>2.4129864165975143E-9</c:v>
                </c:pt>
                <c:pt idx="21">
                  <c:v>2.7239241877853828E-9</c:v>
                </c:pt>
                <c:pt idx="22">
                  <c:v>2.8475669779007104E-9</c:v>
                </c:pt>
                <c:pt idx="23">
                  <c:v>2.6523752415049532E-9</c:v>
                </c:pt>
                <c:pt idx="24">
                  <c:v>2.5049992878943798E-9</c:v>
                </c:pt>
                <c:pt idx="25">
                  <c:v>2.3191949743445864E-9</c:v>
                </c:pt>
                <c:pt idx="26">
                  <c:v>2.6667299227206913E-9</c:v>
                </c:pt>
                <c:pt idx="27">
                  <c:v>3.9621323792344217E-9</c:v>
                </c:pt>
                <c:pt idx="28">
                  <c:v>7.1719087839117882E-9</c:v>
                </c:pt>
                <c:pt idx="29">
                  <c:v>1.3285018090096049E-8</c:v>
                </c:pt>
                <c:pt idx="30">
                  <c:v>2.5823421510739239E-8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00-46D1-91CF-B4481BA6E3E0}"/>
            </c:ext>
          </c:extLst>
        </c:ser>
        <c:ser>
          <c:idx val="2"/>
          <c:order val="2"/>
          <c:tx>
            <c:v>Req 770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BDE!$BG$152:$BG$182</c:f>
              <c:numCache>
                <c:formatCode>0.00</c:formatCode>
                <c:ptCount val="31"/>
                <c:pt idx="0">
                  <c:v>3</c:v>
                </c:pt>
                <c:pt idx="1">
                  <c:v>3.2</c:v>
                </c:pt>
                <c:pt idx="2">
                  <c:v>3.4</c:v>
                </c:pt>
                <c:pt idx="3">
                  <c:v>3.6</c:v>
                </c:pt>
                <c:pt idx="4">
                  <c:v>3.8</c:v>
                </c:pt>
                <c:pt idx="5">
                  <c:v>4</c:v>
                </c:pt>
                <c:pt idx="6">
                  <c:v>4.2</c:v>
                </c:pt>
                <c:pt idx="7">
                  <c:v>4.4000000000000004</c:v>
                </c:pt>
                <c:pt idx="8">
                  <c:v>4.5999999999999996</c:v>
                </c:pt>
                <c:pt idx="9">
                  <c:v>4.8</c:v>
                </c:pt>
                <c:pt idx="10">
                  <c:v>5</c:v>
                </c:pt>
                <c:pt idx="11">
                  <c:v>5.2</c:v>
                </c:pt>
                <c:pt idx="12">
                  <c:v>5.4</c:v>
                </c:pt>
                <c:pt idx="13">
                  <c:v>5.6</c:v>
                </c:pt>
                <c:pt idx="14">
                  <c:v>5.8</c:v>
                </c:pt>
                <c:pt idx="15">
                  <c:v>6</c:v>
                </c:pt>
                <c:pt idx="16">
                  <c:v>6.2</c:v>
                </c:pt>
                <c:pt idx="17">
                  <c:v>6.4</c:v>
                </c:pt>
                <c:pt idx="18">
                  <c:v>6.6</c:v>
                </c:pt>
                <c:pt idx="19">
                  <c:v>6.8</c:v>
                </c:pt>
                <c:pt idx="20">
                  <c:v>7</c:v>
                </c:pt>
                <c:pt idx="21">
                  <c:v>7.2</c:v>
                </c:pt>
                <c:pt idx="22">
                  <c:v>7.4</c:v>
                </c:pt>
                <c:pt idx="23">
                  <c:v>7.6</c:v>
                </c:pt>
                <c:pt idx="24">
                  <c:v>7.8</c:v>
                </c:pt>
                <c:pt idx="25">
                  <c:v>8</c:v>
                </c:pt>
                <c:pt idx="26">
                  <c:v>8.1999999999999993</c:v>
                </c:pt>
                <c:pt idx="27">
                  <c:v>8.4</c:v>
                </c:pt>
                <c:pt idx="28">
                  <c:v>8.6</c:v>
                </c:pt>
                <c:pt idx="29">
                  <c:v>8.8000000000000007</c:v>
                </c:pt>
                <c:pt idx="30">
                  <c:v>9</c:v>
                </c:pt>
              </c:numCache>
            </c:numRef>
          </c:xVal>
          <c:yVal>
            <c:numRef>
              <c:f>BDE!$BJ$152:$BJ$182</c:f>
              <c:numCache>
                <c:formatCode>0.0E+00</c:formatCode>
                <c:ptCount val="31"/>
                <c:pt idx="0">
                  <c:v>6.9999999999999998E-9</c:v>
                </c:pt>
                <c:pt idx="1">
                  <c:v>6.9999999999999998E-9</c:v>
                </c:pt>
                <c:pt idx="2">
                  <c:v>6.9999999999999998E-9</c:v>
                </c:pt>
                <c:pt idx="3">
                  <c:v>6.9999999999999998E-9</c:v>
                </c:pt>
                <c:pt idx="4">
                  <c:v>6.9999999999999998E-9</c:v>
                </c:pt>
                <c:pt idx="5">
                  <c:v>5.0000000000000001E-9</c:v>
                </c:pt>
                <c:pt idx="6">
                  <c:v>5.0000000000000001E-9</c:v>
                </c:pt>
                <c:pt idx="7">
                  <c:v>5.0000000000000001E-9</c:v>
                </c:pt>
                <c:pt idx="8">
                  <c:v>5.0000000000000001E-9</c:v>
                </c:pt>
                <c:pt idx="9">
                  <c:v>5.0000000000000001E-9</c:v>
                </c:pt>
                <c:pt idx="10">
                  <c:v>4.0000000000000002E-9</c:v>
                </c:pt>
                <c:pt idx="11">
                  <c:v>4.0000000000000002E-9</c:v>
                </c:pt>
                <c:pt idx="12">
                  <c:v>4.0000000000000002E-9</c:v>
                </c:pt>
                <c:pt idx="13">
                  <c:v>4.0000000000000002E-9</c:v>
                </c:pt>
                <c:pt idx="14">
                  <c:v>4.0000000000000002E-9</c:v>
                </c:pt>
                <c:pt idx="15">
                  <c:v>4.0000000000000002E-9</c:v>
                </c:pt>
                <c:pt idx="16">
                  <c:v>4.0000000000000002E-9</c:v>
                </c:pt>
                <c:pt idx="17">
                  <c:v>4.0000000000000002E-9</c:v>
                </c:pt>
                <c:pt idx="18">
                  <c:v>4.0000000000000002E-9</c:v>
                </c:pt>
                <c:pt idx="19">
                  <c:v>4.0000000000000002E-9</c:v>
                </c:pt>
                <c:pt idx="20">
                  <c:v>4.0000000000000002E-9</c:v>
                </c:pt>
                <c:pt idx="21">
                  <c:v>4.0000000000000002E-9</c:v>
                </c:pt>
                <c:pt idx="22">
                  <c:v>4.0000000000000002E-9</c:v>
                </c:pt>
                <c:pt idx="23">
                  <c:v>4.0000000000000002E-9</c:v>
                </c:pt>
                <c:pt idx="24">
                  <c:v>4.0000000000000002E-9</c:v>
                </c:pt>
                <c:pt idx="25">
                  <c:v>4.0000000000000002E-9</c:v>
                </c:pt>
                <c:pt idx="26">
                  <c:v>4.0000000000000002E-9</c:v>
                </c:pt>
                <c:pt idx="27">
                  <c:v>4.0000000000000002E-9</c:v>
                </c:pt>
                <c:pt idx="28">
                  <c:v>4.0000000000000002E-9</c:v>
                </c:pt>
                <c:pt idx="29">
                  <c:v>4.0000000000000002E-9</c:v>
                </c:pt>
                <c:pt idx="30">
                  <c:v>4.0000000000000002E-9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00-46D1-91CF-B4481BA6E3E0}"/>
            </c:ext>
          </c:extLst>
        </c:ser>
        <c:ser>
          <c:idx val="3"/>
          <c:order val="3"/>
          <c:tx>
            <c:v>Fit 770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BDE!$BP$152:$BP$182</c:f>
              <c:numCache>
                <c:formatCode>0.00</c:formatCode>
                <c:ptCount val="31"/>
                <c:pt idx="0">
                  <c:v>3</c:v>
                </c:pt>
                <c:pt idx="1">
                  <c:v>3.2</c:v>
                </c:pt>
                <c:pt idx="2">
                  <c:v>3.4</c:v>
                </c:pt>
                <c:pt idx="3">
                  <c:v>3.6</c:v>
                </c:pt>
                <c:pt idx="4">
                  <c:v>3.8</c:v>
                </c:pt>
                <c:pt idx="5">
                  <c:v>4</c:v>
                </c:pt>
                <c:pt idx="6">
                  <c:v>4.2</c:v>
                </c:pt>
                <c:pt idx="7">
                  <c:v>4.4000000000000004</c:v>
                </c:pt>
                <c:pt idx="8">
                  <c:v>4.5999999999999996</c:v>
                </c:pt>
                <c:pt idx="9">
                  <c:v>4.8</c:v>
                </c:pt>
                <c:pt idx="10">
                  <c:v>5</c:v>
                </c:pt>
                <c:pt idx="11">
                  <c:v>5.2</c:v>
                </c:pt>
                <c:pt idx="12">
                  <c:v>5.4</c:v>
                </c:pt>
                <c:pt idx="13">
                  <c:v>5.6</c:v>
                </c:pt>
                <c:pt idx="14">
                  <c:v>5.8</c:v>
                </c:pt>
                <c:pt idx="15">
                  <c:v>6</c:v>
                </c:pt>
                <c:pt idx="16">
                  <c:v>6.2</c:v>
                </c:pt>
                <c:pt idx="17">
                  <c:v>6.4</c:v>
                </c:pt>
                <c:pt idx="18">
                  <c:v>6.6</c:v>
                </c:pt>
                <c:pt idx="19">
                  <c:v>6.8</c:v>
                </c:pt>
                <c:pt idx="20">
                  <c:v>7</c:v>
                </c:pt>
                <c:pt idx="21">
                  <c:v>7.2</c:v>
                </c:pt>
                <c:pt idx="22">
                  <c:v>7.4</c:v>
                </c:pt>
                <c:pt idx="23">
                  <c:v>7.6</c:v>
                </c:pt>
                <c:pt idx="24">
                  <c:v>7.8</c:v>
                </c:pt>
                <c:pt idx="25">
                  <c:v>8</c:v>
                </c:pt>
                <c:pt idx="26">
                  <c:v>8.1999999999999993</c:v>
                </c:pt>
                <c:pt idx="27">
                  <c:v>8.4</c:v>
                </c:pt>
                <c:pt idx="28">
                  <c:v>8.6</c:v>
                </c:pt>
                <c:pt idx="29">
                  <c:v>8.8000000000000007</c:v>
                </c:pt>
                <c:pt idx="30">
                  <c:v>9</c:v>
                </c:pt>
              </c:numCache>
            </c:numRef>
          </c:xVal>
          <c:yVal>
            <c:numRef>
              <c:f>BDE!$BS$152:$BS$182</c:f>
              <c:numCache>
                <c:formatCode>0.00E+00</c:formatCode>
                <c:ptCount val="31"/>
                <c:pt idx="0">
                  <c:v>4.8164229936641075E-9</c:v>
                </c:pt>
                <c:pt idx="1">
                  <c:v>3.0473353466561051E-9</c:v>
                </c:pt>
                <c:pt idx="2">
                  <c:v>3.0128114318331679E-9</c:v>
                </c:pt>
                <c:pt idx="3">
                  <c:v>1.9961391733860087E-9</c:v>
                </c:pt>
                <c:pt idx="4">
                  <c:v>1.7984745556711223E-9</c:v>
                </c:pt>
                <c:pt idx="5">
                  <c:v>1.5347448831605273E-9</c:v>
                </c:pt>
                <c:pt idx="6">
                  <c:v>1.2402244941395127E-9</c:v>
                </c:pt>
                <c:pt idx="7">
                  <c:v>9.9020503112959208E-10</c:v>
                </c:pt>
                <c:pt idx="8">
                  <c:v>1.0457952063363081E-9</c:v>
                </c:pt>
                <c:pt idx="9">
                  <c:v>1.3299972274892484E-9</c:v>
                </c:pt>
                <c:pt idx="10">
                  <c:v>1.6760627467424835E-9</c:v>
                </c:pt>
                <c:pt idx="11">
                  <c:v>2.1456925044899995E-9</c:v>
                </c:pt>
                <c:pt idx="12">
                  <c:v>2.0116511233685419E-9</c:v>
                </c:pt>
                <c:pt idx="13">
                  <c:v>2.0907902928917107E-9</c:v>
                </c:pt>
                <c:pt idx="14">
                  <c:v>2.1740356999419137E-9</c:v>
                </c:pt>
                <c:pt idx="15">
                  <c:v>2.4429619417773716E-9</c:v>
                </c:pt>
                <c:pt idx="16">
                  <c:v>2.7495566352554426E-9</c:v>
                </c:pt>
                <c:pt idx="17">
                  <c:v>2.4232821091076285E-9</c:v>
                </c:pt>
                <c:pt idx="18">
                  <c:v>2.3812300619779517E-9</c:v>
                </c:pt>
                <c:pt idx="19">
                  <c:v>2.3061651758826367E-9</c:v>
                </c:pt>
                <c:pt idx="20">
                  <c:v>2.5408267565497009E-9</c:v>
                </c:pt>
                <c:pt idx="21">
                  <c:v>2.8682380520389132E-9</c:v>
                </c:pt>
                <c:pt idx="22">
                  <c:v>2.9984314535510789E-9</c:v>
                </c:pt>
                <c:pt idx="23">
                  <c:v>2.7928984331078648E-9</c:v>
                </c:pt>
                <c:pt idx="24">
                  <c:v>2.6377144819550092E-9</c:v>
                </c:pt>
                <c:pt idx="25">
                  <c:v>2.4420662312635051E-9</c:v>
                </c:pt>
                <c:pt idx="26">
                  <c:v>2.8080136272356955E-9</c:v>
                </c:pt>
                <c:pt idx="27">
                  <c:v>4.1720466774720082E-9</c:v>
                </c:pt>
                <c:pt idx="28">
                  <c:v>7.5518774612051294E-9</c:v>
                </c:pt>
                <c:pt idx="29">
                  <c:v>1.3988860108114388E-8</c:v>
                </c:pt>
                <c:pt idx="30">
                  <c:v>2.7191549802698936E-8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400-46D1-91CF-B4481BA6E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927360"/>
        <c:axId val="565929320"/>
      </c:scatterChart>
      <c:valAx>
        <c:axId val="56592736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Working Angle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29320"/>
        <c:crosses val="autoZero"/>
        <c:crossBetween val="midCat"/>
      </c:valAx>
      <c:valAx>
        <c:axId val="565929320"/>
        <c:scaling>
          <c:logBase val="10"/>
          <c:orientation val="minMax"/>
          <c:max val="5.0000000000000024E-8"/>
          <c:min val="5.0000000000000024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Contrast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2736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bg2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586448</xdr:colOff>
      <xdr:row>45</xdr:row>
      <xdr:rowOff>15350</xdr:rowOff>
    </xdr:from>
    <xdr:to>
      <xdr:col>44</xdr:col>
      <xdr:colOff>3202596</xdr:colOff>
      <xdr:row>64</xdr:row>
      <xdr:rowOff>152570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636104</xdr:colOff>
      <xdr:row>14</xdr:row>
      <xdr:rowOff>192112</xdr:rowOff>
    </xdr:from>
    <xdr:to>
      <xdr:col>8</xdr:col>
      <xdr:colOff>200724</xdr:colOff>
      <xdr:row>16</xdr:row>
      <xdr:rowOff>25613</xdr:rowOff>
    </xdr:to>
    <xdr:grpSp>
      <xdr:nvGrpSpPr>
        <xdr:cNvPr id="15" name="Group 14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2207729" y="3211537"/>
          <a:ext cx="3622270" cy="233551"/>
          <a:chOff x="2373728" y="5996474"/>
          <a:chExt cx="3673092" cy="224991"/>
        </a:xfrm>
      </xdr:grpSpPr>
      <xdr:sp macro="" textlink="">
        <xdr:nvSpPr>
          <xdr:cNvPr id="6" name="Freeform 5">
            <a:extLst>
              <a:ext uri="{FF2B5EF4-FFF2-40B4-BE49-F238E27FC236}">
                <a16:creationId xmlns="" xmlns:a16="http://schemas.microsoft.com/office/drawing/2014/main" id="{00000000-0008-0000-0100-000006000000}"/>
              </a:ext>
            </a:extLst>
          </xdr:cNvPr>
          <xdr:cNvSpPr/>
        </xdr:nvSpPr>
        <xdr:spPr>
          <a:xfrm flipV="1">
            <a:off x="3899186" y="5996474"/>
            <a:ext cx="2147634" cy="221316"/>
          </a:xfrm>
          <a:custGeom>
            <a:avLst/>
            <a:gdLst>
              <a:gd name="connsiteX0" fmla="*/ 2847975 w 2847975"/>
              <a:gd name="connsiteY0" fmla="*/ 0 h 161925"/>
              <a:gd name="connsiteX1" fmla="*/ 1333500 w 2847975"/>
              <a:gd name="connsiteY1" fmla="*/ 161925 h 161925"/>
              <a:gd name="connsiteX2" fmla="*/ 0 w 2847975"/>
              <a:gd name="connsiteY2" fmla="*/ 0 h 161925"/>
              <a:gd name="connsiteX0" fmla="*/ 2847975 w 2847975"/>
              <a:gd name="connsiteY0" fmla="*/ 0 h 161925"/>
              <a:gd name="connsiteX1" fmla="*/ 1333500 w 2847975"/>
              <a:gd name="connsiteY1" fmla="*/ 161925 h 161925"/>
              <a:gd name="connsiteX2" fmla="*/ 0 w 2847975"/>
              <a:gd name="connsiteY2" fmla="*/ 0 h 1619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847975" h="161925">
                <a:moveTo>
                  <a:pt x="2847975" y="0"/>
                </a:moveTo>
                <a:cubicBezTo>
                  <a:pt x="2564415" y="154564"/>
                  <a:pt x="1808162" y="161925"/>
                  <a:pt x="1333500" y="161925"/>
                </a:cubicBezTo>
                <a:cubicBezTo>
                  <a:pt x="858838" y="161925"/>
                  <a:pt x="429419" y="80962"/>
                  <a:pt x="0" y="0"/>
                </a:cubicBezTo>
              </a:path>
            </a:pathLst>
          </a:custGeom>
          <a:ln w="9525" cap="flat" cmpd="sng" algn="ctr">
            <a:solidFill>
              <a:schemeClr val="accent2"/>
            </a:solidFill>
            <a:prstDash val="solid"/>
            <a:round/>
            <a:headEnd type="none" w="med" len="med"/>
            <a:tailEnd type="arrow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Freeform 10">
            <a:extLst>
              <a:ext uri="{FF2B5EF4-FFF2-40B4-BE49-F238E27FC236}">
                <a16:creationId xmlns="" xmlns:a16="http://schemas.microsoft.com/office/drawing/2014/main" id="{00000000-0008-0000-0100-00000B000000}"/>
              </a:ext>
            </a:extLst>
          </xdr:cNvPr>
          <xdr:cNvSpPr/>
        </xdr:nvSpPr>
        <xdr:spPr>
          <a:xfrm flipV="1">
            <a:off x="2373728" y="6001830"/>
            <a:ext cx="1280551" cy="219635"/>
          </a:xfrm>
          <a:custGeom>
            <a:avLst/>
            <a:gdLst>
              <a:gd name="connsiteX0" fmla="*/ 2847975 w 2847975"/>
              <a:gd name="connsiteY0" fmla="*/ 0 h 161925"/>
              <a:gd name="connsiteX1" fmla="*/ 1333500 w 2847975"/>
              <a:gd name="connsiteY1" fmla="*/ 161925 h 161925"/>
              <a:gd name="connsiteX2" fmla="*/ 0 w 2847975"/>
              <a:gd name="connsiteY2" fmla="*/ 0 h 1619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847975" h="161925">
                <a:moveTo>
                  <a:pt x="2847975" y="0"/>
                </a:moveTo>
                <a:cubicBezTo>
                  <a:pt x="2328068" y="80962"/>
                  <a:pt x="1808162" y="161925"/>
                  <a:pt x="1333500" y="161925"/>
                </a:cubicBezTo>
                <a:cubicBezTo>
                  <a:pt x="858838" y="161925"/>
                  <a:pt x="429419" y="80962"/>
                  <a:pt x="0" y="0"/>
                </a:cubicBezTo>
              </a:path>
            </a:pathLst>
          </a:custGeom>
          <a:ln w="9525" cap="flat" cmpd="sng" algn="ctr">
            <a:solidFill>
              <a:schemeClr val="accent2"/>
            </a:solidFill>
            <a:prstDash val="solid"/>
            <a:round/>
            <a:headEnd type="none" w="med" len="med"/>
            <a:tailEnd type="arrow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Freeform 11">
            <a:extLst>
              <a:ext uri="{FF2B5EF4-FFF2-40B4-BE49-F238E27FC236}">
                <a16:creationId xmlns="" xmlns:a16="http://schemas.microsoft.com/office/drawing/2014/main" id="{00000000-0008-0000-0100-00000C000000}"/>
              </a:ext>
            </a:extLst>
          </xdr:cNvPr>
          <xdr:cNvSpPr/>
        </xdr:nvSpPr>
        <xdr:spPr>
          <a:xfrm rot="10800000">
            <a:off x="2508875" y="6027873"/>
            <a:ext cx="2599767" cy="174252"/>
          </a:xfrm>
          <a:custGeom>
            <a:avLst/>
            <a:gdLst>
              <a:gd name="connsiteX0" fmla="*/ 2847975 w 2847975"/>
              <a:gd name="connsiteY0" fmla="*/ 0 h 161925"/>
              <a:gd name="connsiteX1" fmla="*/ 1333500 w 2847975"/>
              <a:gd name="connsiteY1" fmla="*/ 161925 h 161925"/>
              <a:gd name="connsiteX2" fmla="*/ 0 w 2847975"/>
              <a:gd name="connsiteY2" fmla="*/ 0 h 161925"/>
              <a:gd name="connsiteX0" fmla="*/ 2847975 w 2847975"/>
              <a:gd name="connsiteY0" fmla="*/ 0 h 161925"/>
              <a:gd name="connsiteX1" fmla="*/ 1333500 w 2847975"/>
              <a:gd name="connsiteY1" fmla="*/ 161925 h 161925"/>
              <a:gd name="connsiteX2" fmla="*/ 0 w 2847975"/>
              <a:gd name="connsiteY2" fmla="*/ 0 h 161925"/>
              <a:gd name="connsiteX0" fmla="*/ 2847975 w 2847975"/>
              <a:gd name="connsiteY0" fmla="*/ 0 h 161925"/>
              <a:gd name="connsiteX1" fmla="*/ 1333500 w 2847975"/>
              <a:gd name="connsiteY1" fmla="*/ 161925 h 161925"/>
              <a:gd name="connsiteX2" fmla="*/ 0 w 2847975"/>
              <a:gd name="connsiteY2" fmla="*/ 0 h 1619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2847975" h="161925">
                <a:moveTo>
                  <a:pt x="2847975" y="0"/>
                </a:moveTo>
                <a:cubicBezTo>
                  <a:pt x="2373283" y="160336"/>
                  <a:pt x="1808162" y="161925"/>
                  <a:pt x="1333500" y="161925"/>
                </a:cubicBezTo>
                <a:cubicBezTo>
                  <a:pt x="858838" y="161925"/>
                  <a:pt x="361597" y="136524"/>
                  <a:pt x="0" y="0"/>
                </a:cubicBezTo>
              </a:path>
            </a:pathLst>
          </a:custGeom>
          <a:ln w="9525" cap="flat" cmpd="sng" algn="ctr">
            <a:solidFill>
              <a:schemeClr val="accent2"/>
            </a:solidFill>
            <a:prstDash val="solid"/>
            <a:round/>
            <a:headEnd type="none" w="med" len="med"/>
            <a:tailEnd type="arrow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302558</xdr:colOff>
      <xdr:row>2</xdr:row>
      <xdr:rowOff>201705</xdr:rowOff>
    </xdr:from>
    <xdr:to>
      <xdr:col>5</xdr:col>
      <xdr:colOff>582705</xdr:colOff>
      <xdr:row>3</xdr:row>
      <xdr:rowOff>201705</xdr:rowOff>
    </xdr:to>
    <xdr:sp macro="" textlink="">
      <xdr:nvSpPr>
        <xdr:cNvPr id="10" name="Arrow: Right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SpPr/>
      </xdr:nvSpPr>
      <xdr:spPr>
        <a:xfrm rot="10800000">
          <a:off x="3316940" y="3832411"/>
          <a:ext cx="280147" cy="201706"/>
        </a:xfrm>
        <a:prstGeom prst="right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40</xdr:col>
      <xdr:colOff>140050</xdr:colOff>
      <xdr:row>66</xdr:row>
      <xdr:rowOff>79605</xdr:rowOff>
    </xdr:from>
    <xdr:ext cx="7437503" cy="1845633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7781505" y="13125969"/>
          <a:ext cx="7437503" cy="184563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chemeClr val="accent1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Photons produce</a:t>
          </a:r>
          <a:r>
            <a:rPr lang="en-US" sz="1400" baseline="0"/>
            <a:t> </a:t>
          </a:r>
          <a:r>
            <a:rPr lang="en-US" sz="1400"/>
            <a:t>electrons in pixels. The signal rates that are used to estimate shot noise should</a:t>
          </a:r>
          <a:r>
            <a:rPr lang="en-US" sz="1400" baseline="0"/>
            <a:t> only have the photo-conversion rate which is traditional QE. This quantity we call simply QE.</a:t>
          </a:r>
        </a:p>
        <a:p>
          <a:r>
            <a:rPr lang="en-US" sz="1400" baseline="0"/>
            <a:t/>
          </a:r>
          <a:br>
            <a:rPr lang="en-US" sz="1400" baseline="0"/>
          </a:br>
          <a:r>
            <a:rPr lang="en-US" sz="1400" baseline="0"/>
            <a:t>In computing detected signal ONLY, should we consider the other two factors, namely photon counting efficiency and charge transfer efficiency. This quantity which has the two other factors we call  signalQE.</a:t>
          </a:r>
        </a:p>
        <a:p>
          <a:r>
            <a:rPr lang="en-US" sz="1400" baseline="0"/>
            <a:t/>
          </a:r>
          <a:br>
            <a:rPr lang="en-US" sz="1400" baseline="0"/>
          </a:br>
          <a:r>
            <a:rPr lang="en-US" sz="1400" baseline="0"/>
            <a:t>Detected signal is what concerns computation of Kappa, as well as the computation of time-to-SNR</a:t>
          </a:r>
        </a:p>
      </xdr:txBody>
    </xdr:sp>
    <xdr:clientData/>
  </xdr:oneCellAnchor>
  <xdr:twoCellAnchor>
    <xdr:from>
      <xdr:col>6</xdr:col>
      <xdr:colOff>827394</xdr:colOff>
      <xdr:row>72</xdr:row>
      <xdr:rowOff>34734</xdr:rowOff>
    </xdr:from>
    <xdr:to>
      <xdr:col>13</xdr:col>
      <xdr:colOff>376323</xdr:colOff>
      <xdr:row>91</xdr:row>
      <xdr:rowOff>40604</xdr:rowOff>
    </xdr:to>
    <xdr:grpSp>
      <xdr:nvGrpSpPr>
        <xdr:cNvPr id="4" name="Group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4761219" y="14407959"/>
          <a:ext cx="5244879" cy="3539645"/>
          <a:chOff x="11878238" y="9293128"/>
          <a:chExt cx="5031263" cy="3620009"/>
        </a:xfrm>
      </xdr:grpSpPr>
      <xdr:pic>
        <xdr:nvPicPr>
          <xdr:cNvPr id="16" name="Picture 15">
            <a:extLst>
              <a:ext uri="{FF2B5EF4-FFF2-40B4-BE49-F238E27FC236}">
                <a16:creationId xmlns="" xmlns:a16="http://schemas.microsoft.com/office/drawing/2014/main" id="{00000000-0008-0000-01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878238" y="9293128"/>
            <a:ext cx="5031263" cy="3620009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</xdr:pic>
      <xdr:sp macro="" textlink="">
        <xdr:nvSpPr>
          <xdr:cNvPr id="3" name="TextBox 2">
            <a:extLst>
              <a:ext uri="{FF2B5EF4-FFF2-40B4-BE49-F238E27FC236}">
                <a16:creationId xmlns="" xmlns:a16="http://schemas.microsoft.com/office/drawing/2014/main" id="{00000000-0008-0000-0100-000003000000}"/>
              </a:ext>
            </a:extLst>
          </xdr:cNvPr>
          <xdr:cNvSpPr txBox="1"/>
        </xdr:nvSpPr>
        <xdr:spPr>
          <a:xfrm>
            <a:off x="12416116" y="10018058"/>
            <a:ext cx="3957943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200" b="1">
                <a:solidFill>
                  <a:srgbClr val="FF0000"/>
                </a:solidFill>
              </a:rPr>
              <a:t>How do we deal with this in the context of getting spectra?</a:t>
            </a:r>
          </a:p>
        </xdr:txBody>
      </xdr:sp>
    </xdr:grpSp>
    <xdr:clientData/>
  </xdr:twoCellAnchor>
  <xdr:twoCellAnchor editAs="oneCell">
    <xdr:from>
      <xdr:col>16</xdr:col>
      <xdr:colOff>44823</xdr:colOff>
      <xdr:row>95</xdr:row>
      <xdr:rowOff>34642</xdr:rowOff>
    </xdr:from>
    <xdr:to>
      <xdr:col>23</xdr:col>
      <xdr:colOff>514406</xdr:colOff>
      <xdr:row>106</xdr:row>
      <xdr:rowOff>1848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6147" y="16574524"/>
          <a:ext cx="5303801" cy="2046858"/>
        </a:xfrm>
        <a:prstGeom prst="rect">
          <a:avLst/>
        </a:prstGeom>
      </xdr:spPr>
    </xdr:pic>
    <xdr:clientData/>
  </xdr:twoCellAnchor>
  <xdr:oneCellAnchor>
    <xdr:from>
      <xdr:col>20</xdr:col>
      <xdr:colOff>371888</xdr:colOff>
      <xdr:row>79</xdr:row>
      <xdr:rowOff>70396</xdr:rowOff>
    </xdr:from>
    <xdr:ext cx="280205" cy="849913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SpPr txBox="1"/>
      </xdr:nvSpPr>
      <xdr:spPr>
        <a:xfrm rot="16200000">
          <a:off x="12612409" y="13556900"/>
          <a:ext cx="849913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/>
            <a:t>star V mag</a:t>
          </a:r>
        </a:p>
      </xdr:txBody>
    </xdr:sp>
    <xdr:clientData/>
  </xdr:oneCellAnchor>
  <xdr:oneCellAnchor>
    <xdr:from>
      <xdr:col>76</xdr:col>
      <xdr:colOff>0</xdr:colOff>
      <xdr:row>71</xdr:row>
      <xdr:rowOff>0</xdr:rowOff>
    </xdr:from>
    <xdr:ext cx="5943600" cy="3657600"/>
    <xdr:graphicFrame macro="">
      <xdr:nvGraphicFramePr>
        <xdr:cNvPr id="22" name="Chart 21">
          <a:extLst>
            <a:ext uri="{FF2B5EF4-FFF2-40B4-BE49-F238E27FC236}">
              <a16:creationId xmlns="" xmlns:a16="http://schemas.microsoft.com/office/drawing/2014/main" id="{FAFB17C1-1401-4E12-BADB-1780F309F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76</xdr:col>
      <xdr:colOff>0</xdr:colOff>
      <xdr:row>132</xdr:row>
      <xdr:rowOff>0</xdr:rowOff>
    </xdr:from>
    <xdr:ext cx="5943600" cy="3657600"/>
    <xdr:graphicFrame macro="">
      <xdr:nvGraphicFramePr>
        <xdr:cNvPr id="23" name="Chart 22">
          <a:extLst>
            <a:ext uri="{FF2B5EF4-FFF2-40B4-BE49-F238E27FC236}">
              <a16:creationId xmlns="" xmlns:a16="http://schemas.microsoft.com/office/drawing/2014/main" id="{DFA4B726-8144-4729-9717-5A514D364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32</xdr:col>
      <xdr:colOff>0</xdr:colOff>
      <xdr:row>117</xdr:row>
      <xdr:rowOff>0</xdr:rowOff>
    </xdr:from>
    <xdr:ext cx="3641911" cy="47596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=""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20995341" y="22752424"/>
              <a:ext cx="3641911" cy="475964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p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𝐸𝑍</m:t>
                        </m:r>
                      </m:sup>
                    </m:sSup>
                    <m:r>
                      <a:rPr lang="en-US" sz="12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</a:rPr>
                              <m:t>10</m:t>
                            </m:r>
                          </m:e>
                          <m:sup>
                            <m:r>
                              <a:rPr lang="en-US" sz="1200" b="0" i="1">
                                <a:latin typeface="Cambria Math" panose="02040503050406030204" pitchFamily="18" charset="0"/>
                              </a:rPr>
                              <m:t>−0.4</m:t>
                            </m:r>
                            <m:d>
                              <m:dPr>
                                <m:ctrlPr>
                                  <a:rPr lang="en-US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sz="12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2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𝑀</m:t>
                                    </m:r>
                                  </m:e>
                                  <m:sub>
                                    <m:r>
                                      <a:rPr lang="en-US" sz="12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∗</m:t>
                                    </m:r>
                                  </m:sub>
                                </m:sSub>
                                <m:r>
                                  <a:rPr lang="en-US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lang="en-US" sz="12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2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𝑀</m:t>
                                    </m:r>
                                  </m:e>
                                  <m:sub>
                                    <m:r>
                                      <a:rPr lang="en-US" sz="12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𝑠𝑢𝑛</m:t>
                                    </m:r>
                                  </m:sub>
                                </m:sSub>
                              </m:e>
                            </m:d>
                          </m:sup>
                        </m:sSup>
                      </m:num>
                      <m:den>
                        <m:sSup>
                          <m:sSupPr>
                            <m:ctrlPr>
                              <a:rPr lang="en-U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  <m:sup>
                            <m:r>
                              <a:rPr lang="en-U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US" sz="1200" b="0" i="1">
                        <a:latin typeface="Cambria Math" panose="02040503050406030204" pitchFamily="18" charset="0"/>
                      </a:rPr>
                      <m:t>⋅</m:t>
                    </m:r>
                    <m:f>
                      <m:f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US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</m:t>
                            </m:r>
                          </m:e>
                          <m:sup>
                            <m:r>
                              <a:rPr lang="en-US" sz="12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−0.4</m:t>
                            </m:r>
                            <m:d>
                              <m:dPr>
                                <m:ctrlPr>
                                  <a:rPr lang="en-US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US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22</m:t>
                                </m:r>
                                <m:r>
                                  <a:rPr lang="en-US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𝑚𝑎𝑔</m:t>
                                </m:r>
                              </m:e>
                            </m:d>
                          </m:sup>
                        </m:sSup>
                      </m:num>
                      <m:den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𝑎</m:t>
                        </m:r>
                        <m:sSup>
                          <m:sSupPr>
                            <m:ctrlPr>
                              <a:rPr lang="en-US" sz="12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e>
                          <m:sup>
                            <m:r>
                              <a:rPr lang="en-US" sz="12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US" sz="1200" b="0" i="1">
                        <a:latin typeface="Cambria Math" panose="02040503050406030204" pitchFamily="18" charset="0"/>
                      </a:rPr>
                      <m:t>⋅</m:t>
                    </m:r>
                    <m:sSub>
                      <m:sSubPr>
                        <m:ctrlPr>
                          <a:rPr lang="en-US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𝐹</m:t>
                        </m:r>
                      </m:e>
                      <m:sub>
                        <m:r>
                          <a:rPr lang="en-US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</m:sub>
                    </m:sSub>
                    <m:r>
                      <a:rPr lang="en-US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⋅</m:t>
                    </m:r>
                    <m:r>
                      <m:rPr>
                        <m:sty m:val="p"/>
                      </m:rPr>
                      <a:rPr lang="en-US" sz="1200" b="0" i="0">
                        <a:latin typeface="Cambria Math" panose="02040503050406030204" pitchFamily="18" charset="0"/>
                      </a:rPr>
                      <m:t>Δ</m:t>
                    </m:r>
                    <m:sSub>
                      <m:sSub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𝜆</m:t>
                        </m:r>
                      </m:e>
                      <m:sub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𝐼𝐹𝑆</m:t>
                        </m:r>
                      </m:sub>
                    </m:sSub>
                  </m:oMath>
                </m:oMathPara>
              </a14:m>
              <a:endParaRPr lang="en-US" sz="1200" b="0"/>
            </a:p>
          </xdr:txBody>
        </xdr:sp>
      </mc:Choice>
      <mc:Fallback xmlns="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xmlns:a14="http://schemas.microsoft.com/office/drawing/2010/main" xmlns="" id="{00000000-0008-0000-0100-000002000000}"/>
                </a:ext>
              </a:extLst>
            </xdr:cNvPr>
            <xdr:cNvSpPr txBox="1"/>
          </xdr:nvSpPr>
          <xdr:spPr>
            <a:xfrm>
              <a:off x="20995341" y="22752424"/>
              <a:ext cx="3641911" cy="475964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en-US" sz="1200" b="0" i="0">
                  <a:latin typeface="Cambria Math" panose="02040503050406030204" pitchFamily="18" charset="0"/>
                </a:rPr>
                <a:t>𝐹^𝐸𝑍=〖10〗^(−0.4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(𝑀_∗−𝑀_𝑠𝑢𝑛 ) )/</a:t>
              </a:r>
              <a:r>
                <a:rPr lang="en-US" sz="1200" b="0" i="0">
                  <a:latin typeface="Cambria Math" panose="02040503050406030204" pitchFamily="18" charset="0"/>
                </a:rPr>
                <a:t>𝑎^2 ⋅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〖10〗^(−0.4(22𝑚𝑎𝑔) )/(</a:t>
              </a:r>
              <a:r>
                <a:rPr lang="en-US" sz="1200" b="0" i="0">
                  <a:latin typeface="Cambria Math" panose="02040503050406030204" pitchFamily="18" charset="0"/>
                </a:rPr>
                <a:t>𝑎𝑠^2 )⋅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𝐹_𝜆⋅</a:t>
              </a:r>
              <a:r>
                <a:rPr lang="en-US" sz="1200" b="0" i="0">
                  <a:latin typeface="Cambria Math" panose="02040503050406030204" pitchFamily="18" charset="0"/>
                </a:rPr>
                <a:t>Δ𝜆_𝐼𝐹𝑆</a:t>
              </a:r>
              <a:endParaRPr lang="en-US" sz="1200" b="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448235</xdr:colOff>
      <xdr:row>3</xdr:row>
      <xdr:rowOff>44824</xdr:rowOff>
    </xdr:from>
    <xdr:to>
      <xdr:col>11</xdr:col>
      <xdr:colOff>297195</xdr:colOff>
      <xdr:row>26</xdr:row>
      <xdr:rowOff>163545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35" y="616324"/>
          <a:ext cx="6505254" cy="45002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498653</xdr:colOff>
      <xdr:row>28</xdr:row>
      <xdr:rowOff>114631</xdr:rowOff>
    </xdr:from>
    <xdr:to>
      <xdr:col>11</xdr:col>
      <xdr:colOff>349765</xdr:colOff>
      <xdr:row>47</xdr:row>
      <xdr:rowOff>122384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653" y="5448631"/>
          <a:ext cx="6507406" cy="362725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323850</xdr:colOff>
      <xdr:row>3</xdr:row>
      <xdr:rowOff>19050</xdr:rowOff>
    </xdr:from>
    <xdr:to>
      <xdr:col>26</xdr:col>
      <xdr:colOff>456725</xdr:colOff>
      <xdr:row>11</xdr:row>
      <xdr:rowOff>42438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590550"/>
          <a:ext cx="8667275" cy="15473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154203</xdr:colOff>
      <xdr:row>13</xdr:row>
      <xdr:rowOff>0</xdr:rowOff>
    </xdr:from>
    <xdr:to>
      <xdr:col>21</xdr:col>
      <xdr:colOff>271492</xdr:colOff>
      <xdr:row>35</xdr:row>
      <xdr:rowOff>76200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9403" y="2476500"/>
          <a:ext cx="5603689" cy="42672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21</xdr:col>
      <xdr:colOff>390418</xdr:colOff>
      <xdr:row>12</xdr:row>
      <xdr:rowOff>176652</xdr:rowOff>
    </xdr:from>
    <xdr:to>
      <xdr:col>31</xdr:col>
      <xdr:colOff>483043</xdr:colOff>
      <xdr:row>35</xdr:row>
      <xdr:rowOff>66675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92018" y="2462652"/>
          <a:ext cx="6188625" cy="427152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32</xdr:col>
      <xdr:colOff>243777</xdr:colOff>
      <xdr:row>1</xdr:row>
      <xdr:rowOff>168088</xdr:rowOff>
    </xdr:from>
    <xdr:to>
      <xdr:col>41</xdr:col>
      <xdr:colOff>98093</xdr:colOff>
      <xdr:row>20</xdr:row>
      <xdr:rowOff>16303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07542" y="358588"/>
          <a:ext cx="5300375" cy="34677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32</xdr:col>
      <xdr:colOff>291354</xdr:colOff>
      <xdr:row>20</xdr:row>
      <xdr:rowOff>186919</xdr:rowOff>
    </xdr:from>
    <xdr:to>
      <xdr:col>41</xdr:col>
      <xdr:colOff>556468</xdr:colOff>
      <xdr:row>45</xdr:row>
      <xdr:rowOff>11207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55119" y="3996919"/>
          <a:ext cx="5711173" cy="458678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20</xdr:col>
      <xdr:colOff>190322</xdr:colOff>
      <xdr:row>55</xdr:row>
      <xdr:rowOff>187647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1412" y="7048500"/>
          <a:ext cx="5031263" cy="361664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G11"/>
  <sheetViews>
    <sheetView workbookViewId="0">
      <selection activeCell="C7" sqref="C7"/>
    </sheetView>
  </sheetViews>
  <sheetFormatPr defaultRowHeight="14.4"/>
  <cols>
    <col min="1" max="1" width="1.88671875" customWidth="1"/>
    <col min="2" max="2" width="9.6640625" customWidth="1"/>
    <col min="3" max="3" width="9.109375" style="172"/>
    <col min="4" max="4" width="12.44140625" style="172" customWidth="1"/>
    <col min="5" max="5" width="86.88671875" customWidth="1"/>
  </cols>
  <sheetData>
    <row r="3" spans="2:33">
      <c r="B3" t="s">
        <v>567</v>
      </c>
      <c r="C3" s="172" t="s">
        <v>568</v>
      </c>
      <c r="D3" s="172" t="s">
        <v>569</v>
      </c>
      <c r="E3" t="s">
        <v>47</v>
      </c>
    </row>
    <row r="4" spans="2:33">
      <c r="B4" s="503">
        <v>42781</v>
      </c>
      <c r="C4" s="504">
        <v>1</v>
      </c>
      <c r="D4" s="172" t="s">
        <v>570</v>
      </c>
      <c r="E4" t="s">
        <v>571</v>
      </c>
    </row>
    <row r="5" spans="2:33">
      <c r="B5" s="503"/>
      <c r="C5" s="172">
        <v>1.1000000000000001</v>
      </c>
      <c r="D5" s="172" t="s">
        <v>570</v>
      </c>
      <c r="E5" t="s">
        <v>572</v>
      </c>
      <c r="AE5" t="s">
        <v>263</v>
      </c>
    </row>
    <row r="6" spans="2:33">
      <c r="B6" s="503">
        <v>42802</v>
      </c>
      <c r="C6" s="172">
        <v>1.2</v>
      </c>
      <c r="D6" s="172" t="s">
        <v>669</v>
      </c>
      <c r="E6" t="s">
        <v>670</v>
      </c>
      <c r="AF6" t="s">
        <v>451</v>
      </c>
    </row>
    <row r="7" spans="2:33">
      <c r="B7" s="503"/>
      <c r="AG7" t="s">
        <v>452</v>
      </c>
    </row>
    <row r="8" spans="2:33">
      <c r="B8" s="503"/>
    </row>
    <row r="9" spans="2:33">
      <c r="B9" s="503"/>
    </row>
    <row r="10" spans="2:33">
      <c r="B10" s="503"/>
    </row>
    <row r="11" spans="2:33">
      <c r="B11" s="50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CI193"/>
  <sheetViews>
    <sheetView tabSelected="1" zoomScale="80" zoomScaleNormal="80" workbookViewId="0">
      <selection activeCell="M69" sqref="M69"/>
    </sheetView>
  </sheetViews>
  <sheetFormatPr defaultColWidth="9.109375" defaultRowHeight="14.4"/>
  <cols>
    <col min="1" max="1" width="2" style="588" customWidth="1"/>
    <col min="2" max="2" width="2.88671875" style="208" customWidth="1"/>
    <col min="3" max="3" width="18.109375" style="208" customWidth="1"/>
    <col min="4" max="4" width="11.44140625" style="641" customWidth="1"/>
    <col min="5" max="5" width="10.6640625" style="208" customWidth="1"/>
    <col min="6" max="6" width="12.33203125" style="641" customWidth="1"/>
    <col min="7" max="8" width="12.33203125" style="208" customWidth="1"/>
    <col min="9" max="9" width="12.33203125" style="642" customWidth="1"/>
    <col min="10" max="10" width="11.44140625" style="208" customWidth="1"/>
    <col min="11" max="11" width="12.5546875" style="208" customWidth="1"/>
    <col min="12" max="12" width="10.5546875" style="54" customWidth="1"/>
    <col min="13" max="13" width="11.5546875" style="54" customWidth="1"/>
    <col min="14" max="14" width="5.5546875" style="54" customWidth="1"/>
    <col min="15" max="15" width="3.109375" style="208" customWidth="1"/>
    <col min="16" max="16" width="2.88671875" style="208" customWidth="1"/>
    <col min="17" max="17" width="4.109375" style="208" customWidth="1"/>
    <col min="18" max="18" width="14.88671875" style="208" customWidth="1"/>
    <col min="19" max="19" width="7.5546875" style="208" customWidth="1"/>
    <col min="20" max="20" width="9.33203125" style="208" customWidth="1"/>
    <col min="21" max="21" width="9.88671875" style="208" customWidth="1"/>
    <col min="22" max="24" width="13.44140625" style="208" customWidth="1"/>
    <col min="25" max="25" width="12.109375" style="208" customWidth="1"/>
    <col min="26" max="28" width="13.44140625" style="208" customWidth="1"/>
    <col min="29" max="29" width="2.88671875" style="208" customWidth="1"/>
    <col min="30" max="30" width="3.109375" style="208" customWidth="1"/>
    <col min="31" max="31" width="2.88671875" style="208" customWidth="1"/>
    <col min="32" max="32" width="6.44140625" style="643" customWidth="1"/>
    <col min="33" max="33" width="22.33203125" style="588" customWidth="1"/>
    <col min="34" max="34" width="9.88671875" style="588" customWidth="1"/>
    <col min="35" max="35" width="12.33203125" style="588" customWidth="1"/>
    <col min="36" max="36" width="34.44140625" style="644" customWidth="1"/>
    <col min="37" max="37" width="2.88671875" style="208" customWidth="1"/>
    <col min="38" max="38" width="3" style="645" customWidth="1"/>
    <col min="39" max="39" width="2.88671875" style="208" customWidth="1"/>
    <col min="40" max="40" width="4.33203125" style="208" customWidth="1"/>
    <col min="41" max="41" width="24.88671875" style="588" customWidth="1"/>
    <col min="42" max="43" width="10.5546875" style="588" customWidth="1"/>
    <col min="44" max="44" width="11.109375" style="645" customWidth="1"/>
    <col min="45" max="45" width="56" style="208" customWidth="1"/>
    <col min="46" max="47" width="2.88671875" style="208" customWidth="1"/>
    <col min="48" max="48" width="9.109375" style="139"/>
    <col min="49" max="49" width="12.5546875" style="588" customWidth="1"/>
    <col min="50" max="50" width="16.6640625" style="588" customWidth="1"/>
    <col min="51" max="54" width="12.5546875" style="588" customWidth="1"/>
    <col min="55" max="55" width="11.33203125" style="588" customWidth="1"/>
    <col min="56" max="56" width="3.33203125" style="139" customWidth="1"/>
    <col min="57" max="57" width="3" style="645" customWidth="1"/>
    <col min="58" max="58" width="2.88671875" style="208" customWidth="1"/>
    <col min="59" max="59" width="12.5546875" style="588" customWidth="1"/>
    <col min="60" max="62" width="9.109375" style="588"/>
    <col min="63" max="63" width="14.33203125" style="588" customWidth="1"/>
    <col min="64" max="64" width="18.6640625" style="588" customWidth="1"/>
    <col min="65" max="66" width="14.33203125" style="588" customWidth="1"/>
    <col min="67" max="67" width="13.33203125" style="588" customWidth="1"/>
    <col min="68" max="16384" width="9.109375" style="588"/>
  </cols>
  <sheetData>
    <row r="1" spans="1:87" s="35" customFormat="1" ht="21">
      <c r="B1" s="35" t="s">
        <v>82</v>
      </c>
      <c r="I1" s="89"/>
      <c r="L1" s="189"/>
      <c r="M1" s="189"/>
      <c r="N1" s="189"/>
      <c r="O1" s="189"/>
      <c r="AD1" s="189"/>
      <c r="AF1" s="68"/>
      <c r="AJ1" s="151"/>
      <c r="AN1" s="68"/>
    </row>
    <row r="2" spans="1:87" s="36" customFormat="1" ht="26.25" customHeight="1">
      <c r="B2" s="261"/>
      <c r="C2" s="262"/>
      <c r="D2" s="263"/>
      <c r="E2" s="69"/>
      <c r="F2" s="72"/>
      <c r="G2" s="69"/>
      <c r="H2" s="69"/>
      <c r="I2" s="90"/>
      <c r="J2" s="69"/>
      <c r="K2" s="69"/>
      <c r="L2" s="54"/>
      <c r="M2" s="54"/>
      <c r="N2" s="54"/>
      <c r="O2" s="73"/>
      <c r="P2" s="461"/>
      <c r="Q2" s="494" t="s">
        <v>447</v>
      </c>
      <c r="R2" s="461"/>
      <c r="S2" s="461"/>
      <c r="T2" s="461"/>
      <c r="U2" s="461"/>
      <c r="V2" s="461"/>
      <c r="W2" s="461"/>
      <c r="X2" s="461"/>
      <c r="Y2" s="461"/>
      <c r="Z2" s="461"/>
      <c r="AA2" s="461"/>
      <c r="AB2" s="461"/>
      <c r="AC2" s="461"/>
      <c r="AD2" s="73"/>
      <c r="AE2" s="69"/>
      <c r="AF2" s="92" t="s">
        <v>584</v>
      </c>
      <c r="AG2" s="1"/>
      <c r="AH2" s="1"/>
      <c r="AI2" s="2"/>
      <c r="AJ2" s="152"/>
      <c r="AK2" s="69"/>
      <c r="AL2" s="64"/>
      <c r="AM2" s="69"/>
      <c r="AN2" s="69"/>
      <c r="AR2" s="60"/>
      <c r="AS2" s="69"/>
      <c r="AT2" s="69"/>
      <c r="AU2" s="73"/>
      <c r="AV2"/>
      <c r="BD2"/>
      <c r="BE2" s="64"/>
      <c r="BF2" s="139"/>
      <c r="BG2" s="502" t="s">
        <v>561</v>
      </c>
      <c r="BH2" s="62"/>
      <c r="BI2" s="62"/>
      <c r="BJ2" s="62"/>
      <c r="BK2" s="62"/>
      <c r="BL2" s="61"/>
      <c r="BP2" s="588"/>
      <c r="BQ2"/>
      <c r="BR2"/>
      <c r="BS2"/>
      <c r="BT2"/>
      <c r="BU2"/>
      <c r="BV2"/>
      <c r="BW2"/>
      <c r="BX2" s="633"/>
      <c r="BY2"/>
      <c r="BZ2"/>
      <c r="CA2"/>
      <c r="CB2"/>
      <c r="CC2"/>
      <c r="CD2"/>
      <c r="CE2"/>
      <c r="CF2"/>
      <c r="CG2"/>
      <c r="CH2"/>
      <c r="CI2"/>
    </row>
    <row r="3" spans="1:87" s="36" customFormat="1" ht="15.75" customHeight="1">
      <c r="A3" s="208"/>
      <c r="B3" s="208"/>
      <c r="C3" s="208"/>
      <c r="D3" s="186"/>
      <c r="E3" s="71"/>
      <c r="F3" s="209"/>
      <c r="G3" s="71"/>
      <c r="H3" s="187"/>
      <c r="I3" s="210"/>
      <c r="J3" s="71"/>
      <c r="K3" s="346" t="s">
        <v>487</v>
      </c>
      <c r="L3" s="347"/>
      <c r="M3" s="348"/>
      <c r="N3" s="54"/>
      <c r="O3" s="73"/>
      <c r="P3" s="461"/>
      <c r="Q3" s="461"/>
      <c r="R3" s="461"/>
      <c r="S3" s="461"/>
      <c r="T3" s="461"/>
      <c r="U3" s="461"/>
      <c r="V3" s="461"/>
      <c r="W3" s="461"/>
      <c r="X3" s="461"/>
      <c r="Y3" s="461"/>
      <c r="Z3" s="461"/>
      <c r="AA3" s="461"/>
      <c r="AB3" s="461"/>
      <c r="AC3" s="461"/>
      <c r="AD3" s="73"/>
      <c r="AE3" s="69"/>
      <c r="AF3" s="93" t="s">
        <v>81</v>
      </c>
      <c r="AG3" s="1"/>
      <c r="AH3" s="1"/>
      <c r="AI3" s="1"/>
      <c r="AJ3" s="152"/>
      <c r="AK3" s="69"/>
      <c r="AL3" s="64"/>
      <c r="AM3" s="139"/>
      <c r="AN3" s="86" t="s">
        <v>192</v>
      </c>
      <c r="AO3" s="125"/>
      <c r="AP3" s="125"/>
      <c r="AQ3" s="125"/>
      <c r="AR3" s="125"/>
      <c r="AS3" s="125"/>
      <c r="AT3" s="139"/>
      <c r="AU3" s="73"/>
      <c r="AV3"/>
      <c r="BD3"/>
      <c r="BE3" s="64"/>
      <c r="BF3"/>
      <c r="BG3" s="113"/>
      <c r="BH3" s="62"/>
      <c r="BI3" s="62"/>
      <c r="BJ3" s="62"/>
      <c r="BK3" s="62"/>
      <c r="BL3" s="61"/>
      <c r="BP3" s="588"/>
      <c r="BQ3"/>
      <c r="BR3"/>
      <c r="BS3"/>
      <c r="BT3"/>
      <c r="BU3"/>
      <c r="BV3"/>
      <c r="BW3"/>
      <c r="BX3" s="139"/>
      <c r="BY3"/>
      <c r="BZ3"/>
      <c r="CA3"/>
      <c r="CB3"/>
      <c r="CC3"/>
      <c r="CD3"/>
      <c r="CE3"/>
      <c r="CF3"/>
      <c r="CG3"/>
      <c r="CH3"/>
      <c r="CI3"/>
    </row>
    <row r="4" spans="1:87" s="36" customFormat="1" ht="21">
      <c r="A4" s="208"/>
      <c r="B4" s="208"/>
      <c r="C4" s="272" t="s">
        <v>417</v>
      </c>
      <c r="D4" s="648" t="s">
        <v>399</v>
      </c>
      <c r="E4" s="649"/>
      <c r="F4" s="72"/>
      <c r="G4" s="223" t="s">
        <v>418</v>
      </c>
      <c r="H4" s="339">
        <v>9</v>
      </c>
      <c r="I4" s="187" t="str">
        <f>VLOOKUP(planetNo,planetTable,2)</f>
        <v>47 UMa c</v>
      </c>
      <c r="J4" s="210" t="str">
        <f>AH23</f>
        <v>HLC</v>
      </c>
      <c r="K4" s="199" t="s">
        <v>479</v>
      </c>
      <c r="L4" s="342">
        <f ca="1">pl_convertRate*ENF^2</f>
        <v>1.8759108527529517E-2</v>
      </c>
      <c r="M4" s="197" t="s">
        <v>454</v>
      </c>
      <c r="N4" s="54"/>
      <c r="O4" s="73"/>
      <c r="P4" s="461"/>
      <c r="Q4" s="659" t="s">
        <v>432</v>
      </c>
      <c r="R4" s="659"/>
      <c r="S4" s="666" t="s">
        <v>434</v>
      </c>
      <c r="T4" s="667"/>
      <c r="U4" s="323" t="s">
        <v>430</v>
      </c>
      <c r="V4" s="323" t="s">
        <v>431</v>
      </c>
      <c r="W4" s="310" t="s">
        <v>22</v>
      </c>
      <c r="X4" s="310" t="s">
        <v>229</v>
      </c>
      <c r="Y4" s="229" t="s">
        <v>404</v>
      </c>
      <c r="Z4" s="324" t="s">
        <v>474</v>
      </c>
      <c r="AA4" s="461"/>
      <c r="AB4" s="461"/>
      <c r="AC4" s="461"/>
      <c r="AD4" s="73"/>
      <c r="AE4" s="69"/>
      <c r="AF4" s="94" t="s">
        <v>80</v>
      </c>
      <c r="AG4" s="98" t="s">
        <v>110</v>
      </c>
      <c r="AH4" s="95">
        <f ca="1">AH72/(f_SR*starFlux*Acol*t_pl*signalQE*integTime)</f>
        <v>6.1922594974574445E-12</v>
      </c>
      <c r="AI4" s="96" t="s">
        <v>79</v>
      </c>
      <c r="AJ4" s="153" t="s">
        <v>77</v>
      </c>
      <c r="AK4" s="69"/>
      <c r="AL4" s="64"/>
      <c r="AM4"/>
      <c r="AN4" s="69"/>
      <c r="AO4" s="140"/>
      <c r="AP4" s="140"/>
      <c r="AQ4" s="140"/>
      <c r="AR4" s="140"/>
      <c r="AS4" s="140"/>
      <c r="AT4"/>
      <c r="AU4" s="73"/>
      <c r="AV4"/>
      <c r="BD4"/>
      <c r="BE4" s="64"/>
      <c r="BF4"/>
      <c r="BG4" s="615" t="s">
        <v>639</v>
      </c>
      <c r="BH4"/>
      <c r="BI4"/>
      <c r="BJ4"/>
      <c r="BK4"/>
      <c r="BP4" s="588"/>
      <c r="BQ4"/>
      <c r="BR4"/>
      <c r="BS4"/>
      <c r="BT4"/>
      <c r="BU4"/>
      <c r="BV4"/>
      <c r="BW4"/>
      <c r="BX4"/>
      <c r="BY4" t="s">
        <v>619</v>
      </c>
      <c r="BZ4" s="67"/>
      <c r="CA4" s="67"/>
      <c r="CB4" s="67" t="s">
        <v>612</v>
      </c>
      <c r="CC4" s="67" t="s">
        <v>613</v>
      </c>
      <c r="CD4" s="172"/>
      <c r="CE4" s="172"/>
      <c r="CG4"/>
      <c r="CH4"/>
      <c r="CI4"/>
    </row>
    <row r="5" spans="1:87" s="36" customFormat="1">
      <c r="B5" s="69"/>
      <c r="C5" s="69" t="s">
        <v>144</v>
      </c>
      <c r="D5" s="72">
        <f>AH38/0.000000001</f>
        <v>7.7310017580866077</v>
      </c>
      <c r="E5" s="69" t="s">
        <v>15</v>
      </c>
      <c r="F5" s="110"/>
      <c r="G5" s="69"/>
      <c r="H5" s="69"/>
      <c r="I5" s="90"/>
      <c r="J5" s="69"/>
      <c r="K5" s="199" t="s">
        <v>480</v>
      </c>
      <c r="L5" s="342">
        <f ca="1">sp_bkgRate*ENF^2</f>
        <v>1.4998543798055276E-3</v>
      </c>
      <c r="M5" s="197" t="s">
        <v>454</v>
      </c>
      <c r="N5" s="54"/>
      <c r="O5" s="73"/>
      <c r="P5" s="461"/>
      <c r="Q5" s="660" t="str">
        <f>ScenarioSelected</f>
        <v>Imaging 2</v>
      </c>
      <c r="R5" s="660"/>
      <c r="S5" s="666" t="str">
        <f>AH23</f>
        <v>HLC</v>
      </c>
      <c r="T5" s="667"/>
      <c r="U5" s="107">
        <f>lambda/nm</f>
        <v>565</v>
      </c>
      <c r="V5" s="173">
        <f>PRODUCT(AH18:AH19)/nm</f>
        <v>56.5</v>
      </c>
      <c r="W5" s="310">
        <f>AH21</f>
        <v>5</v>
      </c>
      <c r="X5" s="309">
        <f>f_pp</f>
        <v>0.1</v>
      </c>
      <c r="Y5" s="325">
        <f>MissionLifeFraction</f>
        <v>0.25</v>
      </c>
      <c r="Z5" s="308">
        <f>AH20</f>
        <v>24</v>
      </c>
      <c r="AA5" s="461"/>
      <c r="AB5" s="461"/>
      <c r="AC5" s="461"/>
      <c r="AD5" s="73"/>
      <c r="AE5" s="69"/>
      <c r="AF5" s="365"/>
      <c r="AG5" s="99" t="s">
        <v>111</v>
      </c>
      <c r="AH5" s="111">
        <f ca="1">AH4*1000000000</f>
        <v>6.1922594974574445E-3</v>
      </c>
      <c r="AI5" s="97" t="s">
        <v>78</v>
      </c>
      <c r="AJ5" s="154" t="s">
        <v>77</v>
      </c>
      <c r="AK5" s="69"/>
      <c r="AL5" s="64"/>
      <c r="AM5" s="139"/>
      <c r="AN5" s="141"/>
      <c r="AO5" s="140"/>
      <c r="AP5" s="140"/>
      <c r="AQ5" s="140"/>
      <c r="AR5" s="140"/>
      <c r="AS5" s="140"/>
      <c r="AT5" s="139"/>
      <c r="AU5" s="73"/>
      <c r="AV5"/>
      <c r="AW5" s="628" t="s">
        <v>434</v>
      </c>
      <c r="AX5" s="629" t="s">
        <v>557</v>
      </c>
      <c r="AY5" s="629" t="s">
        <v>564</v>
      </c>
      <c r="AZ5" s="629" t="s">
        <v>161</v>
      </c>
      <c r="BA5" s="629" t="s">
        <v>558</v>
      </c>
      <c r="BB5" s="629" t="s">
        <v>36</v>
      </c>
      <c r="BD5"/>
      <c r="BE5" s="64"/>
      <c r="BF5"/>
      <c r="BG5" s="556" t="s">
        <v>604</v>
      </c>
      <c r="BH5" s="557"/>
      <c r="BI5" s="579" t="s">
        <v>397</v>
      </c>
      <c r="BJ5" s="572" t="s">
        <v>610</v>
      </c>
      <c r="BK5" s="573" t="s">
        <v>611</v>
      </c>
      <c r="BM5" s="556" t="s">
        <v>621</v>
      </c>
      <c r="BN5" s="557"/>
      <c r="BO5" s="579" t="s">
        <v>401</v>
      </c>
      <c r="BP5" s="572" t="s">
        <v>622</v>
      </c>
      <c r="BQ5" s="573" t="s">
        <v>622</v>
      </c>
      <c r="BR5"/>
      <c r="BS5"/>
      <c r="BT5"/>
      <c r="BU5"/>
      <c r="BV5"/>
      <c r="BX5"/>
      <c r="BZ5" s="67" t="s">
        <v>616</v>
      </c>
      <c r="CA5" s="67"/>
      <c r="CB5" s="568">
        <f>BJ11</f>
        <v>2.5138888888888889E-9</v>
      </c>
      <c r="CC5" s="568">
        <f>BK11</f>
        <v>1.1181657848324517E-9</v>
      </c>
      <c r="CD5" s="172" t="s">
        <v>617</v>
      </c>
      <c r="CE5" s="172" t="s">
        <v>618</v>
      </c>
      <c r="CG5"/>
      <c r="CH5"/>
      <c r="CI5"/>
    </row>
    <row r="6" spans="1:87" s="36" customFormat="1">
      <c r="B6" s="69"/>
      <c r="C6" s="69" t="s">
        <v>142</v>
      </c>
      <c r="D6" s="72">
        <f>AH21</f>
        <v>5</v>
      </c>
      <c r="E6" s="69"/>
      <c r="F6" s="110"/>
      <c r="G6" s="69" t="s">
        <v>470</v>
      </c>
      <c r="H6" s="326">
        <f ca="1">IFERROR(H7,-1)</f>
        <v>0.85578960823972305</v>
      </c>
      <c r="I6" s="71" t="s">
        <v>456</v>
      </c>
      <c r="J6" s="69"/>
      <c r="K6" s="199" t="s">
        <v>481</v>
      </c>
      <c r="L6" s="342">
        <f ca="1" xml:space="preserve"> zo_bkgRate*ENF^2</f>
        <v>4.3229572778372017E-3</v>
      </c>
      <c r="M6" s="197" t="s">
        <v>454</v>
      </c>
      <c r="N6" s="54"/>
      <c r="O6" s="73"/>
      <c r="P6" s="461"/>
      <c r="Q6" s="490"/>
      <c r="R6" s="461"/>
      <c r="S6" s="461"/>
      <c r="T6" s="491"/>
      <c r="U6" s="491"/>
      <c r="V6" s="496"/>
      <c r="W6" s="491"/>
      <c r="X6" s="497"/>
      <c r="Y6" s="498"/>
      <c r="Z6" s="491"/>
      <c r="AA6" s="491"/>
      <c r="AB6" s="491"/>
      <c r="AC6" s="493"/>
      <c r="AD6" s="73"/>
      <c r="AE6" s="69"/>
      <c r="AF6" s="50"/>
      <c r="AJ6" s="155"/>
      <c r="AK6" s="69"/>
      <c r="AL6" s="64"/>
      <c r="AM6"/>
      <c r="AN6" s="69" t="s">
        <v>195</v>
      </c>
      <c r="AQ6" s="71"/>
      <c r="AR6" s="60"/>
      <c r="AS6" s="69"/>
      <c r="AT6"/>
      <c r="AU6" s="73"/>
      <c r="AV6"/>
      <c r="AW6" s="621" t="s">
        <v>158</v>
      </c>
      <c r="AX6" s="611" t="s">
        <v>559</v>
      </c>
      <c r="AY6" s="622">
        <v>-1</v>
      </c>
      <c r="AZ6" s="184">
        <v>1</v>
      </c>
      <c r="BA6" s="611">
        <v>0.3</v>
      </c>
      <c r="BB6" s="623">
        <v>0.58514508983843505</v>
      </c>
      <c r="BD6"/>
      <c r="BE6" s="64"/>
      <c r="BF6"/>
      <c r="BG6" s="575" t="s">
        <v>600</v>
      </c>
      <c r="BH6" s="578" t="s">
        <v>601</v>
      </c>
      <c r="BI6" s="576" t="s">
        <v>605</v>
      </c>
      <c r="BJ6" s="570" t="s">
        <v>625</v>
      </c>
      <c r="BK6" s="571" t="s">
        <v>625</v>
      </c>
      <c r="BM6" s="575" t="s">
        <v>600</v>
      </c>
      <c r="BN6" s="578" t="s">
        <v>601</v>
      </c>
      <c r="BO6" s="576" t="s">
        <v>605</v>
      </c>
      <c r="BP6" s="570" t="s">
        <v>623</v>
      </c>
      <c r="BQ6" s="571" t="s">
        <v>624</v>
      </c>
      <c r="BR6"/>
      <c r="BS6"/>
      <c r="BT6"/>
      <c r="BU6"/>
      <c r="BV6"/>
      <c r="BW6"/>
      <c r="BX6"/>
      <c r="BY6" s="116" t="s">
        <v>164</v>
      </c>
      <c r="BZ6" s="116" t="s">
        <v>166</v>
      </c>
      <c r="CA6" s="116" t="s">
        <v>167</v>
      </c>
      <c r="CB6" s="569" t="s">
        <v>612</v>
      </c>
      <c r="CC6" s="569" t="s">
        <v>613</v>
      </c>
      <c r="CD6" s="569" t="s">
        <v>614</v>
      </c>
      <c r="CE6" s="569" t="s">
        <v>615</v>
      </c>
      <c r="CF6" s="569" t="s">
        <v>633</v>
      </c>
      <c r="CG6" s="569" t="s">
        <v>634</v>
      </c>
      <c r="CH6"/>
      <c r="CI6"/>
    </row>
    <row r="7" spans="1:87" s="36" customFormat="1" ht="15.6">
      <c r="B7" s="69"/>
      <c r="C7" s="175" t="s">
        <v>136</v>
      </c>
      <c r="D7" s="176">
        <f>D5/D6</f>
        <v>1.5462003516173215</v>
      </c>
      <c r="E7" s="177" t="s">
        <v>15</v>
      </c>
      <c r="F7" s="110"/>
      <c r="G7" s="328" t="s">
        <v>472</v>
      </c>
      <c r="H7" s="329">
        <f ca="1">SNRtarget^2*totNoiseVarRate/(pl_signalRate^2-SNRtarget^2*f_pp^2*sp_bkgRate^2)/3600</f>
        <v>0.85578960823972305</v>
      </c>
      <c r="I7" s="90"/>
      <c r="J7" s="69"/>
      <c r="K7" s="199" t="s">
        <v>485</v>
      </c>
      <c r="L7" s="340">
        <f>ENF^2*I16*mpix</f>
        <v>9.7811257126585098E-4</v>
      </c>
      <c r="M7" s="197" t="s">
        <v>454</v>
      </c>
      <c r="N7" s="54"/>
      <c r="O7" s="73"/>
      <c r="P7" s="461"/>
      <c r="Q7" s="648" t="s">
        <v>477</v>
      </c>
      <c r="R7" s="649"/>
      <c r="S7" s="349">
        <v>0</v>
      </c>
      <c r="T7" s="352" t="s">
        <v>483</v>
      </c>
      <c r="U7" s="353"/>
      <c r="V7" s="353"/>
      <c r="W7" s="354"/>
      <c r="X7" s="461"/>
      <c r="Y7" s="412">
        <v>400</v>
      </c>
      <c r="Z7" s="352" t="s">
        <v>521</v>
      </c>
      <c r="AA7" s="349"/>
      <c r="AB7" s="461"/>
      <c r="AC7" s="493"/>
      <c r="AD7" s="73"/>
      <c r="AE7" s="69"/>
      <c r="AF7" s="86" t="s">
        <v>96</v>
      </c>
      <c r="AG7" s="87"/>
      <c r="AH7" s="87"/>
      <c r="AI7" s="88"/>
      <c r="AJ7" s="156"/>
      <c r="AK7" s="69"/>
      <c r="AL7" s="64"/>
      <c r="AM7" s="126"/>
      <c r="AN7" s="127">
        <v>1</v>
      </c>
      <c r="AO7" s="128" t="s">
        <v>50</v>
      </c>
      <c r="AP7" s="663" t="str">
        <f>INDEX(CGtable,MATCH(AH23,CGcase,0),2)</f>
        <v>HLC_CG</v>
      </c>
      <c r="AQ7" s="663"/>
      <c r="AR7" s="130" t="s">
        <v>48</v>
      </c>
      <c r="AS7" s="131" t="s">
        <v>47</v>
      </c>
      <c r="AT7" s="69"/>
      <c r="AU7" s="73"/>
      <c r="AV7"/>
      <c r="AW7" s="624" t="s">
        <v>160</v>
      </c>
      <c r="AX7" s="563" t="s">
        <v>560</v>
      </c>
      <c r="AY7" s="625">
        <v>-1</v>
      </c>
      <c r="AZ7" s="626">
        <v>0.5</v>
      </c>
      <c r="BA7" s="563">
        <v>0.2</v>
      </c>
      <c r="BB7" s="627">
        <v>0.54458878691384804</v>
      </c>
      <c r="BD7"/>
      <c r="BE7" s="64"/>
      <c r="BF7"/>
      <c r="BG7" s="575">
        <v>2.7</v>
      </c>
      <c r="BH7" s="578">
        <v>3</v>
      </c>
      <c r="BI7" s="123">
        <f>PI()*(BH7^2-BG7^2)</f>
        <v>5.3721234376385434</v>
      </c>
      <c r="BJ7" s="566" t="s">
        <v>30</v>
      </c>
      <c r="BK7" s="559">
        <v>2.0000000000000001E-9</v>
      </c>
      <c r="BM7" s="575">
        <v>3</v>
      </c>
      <c r="BN7" s="578">
        <v>4</v>
      </c>
      <c r="BO7" s="123">
        <f>PI()*(BN7^2-BM7^2)</f>
        <v>21.991148575128552</v>
      </c>
      <c r="BP7" s="558">
        <v>6E-9</v>
      </c>
      <c r="BQ7" s="559">
        <v>6.9999999999999998E-9</v>
      </c>
      <c r="BR7"/>
      <c r="BS7"/>
      <c r="BT7"/>
      <c r="BU7"/>
      <c r="BV7"/>
      <c r="BW7"/>
      <c r="BX7"/>
      <c r="BY7" s="581">
        <v>2.7</v>
      </c>
      <c r="BZ7" s="586">
        <v>9.2502039000000006E-9</v>
      </c>
      <c r="CA7" s="582">
        <v>5.7534806000000003E-3</v>
      </c>
      <c r="CB7" s="583"/>
      <c r="CC7" s="583">
        <f t="shared" ref="CC7:CC28" si="0">BZ7*($CC$5/$BL$16)</f>
        <v>9.0319224499509866E-9</v>
      </c>
      <c r="CD7" s="584"/>
      <c r="CE7" s="584">
        <f t="shared" ref="CE7:CE28" si="1">2*CA7</f>
        <v>1.1506961200000001E-2</v>
      </c>
      <c r="CF7" s="586"/>
      <c r="CG7" s="586">
        <v>2.0000000000000001E-9</v>
      </c>
      <c r="CH7"/>
      <c r="CI7"/>
    </row>
    <row r="8" spans="1:87" s="36" customFormat="1" ht="15.6">
      <c r="B8" s="69"/>
      <c r="C8" s="178" t="s">
        <v>145</v>
      </c>
      <c r="D8" s="179">
        <f ca="1">SQRT(SUMSQ(F19,F24))</f>
        <v>0.29644092427378527</v>
      </c>
      <c r="E8" s="180" t="s">
        <v>15</v>
      </c>
      <c r="F8" s="72"/>
      <c r="G8" s="69" t="s">
        <v>471</v>
      </c>
      <c r="H8" s="327">
        <f ca="1">IF(timeToSNR&gt;0,1-(timeToSNR/AH20),-1)</f>
        <v>0.96434209965667816</v>
      </c>
      <c r="I8" s="90"/>
      <c r="J8" s="69"/>
      <c r="K8" s="199" t="s">
        <v>482</v>
      </c>
      <c r="L8" s="341">
        <f>ENF^2*I17*(mpix/frameTime)</f>
        <v>1.0276372584185523E-4</v>
      </c>
      <c r="M8" s="197" t="s">
        <v>454</v>
      </c>
      <c r="N8" s="54"/>
      <c r="O8" s="73"/>
      <c r="P8" s="461"/>
      <c r="Q8" s="661" t="s">
        <v>478</v>
      </c>
      <c r="R8" s="662"/>
      <c r="S8" s="356">
        <f>COUNTIF(X12:X44,"&gt;="&amp;S7)</f>
        <v>13</v>
      </c>
      <c r="T8" s="350" t="s">
        <v>484</v>
      </c>
      <c r="U8" s="351"/>
      <c r="V8" s="351"/>
      <c r="W8" s="355"/>
      <c r="X8" s="461"/>
      <c r="Y8" s="413">
        <f>SUMIFS(AB12:AB44,AB12:AB44,"&gt;0",AB12:AB44,"&lt;"&amp;Y7)</f>
        <v>566.35544208608553</v>
      </c>
      <c r="Z8" s="658" t="s">
        <v>522</v>
      </c>
      <c r="AA8" s="658"/>
      <c r="AB8" s="461"/>
      <c r="AC8" s="493"/>
      <c r="AD8" s="73"/>
      <c r="AE8" s="69"/>
      <c r="AF8" s="366" t="s">
        <v>377</v>
      </c>
      <c r="AG8" s="69"/>
      <c r="AI8" s="71"/>
      <c r="AJ8" s="155" t="s">
        <v>118</v>
      </c>
      <c r="AK8" s="69"/>
      <c r="AL8" s="64"/>
      <c r="AM8" s="126"/>
      <c r="AN8" s="127">
        <v>2</v>
      </c>
      <c r="AO8" s="132" t="s">
        <v>170</v>
      </c>
      <c r="AP8" s="664">
        <f ca="1">VLOOKUP(planetWA,INDIRECT(AP7),2)</f>
        <v>0.24309800000000001</v>
      </c>
      <c r="AQ8" s="664"/>
      <c r="AR8" s="133" t="s">
        <v>122</v>
      </c>
      <c r="AS8" s="134"/>
      <c r="AT8"/>
      <c r="AU8" s="73"/>
      <c r="AV8"/>
      <c r="AW8" s="621" t="s">
        <v>657</v>
      </c>
      <c r="AX8" s="611" t="s">
        <v>647</v>
      </c>
      <c r="AY8" s="622">
        <v>-1</v>
      </c>
      <c r="AZ8" s="184">
        <v>1</v>
      </c>
      <c r="BA8" s="611">
        <v>0.3</v>
      </c>
      <c r="BB8" s="623">
        <v>0.58514508983843505</v>
      </c>
      <c r="BD8"/>
      <c r="BE8" s="64"/>
      <c r="BF8"/>
      <c r="BG8" s="577">
        <v>3</v>
      </c>
      <c r="BH8" s="578">
        <v>4</v>
      </c>
      <c r="BI8" s="123">
        <f>PI()*(BH8^2-BG8^2)</f>
        <v>21.991148575128552</v>
      </c>
      <c r="BJ8" s="558">
        <v>6E-9</v>
      </c>
      <c r="BK8" s="559">
        <v>2.0000000000000001E-9</v>
      </c>
      <c r="BM8" s="577">
        <v>4</v>
      </c>
      <c r="BN8" s="578">
        <v>5</v>
      </c>
      <c r="BO8" s="123">
        <f>PI()*(BN8^2-BM8^2)</f>
        <v>28.274333882308138</v>
      </c>
      <c r="BP8" s="558">
        <v>4.0000000000000002E-9</v>
      </c>
      <c r="BQ8" s="559">
        <v>5.0000000000000001E-9</v>
      </c>
      <c r="BR8"/>
      <c r="BS8"/>
      <c r="BT8"/>
      <c r="BU8"/>
      <c r="BV8"/>
      <c r="BW8"/>
      <c r="BX8"/>
      <c r="BY8" s="581">
        <v>3</v>
      </c>
      <c r="BZ8" s="586">
        <v>2.7798348000000002E-9</v>
      </c>
      <c r="CA8" s="582">
        <v>1.0177500000000001E-2</v>
      </c>
      <c r="CB8" s="583">
        <f t="shared" ref="CB8:CB28" si="2">BZ8*($CB$5/$BL$15)</f>
        <v>7.2472260160145984E-9</v>
      </c>
      <c r="CC8" s="583">
        <f t="shared" si="0"/>
        <v>2.7142377193734087E-9</v>
      </c>
      <c r="CD8" s="584">
        <f t="shared" ref="CD8:CD28" si="3">CA8</f>
        <v>1.0177500000000001E-2</v>
      </c>
      <c r="CE8" s="584">
        <f t="shared" si="1"/>
        <v>2.0355000000000002E-2</v>
      </c>
      <c r="CF8" s="586">
        <v>6E-9</v>
      </c>
      <c r="CG8" s="586">
        <v>2.0000000000000001E-9</v>
      </c>
      <c r="CH8"/>
      <c r="CI8"/>
    </row>
    <row r="9" spans="1:87" s="36" customFormat="1" ht="15.6">
      <c r="B9" s="69"/>
      <c r="C9" s="181" t="s">
        <v>232</v>
      </c>
      <c r="D9" s="182">
        <f ca="1">SQRT(D7^2-D8^2)</f>
        <v>1.5175171517176445</v>
      </c>
      <c r="E9" s="183" t="s">
        <v>15</v>
      </c>
      <c r="F9" s="72"/>
      <c r="G9" s="69"/>
      <c r="H9" s="69"/>
      <c r="I9" s="90"/>
      <c r="J9" s="69"/>
      <c r="K9" s="199" t="s">
        <v>54</v>
      </c>
      <c r="L9" s="340">
        <f>(mpix/frameTime)*I15^2</f>
        <v>0</v>
      </c>
      <c r="M9" s="197" t="s">
        <v>454</v>
      </c>
      <c r="N9" s="54"/>
      <c r="O9" s="73"/>
      <c r="P9" s="461"/>
      <c r="Q9" s="490"/>
      <c r="R9" s="461"/>
      <c r="S9" s="461"/>
      <c r="T9" s="500"/>
      <c r="U9" s="491"/>
      <c r="V9" s="496"/>
      <c r="W9" s="491"/>
      <c r="X9" s="497"/>
      <c r="Y9" s="498"/>
      <c r="Z9" s="491"/>
      <c r="AA9" s="461"/>
      <c r="AB9" s="461"/>
      <c r="AC9" s="493"/>
      <c r="AD9" s="73"/>
      <c r="AE9" s="69"/>
      <c r="AF9" s="366"/>
      <c r="AG9" s="69" t="s">
        <v>131</v>
      </c>
      <c r="AH9" s="173">
        <f>VLOOKUP(planetNo,planetTable,4)</f>
        <v>14.0627</v>
      </c>
      <c r="AI9" s="71" t="s">
        <v>116</v>
      </c>
      <c r="AJ9" s="155" t="s">
        <v>117</v>
      </c>
      <c r="AK9" s="69"/>
      <c r="AL9" s="64"/>
      <c r="AM9" s="126"/>
      <c r="AN9" s="127">
        <v>3</v>
      </c>
      <c r="AO9" s="132" t="s">
        <v>171</v>
      </c>
      <c r="AP9" s="664">
        <f ca="1">VLOOKUP(planetWA,INDIRECT(AP7),3)</f>
        <v>1.6154852999999999E-12</v>
      </c>
      <c r="AQ9" s="664"/>
      <c r="AR9" s="135" t="s">
        <v>30</v>
      </c>
      <c r="AS9" s="134" t="s">
        <v>172</v>
      </c>
      <c r="AT9" s="69"/>
      <c r="AU9" s="73"/>
      <c r="AV9"/>
      <c r="AW9" s="621" t="s">
        <v>658</v>
      </c>
      <c r="AX9" s="611" t="s">
        <v>648</v>
      </c>
      <c r="AY9" s="622">
        <v>-1</v>
      </c>
      <c r="AZ9" s="184">
        <v>1</v>
      </c>
      <c r="BA9" s="611">
        <v>0.3</v>
      </c>
      <c r="BB9" s="623">
        <v>0.58514508983843505</v>
      </c>
      <c r="BD9"/>
      <c r="BE9" s="64"/>
      <c r="BF9"/>
      <c r="BG9" s="577">
        <v>4</v>
      </c>
      <c r="BH9" s="578">
        <v>5</v>
      </c>
      <c r="BI9" s="123">
        <f>PI()*(BH9^2-BG9^2)</f>
        <v>28.274333882308138</v>
      </c>
      <c r="BJ9" s="558">
        <v>3E-9</v>
      </c>
      <c r="BK9" s="559">
        <v>1.0000000000000001E-9</v>
      </c>
      <c r="BM9" s="577">
        <v>5</v>
      </c>
      <c r="BN9" s="578">
        <v>9</v>
      </c>
      <c r="BO9" s="123">
        <f>PI()*(BN9^2-BM9^2)</f>
        <v>175.92918860102841</v>
      </c>
      <c r="BP9" s="558">
        <v>4.0000000000000002E-9</v>
      </c>
      <c r="BQ9" s="559">
        <v>4.0000000000000002E-9</v>
      </c>
      <c r="BR9"/>
      <c r="BS9"/>
      <c r="BT9"/>
      <c r="BU9"/>
      <c r="BV9"/>
      <c r="BW9"/>
      <c r="BX9"/>
      <c r="BY9" s="581">
        <v>3.3</v>
      </c>
      <c r="BZ9" s="586">
        <v>8.8589079999999997E-10</v>
      </c>
      <c r="CA9" s="582">
        <v>1.5567096000000001E-2</v>
      </c>
      <c r="CB9" s="583">
        <f t="shared" si="2"/>
        <v>2.3095799984617735E-9</v>
      </c>
      <c r="CC9" s="583">
        <f t="shared" si="0"/>
        <v>8.6498601449477665E-10</v>
      </c>
      <c r="CD9" s="584">
        <f t="shared" si="3"/>
        <v>1.5567096000000001E-2</v>
      </c>
      <c r="CE9" s="584">
        <f t="shared" si="1"/>
        <v>3.1134192000000002E-2</v>
      </c>
      <c r="CF9" s="586">
        <v>6E-9</v>
      </c>
      <c r="CG9" s="586">
        <v>2.0000000000000001E-9</v>
      </c>
      <c r="CH9"/>
      <c r="CI9"/>
    </row>
    <row r="10" spans="1:87" s="36" customFormat="1" ht="15.6">
      <c r="B10" s="69"/>
      <c r="C10" s="69"/>
      <c r="D10" s="185"/>
      <c r="E10" s="71"/>
      <c r="F10" s="174"/>
      <c r="G10" s="71"/>
      <c r="H10" s="71"/>
      <c r="I10" s="188"/>
      <c r="J10" s="71"/>
      <c r="K10" s="343" t="s">
        <v>486</v>
      </c>
      <c r="L10" s="344">
        <f ca="1">ENF^2*(pl_convertRate+sp_bkgRate+zo_bkgRate)+darkNoiseRate+CICnoiseRate+readNoiseRate</f>
        <v>2.566279648227995E-2</v>
      </c>
      <c r="M10" s="345" t="s">
        <v>454</v>
      </c>
      <c r="N10" s="54"/>
      <c r="O10" s="73"/>
      <c r="P10" s="461"/>
      <c r="Q10" s="232" t="s">
        <v>437</v>
      </c>
      <c r="R10" s="232" t="s">
        <v>429</v>
      </c>
      <c r="S10" s="259" t="s">
        <v>435</v>
      </c>
      <c r="T10" s="303" t="s">
        <v>421</v>
      </c>
      <c r="U10" s="119" t="s">
        <v>468</v>
      </c>
      <c r="V10" s="259" t="s">
        <v>475</v>
      </c>
      <c r="W10" s="330" t="s">
        <v>473</v>
      </c>
      <c r="X10" s="301" t="s">
        <v>471</v>
      </c>
      <c r="Y10" s="297" t="s">
        <v>448</v>
      </c>
      <c r="Z10" s="297" t="s">
        <v>419</v>
      </c>
      <c r="AA10" s="297" t="s">
        <v>469</v>
      </c>
      <c r="AB10" s="297" t="s">
        <v>520</v>
      </c>
      <c r="AC10" s="493"/>
      <c r="AD10" s="73"/>
      <c r="AE10" s="69"/>
      <c r="AF10" s="366"/>
      <c r="AG10" s="69" t="s">
        <v>132</v>
      </c>
      <c r="AH10" s="107">
        <f>VLOOKUP(planetNo,planetTable,3)</f>
        <v>5.03</v>
      </c>
      <c r="AI10" s="71" t="s">
        <v>13</v>
      </c>
      <c r="AJ10" s="155" t="s">
        <v>218</v>
      </c>
      <c r="AK10" s="69"/>
      <c r="AL10" s="64"/>
      <c r="AM10" s="126"/>
      <c r="AN10" s="127">
        <v>4</v>
      </c>
      <c r="AO10" s="132" t="s">
        <v>196</v>
      </c>
      <c r="AP10" s="664">
        <f ca="1">VLOOKUP(planetWA,INDIRECT(AP7),4)</f>
        <v>5.2406002000000004E-10</v>
      </c>
      <c r="AQ10" s="664"/>
      <c r="AR10" s="135" t="s">
        <v>30</v>
      </c>
      <c r="AS10" s="134" t="s">
        <v>173</v>
      </c>
      <c r="AT10"/>
      <c r="AU10" s="73"/>
      <c r="AV10"/>
      <c r="AW10" s="624" t="s">
        <v>651</v>
      </c>
      <c r="AX10" s="563" t="s">
        <v>645</v>
      </c>
      <c r="AY10" s="625">
        <v>-1</v>
      </c>
      <c r="AZ10" s="626">
        <v>0.5</v>
      </c>
      <c r="BA10" s="563">
        <v>0.2</v>
      </c>
      <c r="BB10" s="627">
        <v>0.54458878691384804</v>
      </c>
      <c r="BD10"/>
      <c r="BE10" s="64"/>
      <c r="BF10"/>
      <c r="BG10" s="577">
        <v>5</v>
      </c>
      <c r="BH10" s="578">
        <v>9</v>
      </c>
      <c r="BI10" s="123">
        <f>PI()*(BH10^2-BG10^2)</f>
        <v>175.92918860102841</v>
      </c>
      <c r="BJ10" s="558">
        <v>2.0000000000000001E-9</v>
      </c>
      <c r="BK10" s="559">
        <v>1.0000000000000001E-9</v>
      </c>
      <c r="BM10" s="560"/>
      <c r="BN10" s="561"/>
      <c r="BO10" s="562" t="s">
        <v>664</v>
      </c>
      <c r="BP10" s="567">
        <f>SUMPRODUCT(BO7:BO9,BP7:BP9)/SUM(BO7:BO9)</f>
        <v>4.1944444444444445E-9</v>
      </c>
      <c r="BQ10" s="567">
        <f>SUMPRODUCT(BO7:BO9,BQ7:BQ9)/SUM(BO7:BO9)</f>
        <v>4.4166666666666673E-9</v>
      </c>
      <c r="BR10"/>
      <c r="BS10"/>
      <c r="BT10"/>
      <c r="BU10"/>
      <c r="BV10"/>
      <c r="BW10"/>
      <c r="BX10"/>
      <c r="BY10" s="581">
        <v>3.6</v>
      </c>
      <c r="BZ10" s="586">
        <v>6.3911259000000004E-10</v>
      </c>
      <c r="CA10" s="582">
        <v>1.8421678E-2</v>
      </c>
      <c r="CB10" s="583">
        <f t="shared" si="2"/>
        <v>1.6662117437376031E-9</v>
      </c>
      <c r="CC10" s="583">
        <f t="shared" si="0"/>
        <v>6.240311469963728E-10</v>
      </c>
      <c r="CD10" s="584">
        <f t="shared" si="3"/>
        <v>1.8421678E-2</v>
      </c>
      <c r="CE10" s="584">
        <f t="shared" si="1"/>
        <v>3.6843356000000001E-2</v>
      </c>
      <c r="CF10" s="586">
        <v>6E-9</v>
      </c>
      <c r="CG10" s="586">
        <v>2.0000000000000001E-9</v>
      </c>
      <c r="CH10"/>
      <c r="CI10"/>
    </row>
    <row r="11" spans="1:87" s="36" customFormat="1" ht="15.6">
      <c r="B11" s="69"/>
      <c r="C11" s="69"/>
      <c r="D11" s="72"/>
      <c r="E11" s="69"/>
      <c r="F11" s="72"/>
      <c r="G11" s="69"/>
      <c r="H11" s="69"/>
      <c r="I11" s="90"/>
      <c r="J11" s="69"/>
      <c r="K11" s="71"/>
      <c r="L11" s="54"/>
      <c r="M11" s="54"/>
      <c r="N11" s="54"/>
      <c r="O11" s="73"/>
      <c r="P11" s="461"/>
      <c r="Q11" s="332">
        <f>planetNo</f>
        <v>9</v>
      </c>
      <c r="R11" s="333" t="str">
        <f>I4</f>
        <v>47 UMa c</v>
      </c>
      <c r="S11" s="334">
        <f>AH10</f>
        <v>5.03</v>
      </c>
      <c r="T11" s="335">
        <f ca="1" xml:space="preserve"> AH49</f>
        <v>254.00439737108309</v>
      </c>
      <c r="U11" s="334">
        <f ca="1">planetWA</f>
        <v>5.1655432278006632</v>
      </c>
      <c r="V11" s="336">
        <f>IFERROR(D5,0)</f>
        <v>7.7310017580866077</v>
      </c>
      <c r="W11" s="337">
        <f ca="1">IFERROR(D13,-1)</f>
        <v>0.96056694655655284</v>
      </c>
      <c r="X11" s="337">
        <f ca="1">IF(SNRtimeMargin&gt;0,SNRtimeMargin,-1)</f>
        <v>0.96434209965667816</v>
      </c>
      <c r="Y11" s="334">
        <f>AH54</f>
        <v>23.212728473301919</v>
      </c>
      <c r="Z11" s="338">
        <f>starFlux*Acol</f>
        <v>270329109.33113927</v>
      </c>
      <c r="AA11" s="334">
        <f>planetFlux*Acol</f>
        <v>2.0899148195010246</v>
      </c>
      <c r="AB11" s="410">
        <f ca="1">timeToSNR</f>
        <v>0.85578960823972305</v>
      </c>
      <c r="AC11" s="493"/>
      <c r="AD11" s="73"/>
      <c r="AE11" s="69"/>
      <c r="AF11" s="366"/>
      <c r="AG11" s="69" t="s">
        <v>7</v>
      </c>
      <c r="AH11" s="173">
        <f>VLOOKUP(planetNo,planetTable,7)</f>
        <v>3.5719699999999999</v>
      </c>
      <c r="AI11" s="71" t="s">
        <v>6</v>
      </c>
      <c r="AJ11" s="155" t="s">
        <v>125</v>
      </c>
      <c r="AK11" s="69"/>
      <c r="AL11" s="64"/>
      <c r="AM11" s="126"/>
      <c r="AN11" s="127">
        <v>5</v>
      </c>
      <c r="AO11" s="132" t="s">
        <v>174</v>
      </c>
      <c r="AP11" s="664">
        <f ca="1">VLOOKUP(planetWA,INDIRECT(AP7),5)/(0.5/AP18)</f>
        <v>4.5615004000000001E-2</v>
      </c>
      <c r="AQ11" s="664"/>
      <c r="AR11" s="135" t="s">
        <v>30</v>
      </c>
      <c r="AS11" s="134" t="s">
        <v>175</v>
      </c>
      <c r="AT11" s="69"/>
      <c r="AU11" s="73"/>
      <c r="AV11"/>
      <c r="AW11" s="624" t="s">
        <v>652</v>
      </c>
      <c r="AX11" s="563" t="s">
        <v>646</v>
      </c>
      <c r="AY11" s="625">
        <v>-1</v>
      </c>
      <c r="AZ11" s="626">
        <v>0.5</v>
      </c>
      <c r="BA11" s="563">
        <v>0.2</v>
      </c>
      <c r="BB11" s="627">
        <v>0.54458878691384804</v>
      </c>
      <c r="BD11"/>
      <c r="BE11" s="64"/>
      <c r="BF11"/>
      <c r="BG11" s="560"/>
      <c r="BH11" s="561"/>
      <c r="BI11" s="562" t="s">
        <v>664</v>
      </c>
      <c r="BJ11" s="574">
        <f>SUMPRODUCT(BI8:BI10,BJ8:BJ10)/SUM(BI8:BI10)</f>
        <v>2.5138888888888889E-9</v>
      </c>
      <c r="BK11" s="574">
        <f>SUMPRODUCT(BI7:BI10,BK7:BK10)/SUM(BI7:BI10)</f>
        <v>1.1181657848324517E-9</v>
      </c>
      <c r="BP11" s="588"/>
      <c r="BQ11" s="67"/>
      <c r="BS11"/>
      <c r="BT11"/>
      <c r="BU11"/>
      <c r="BV11"/>
      <c r="BW11"/>
      <c r="BX11"/>
      <c r="BY11" s="581">
        <v>3.9</v>
      </c>
      <c r="BZ11" s="586">
        <v>8.2759617000000002E-10</v>
      </c>
      <c r="CA11" s="582">
        <v>1.9613994999999999E-2</v>
      </c>
      <c r="CB11" s="583">
        <f t="shared" si="2"/>
        <v>2.1576017733061114E-9</v>
      </c>
      <c r="CC11" s="583">
        <f t="shared" si="0"/>
        <v>8.0806699053590087E-10</v>
      </c>
      <c r="CD11" s="584">
        <f t="shared" si="3"/>
        <v>1.9613994999999999E-2</v>
      </c>
      <c r="CE11" s="584">
        <f t="shared" si="1"/>
        <v>3.9227989999999997E-2</v>
      </c>
      <c r="CF11" s="586">
        <v>6E-9</v>
      </c>
      <c r="CG11" s="586">
        <v>2.0000000000000001E-9</v>
      </c>
      <c r="CH11"/>
      <c r="CI11"/>
    </row>
    <row r="12" spans="1:87" s="36" customFormat="1" ht="15.6">
      <c r="B12" s="277" t="s">
        <v>94</v>
      </c>
      <c r="C12" s="278"/>
      <c r="D12" s="279" t="s">
        <v>83</v>
      </c>
      <c r="E12" s="280" t="s">
        <v>84</v>
      </c>
      <c r="F12" s="281" t="s">
        <v>85</v>
      </c>
      <c r="G12" s="280" t="s">
        <v>84</v>
      </c>
      <c r="H12" s="279" t="s">
        <v>99</v>
      </c>
      <c r="I12" s="282" t="s">
        <v>85</v>
      </c>
      <c r="J12" s="280" t="s">
        <v>48</v>
      </c>
      <c r="K12" s="283" t="s">
        <v>47</v>
      </c>
      <c r="L12" s="284"/>
      <c r="M12" s="54"/>
      <c r="N12" s="54"/>
      <c r="O12" s="73"/>
      <c r="P12" s="461"/>
      <c r="Q12" s="296">
        <v>1</v>
      </c>
      <c r="R12" s="295" t="str">
        <f t="dataTable" ref="R12:AB45" dt2D="0" dtr="0" r1="H4" ca="1"/>
        <v>beta Gem b</v>
      </c>
      <c r="S12" s="315">
        <v>1.1499999999999999</v>
      </c>
      <c r="T12" s="304">
        <v>169.65927925634</v>
      </c>
      <c r="U12" s="315">
        <v>3.4502644445001236</v>
      </c>
      <c r="V12" s="260">
        <v>9.8472194652930707</v>
      </c>
      <c r="W12" s="331">
        <v>0.99879426584290376</v>
      </c>
      <c r="X12" s="302">
        <v>0.99901470583922825</v>
      </c>
      <c r="Y12" s="298">
        <v>471.20636328349866</v>
      </c>
      <c r="Z12" s="299">
        <v>9635911741.919178</v>
      </c>
      <c r="AA12" s="298">
        <v>94.886937670872598</v>
      </c>
      <c r="AB12" s="501">
        <v>2.3647059858522713E-2</v>
      </c>
      <c r="AC12" s="493"/>
      <c r="AD12" s="73"/>
      <c r="AE12" s="69"/>
      <c r="AF12" s="366"/>
      <c r="AG12" s="69" t="s">
        <v>371</v>
      </c>
      <c r="AH12" s="229">
        <f>VLOOKUP(planetNo,planetTable,17)</f>
        <v>0.28000000000000003</v>
      </c>
      <c r="AI12" s="104" t="s">
        <v>126</v>
      </c>
      <c r="AJ12" s="155" t="s">
        <v>372</v>
      </c>
      <c r="AK12" s="69"/>
      <c r="AL12" s="64"/>
      <c r="AM12" s="126"/>
      <c r="AN12" s="127">
        <v>6</v>
      </c>
      <c r="AO12" s="132" t="s">
        <v>176</v>
      </c>
      <c r="AP12" s="664">
        <f ca="1">VLOOKUP(planetWA,INDIRECT(AP7),6)/(0.5/AP18)</f>
        <v>6.1652683999999999E-3</v>
      </c>
      <c r="AQ12" s="664"/>
      <c r="AR12" s="135" t="s">
        <v>30</v>
      </c>
      <c r="AS12" s="134" t="s">
        <v>177</v>
      </c>
      <c r="AT12"/>
      <c r="AU12" s="73"/>
      <c r="AV12"/>
      <c r="AW12" s="621" t="s">
        <v>653</v>
      </c>
      <c r="AX12" s="611" t="s">
        <v>649</v>
      </c>
      <c r="AY12" s="622">
        <v>-1</v>
      </c>
      <c r="AZ12" s="184">
        <v>1</v>
      </c>
      <c r="BA12" s="611">
        <v>0.3</v>
      </c>
      <c r="BB12" s="623">
        <v>0.58514508983843505</v>
      </c>
      <c r="BD12"/>
      <c r="BE12" s="64"/>
      <c r="BF12"/>
      <c r="BG12" s="113"/>
      <c r="BP12" s="590"/>
      <c r="BQ12" s="67"/>
      <c r="BS12"/>
      <c r="BT12"/>
      <c r="BU12"/>
      <c r="BV12"/>
      <c r="BW12"/>
      <c r="BX12"/>
      <c r="BY12" s="581">
        <v>4.2</v>
      </c>
      <c r="BZ12" s="586">
        <v>8.8488062000000002E-10</v>
      </c>
      <c r="CA12" s="582">
        <v>2.0714155000000001E-2</v>
      </c>
      <c r="CB12" s="583">
        <f t="shared" si="2"/>
        <v>2.306946387724597E-9</v>
      </c>
      <c r="CC12" s="583">
        <f t="shared" si="0"/>
        <v>8.6399967219150139E-10</v>
      </c>
      <c r="CD12" s="584">
        <f t="shared" si="3"/>
        <v>2.0714155000000001E-2</v>
      </c>
      <c r="CE12" s="584">
        <f t="shared" si="1"/>
        <v>4.1428310000000003E-2</v>
      </c>
      <c r="CF12" s="586">
        <v>3E-9</v>
      </c>
      <c r="CG12" s="586">
        <v>1.0000000000000001E-9</v>
      </c>
      <c r="CH12"/>
      <c r="CI12"/>
    </row>
    <row r="13" spans="1:87" s="36" customFormat="1" ht="15.6">
      <c r="B13" s="285"/>
      <c r="C13" s="320" t="s">
        <v>450</v>
      </c>
      <c r="D13" s="321">
        <f ca="1">1-(D14/D9)</f>
        <v>0.96056694655655284</v>
      </c>
      <c r="E13" s="71"/>
      <c r="F13" s="242"/>
      <c r="G13" s="71"/>
      <c r="H13" s="238"/>
      <c r="I13" s="286"/>
      <c r="J13" s="71"/>
      <c r="K13" s="247"/>
      <c r="L13" s="287"/>
      <c r="M13" s="54"/>
      <c r="N13" s="54"/>
      <c r="O13" s="73"/>
      <c r="P13" s="461"/>
      <c r="Q13" s="296">
        <v>6</v>
      </c>
      <c r="R13" s="295" t="str">
        <v>epsilon Eri b</v>
      </c>
      <c r="S13" s="315">
        <v>3.72</v>
      </c>
      <c r="T13" s="304">
        <v>380.59773172961053</v>
      </c>
      <c r="U13" s="315">
        <v>7.74</v>
      </c>
      <c r="V13" s="260">
        <v>8.1828208077969133</v>
      </c>
      <c r="W13" s="331">
        <v>0.98921666222936322</v>
      </c>
      <c r="X13" s="302">
        <v>0.99168099392868758</v>
      </c>
      <c r="Y13" s="298">
        <v>18.645803158452207</v>
      </c>
      <c r="Z13" s="299">
        <v>903426475.13143921</v>
      </c>
      <c r="AA13" s="298">
        <v>7.3925769590201611</v>
      </c>
      <c r="AB13" s="411">
        <v>0.19965614571149837</v>
      </c>
      <c r="AC13" s="493"/>
      <c r="AD13" s="73"/>
      <c r="AE13" s="69"/>
      <c r="AF13" s="366"/>
      <c r="AG13" s="69" t="s">
        <v>373</v>
      </c>
      <c r="AH13" s="229">
        <f>VLOOKUP(planetNo,planetTable,25)</f>
        <v>1.27</v>
      </c>
      <c r="AI13" s="104" t="s">
        <v>374</v>
      </c>
      <c r="AJ13" s="155"/>
      <c r="AK13" s="69"/>
      <c r="AL13" s="64"/>
      <c r="AM13" s="126"/>
      <c r="AN13" s="127">
        <v>7</v>
      </c>
      <c r="AO13" s="132" t="s">
        <v>178</v>
      </c>
      <c r="AP13" s="664">
        <f ca="1">VLOOKUP(planetWA,INDIRECT(AP7),7)</f>
        <v>2.0481634000000001E-3</v>
      </c>
      <c r="AQ13" s="664"/>
      <c r="AR13" s="133" t="s">
        <v>179</v>
      </c>
      <c r="AS13" s="134" t="s">
        <v>180</v>
      </c>
      <c r="AT13" s="69"/>
      <c r="AU13" s="73"/>
      <c r="AV13"/>
      <c r="AW13" s="621" t="s">
        <v>654</v>
      </c>
      <c r="AX13" s="611" t="s">
        <v>650</v>
      </c>
      <c r="AY13" s="622">
        <v>-1</v>
      </c>
      <c r="AZ13" s="184">
        <v>1</v>
      </c>
      <c r="BA13" s="611">
        <v>0.3</v>
      </c>
      <c r="BB13" s="623">
        <v>0.58514508983843505</v>
      </c>
      <c r="BD13"/>
      <c r="BE13" s="64"/>
      <c r="BF13"/>
      <c r="BG13" s="113"/>
      <c r="BP13" s="591"/>
      <c r="BQ13" s="67"/>
      <c r="BT13" s="101"/>
      <c r="BV13" s="103"/>
      <c r="BX13"/>
      <c r="BY13" s="581">
        <v>4.5</v>
      </c>
      <c r="BZ13" s="586">
        <v>7.3746844000000002E-10</v>
      </c>
      <c r="CA13" s="582">
        <v>2.1722156999999999E-2</v>
      </c>
      <c r="CB13" s="583">
        <f t="shared" si="2"/>
        <v>1.9226324040398731E-9</v>
      </c>
      <c r="CC13" s="583">
        <f t="shared" si="0"/>
        <v>7.200660473404626E-10</v>
      </c>
      <c r="CD13" s="584">
        <f t="shared" si="3"/>
        <v>2.1722156999999999E-2</v>
      </c>
      <c r="CE13" s="584">
        <f t="shared" si="1"/>
        <v>4.3444313999999998E-2</v>
      </c>
      <c r="CF13" s="586">
        <v>3E-9</v>
      </c>
      <c r="CG13" s="586">
        <v>1.0000000000000001E-9</v>
      </c>
      <c r="CH13"/>
      <c r="CI13"/>
    </row>
    <row r="14" spans="1:87" s="36" customFormat="1" ht="15.6">
      <c r="B14" s="289" t="s">
        <v>56</v>
      </c>
      <c r="C14" s="290"/>
      <c r="D14" s="237">
        <f ca="1">SQRT(SUMSQ(D15:D17))</f>
        <v>5.9840334945029626E-2</v>
      </c>
      <c r="E14" s="75" t="s">
        <v>15</v>
      </c>
      <c r="F14" s="241">
        <f ca="1">SQRT(SUMSQ(F15:F17))</f>
        <v>5.9840334945029626E-2</v>
      </c>
      <c r="G14" s="75" t="s">
        <v>15</v>
      </c>
      <c r="H14" s="239"/>
      <c r="I14" s="286"/>
      <c r="J14" s="211"/>
      <c r="K14" s="258">
        <f>MissionLifeFraction</f>
        <v>0.25</v>
      </c>
      <c r="L14" s="291" t="s">
        <v>391</v>
      </c>
      <c r="M14" s="54"/>
      <c r="N14" s="54"/>
      <c r="O14" s="73"/>
      <c r="P14" s="461"/>
      <c r="Q14" s="296">
        <v>9</v>
      </c>
      <c r="R14" s="295" t="str">
        <v>47 UMa c</v>
      </c>
      <c r="S14" s="315">
        <v>5.03</v>
      </c>
      <c r="T14" s="304">
        <v>254.00439737108309</v>
      </c>
      <c r="U14" s="315">
        <v>5.1655432278006632</v>
      </c>
      <c r="V14" s="260">
        <v>7.7310017580866077</v>
      </c>
      <c r="W14" s="331">
        <v>0.96056694655655284</v>
      </c>
      <c r="X14" s="302">
        <v>0.96434209965667816</v>
      </c>
      <c r="Y14" s="298">
        <v>23.212728473301919</v>
      </c>
      <c r="Z14" s="299">
        <v>270329109.33113927</v>
      </c>
      <c r="AA14" s="298">
        <v>2.0899148195010246</v>
      </c>
      <c r="AB14" s="411">
        <v>0.85578960823972305</v>
      </c>
      <c r="AC14" s="493"/>
      <c r="AD14" s="73"/>
      <c r="AE14" s="69"/>
      <c r="AF14" s="366"/>
      <c r="AG14" s="36" t="s">
        <v>197</v>
      </c>
      <c r="AH14" s="107">
        <v>23</v>
      </c>
      <c r="AI14" s="71" t="s">
        <v>198</v>
      </c>
      <c r="AJ14" s="155" t="s">
        <v>199</v>
      </c>
      <c r="AK14" s="69"/>
      <c r="AL14" s="64"/>
      <c r="AM14" s="126"/>
      <c r="AN14" s="127">
        <v>8</v>
      </c>
      <c r="AO14" s="132" t="s">
        <v>181</v>
      </c>
      <c r="AP14" s="668">
        <f ca="1">VLOOKUP(planetWA,INDIRECT(AP7),8)/(0.5/AP18)</f>
        <v>0.46207690000000001</v>
      </c>
      <c r="AQ14" s="668"/>
      <c r="AR14" s="135" t="s">
        <v>30</v>
      </c>
      <c r="AS14" s="134" t="s">
        <v>182</v>
      </c>
      <c r="AT14"/>
      <c r="AU14" s="73"/>
      <c r="AV14"/>
      <c r="AW14" s="624" t="s">
        <v>655</v>
      </c>
      <c r="AX14" s="563" t="s">
        <v>643</v>
      </c>
      <c r="AY14" s="625">
        <v>-1</v>
      </c>
      <c r="AZ14" s="626">
        <v>0.5</v>
      </c>
      <c r="BA14" s="563">
        <v>0.2</v>
      </c>
      <c r="BB14" s="627">
        <v>0.54458878691384804</v>
      </c>
      <c r="BD14"/>
      <c r="BE14" s="64"/>
      <c r="BF14"/>
      <c r="BG14" s="113" t="s">
        <v>158</v>
      </c>
      <c r="BJ14" s="36" t="s">
        <v>607</v>
      </c>
      <c r="BK14" s="36" t="s">
        <v>608</v>
      </c>
      <c r="BL14" s="36" t="s">
        <v>606</v>
      </c>
      <c r="BP14" s="113" t="s">
        <v>160</v>
      </c>
      <c r="BQ14" s="124"/>
      <c r="BW14" s="563" t="s">
        <v>609</v>
      </c>
      <c r="BX14"/>
      <c r="BY14" s="581">
        <v>4.8</v>
      </c>
      <c r="BZ14" s="586">
        <v>5.6289506000000001E-10</v>
      </c>
      <c r="CA14" s="582">
        <v>2.2431438000000001E-2</v>
      </c>
      <c r="CB14" s="583">
        <f t="shared" si="2"/>
        <v>1.4675072501136031E-9</v>
      </c>
      <c r="CC14" s="583">
        <f t="shared" si="0"/>
        <v>5.4961215821204842E-10</v>
      </c>
      <c r="CD14" s="584">
        <f t="shared" si="3"/>
        <v>2.2431438000000001E-2</v>
      </c>
      <c r="CE14" s="584">
        <f t="shared" si="1"/>
        <v>4.4862876000000003E-2</v>
      </c>
      <c r="CF14" s="586">
        <v>3E-9</v>
      </c>
      <c r="CG14" s="586">
        <v>1.0000000000000001E-9</v>
      </c>
      <c r="CH14"/>
      <c r="CI14"/>
    </row>
    <row r="15" spans="1:87" s="36" customFormat="1" ht="15.6">
      <c r="B15" s="285"/>
      <c r="C15" s="211" t="s">
        <v>54</v>
      </c>
      <c r="D15" s="244">
        <f ca="1">F15</f>
        <v>0</v>
      </c>
      <c r="E15" s="71" t="s">
        <v>15</v>
      </c>
      <c r="F15" s="243">
        <f ca="1">Kappa*SQRT(integTime*(mpix/frameTime)*I15^2)</f>
        <v>0</v>
      </c>
      <c r="G15" s="71" t="s">
        <v>15</v>
      </c>
      <c r="H15" s="240">
        <v>1E-3</v>
      </c>
      <c r="I15" s="288">
        <f>AP30</f>
        <v>0</v>
      </c>
      <c r="J15" s="71" t="s">
        <v>87</v>
      </c>
      <c r="K15" s="247" t="s">
        <v>436</v>
      </c>
      <c r="L15" s="287"/>
      <c r="M15" s="54"/>
      <c r="N15" s="54"/>
      <c r="O15" s="73"/>
      <c r="P15" s="461"/>
      <c r="Q15" s="296">
        <v>5</v>
      </c>
      <c r="R15" s="295" t="str">
        <v>upsilon And d</v>
      </c>
      <c r="S15" s="315">
        <v>4.0999999999999996</v>
      </c>
      <c r="T15" s="304">
        <v>187.11883441912153</v>
      </c>
      <c r="U15" s="315">
        <v>3.8053295058335284</v>
      </c>
      <c r="V15" s="260">
        <v>4.9855908976830499</v>
      </c>
      <c r="W15" s="331">
        <v>0.96841625617938787</v>
      </c>
      <c r="X15" s="302">
        <v>0.96830384825549165</v>
      </c>
      <c r="Y15" s="298">
        <v>42.175690597931137</v>
      </c>
      <c r="Z15" s="299">
        <v>636638375.34654605</v>
      </c>
      <c r="AA15" s="298">
        <v>3.1740184892434646</v>
      </c>
      <c r="AB15" s="411">
        <v>0.76070764186820161</v>
      </c>
      <c r="AC15" s="493"/>
      <c r="AD15" s="73"/>
      <c r="AE15" s="69"/>
      <c r="AF15" s="366"/>
      <c r="AG15" s="36" t="s">
        <v>200</v>
      </c>
      <c r="AH15" s="107">
        <v>22</v>
      </c>
      <c r="AI15" s="71" t="s">
        <v>198</v>
      </c>
      <c r="AJ15" s="155" t="s">
        <v>199</v>
      </c>
      <c r="AK15" s="69"/>
      <c r="AL15" s="64"/>
      <c r="AM15" s="126"/>
      <c r="AN15" s="127">
        <v>9</v>
      </c>
      <c r="AO15" s="132" t="s">
        <v>183</v>
      </c>
      <c r="AP15" s="665">
        <f ca="1">MIN(INDEX(INDIRECT(AP7),,1))</f>
        <v>2.7</v>
      </c>
      <c r="AQ15" s="665"/>
      <c r="AR15" s="136" t="s">
        <v>184</v>
      </c>
      <c r="AS15" s="134" t="s">
        <v>185</v>
      </c>
      <c r="AT15" s="69"/>
      <c r="AU15" s="73"/>
      <c r="AV15"/>
      <c r="AW15" s="624" t="s">
        <v>656</v>
      </c>
      <c r="AX15" s="563" t="s">
        <v>644</v>
      </c>
      <c r="AY15" s="625">
        <v>-1</v>
      </c>
      <c r="AZ15" s="626">
        <v>0.5</v>
      </c>
      <c r="BA15" s="563">
        <v>0.2</v>
      </c>
      <c r="BB15" s="627">
        <v>0.54458878691384804</v>
      </c>
      <c r="BD15"/>
      <c r="BE15" s="64"/>
      <c r="BF15"/>
      <c r="BI15" s="36" t="s">
        <v>602</v>
      </c>
      <c r="BJ15" s="564">
        <v>3</v>
      </c>
      <c r="BK15" s="564">
        <v>9</v>
      </c>
      <c r="BL15" s="550">
        <f>((2*PI()*BN16)/(PI()*(BK15^2-BJ15^2)))*SUMPRODUCT(BG21:BG41,BJ21:BJ41)</f>
        <v>9.6425802109999926E-10</v>
      </c>
      <c r="BN15" s="564" t="s">
        <v>609</v>
      </c>
      <c r="BP15"/>
      <c r="BQ15" s="124"/>
      <c r="BW15" s="551">
        <f>BP21-BP20</f>
        <v>0.19999999999999973</v>
      </c>
      <c r="BX15"/>
      <c r="BY15" s="581">
        <v>5.0999999999999996</v>
      </c>
      <c r="BZ15" s="586">
        <v>5.2406002000000004E-10</v>
      </c>
      <c r="CA15" s="582">
        <v>2.2807502E-2</v>
      </c>
      <c r="CB15" s="583">
        <f t="shared" si="2"/>
        <v>1.3662615529876561E-9</v>
      </c>
      <c r="CC15" s="583">
        <f t="shared" si="0"/>
        <v>5.116935270756316E-10</v>
      </c>
      <c r="CD15" s="584">
        <f t="shared" si="3"/>
        <v>2.2807502E-2</v>
      </c>
      <c r="CE15" s="584">
        <f t="shared" si="1"/>
        <v>4.5615004000000001E-2</v>
      </c>
      <c r="CF15" s="586">
        <v>2.0000000000000001E-9</v>
      </c>
      <c r="CG15" s="586">
        <v>1.0000000000000001E-9</v>
      </c>
      <c r="CH15"/>
      <c r="CI15"/>
    </row>
    <row r="16" spans="1:87" s="36" customFormat="1" ht="15.6">
      <c r="B16" s="285"/>
      <c r="C16" s="211" t="s">
        <v>51</v>
      </c>
      <c r="D16" s="244">
        <f ca="1">F16</f>
        <v>5.6924659239709845E-2</v>
      </c>
      <c r="E16" s="71" t="s">
        <v>15</v>
      </c>
      <c r="F16" s="243">
        <f ca="1">Kappa*SQRT(ENF^2*I16*mpix*integTime)</f>
        <v>5.6924659239709845E-2</v>
      </c>
      <c r="G16" s="71" t="s">
        <v>15</v>
      </c>
      <c r="H16" s="240">
        <f ca="1">D16^2/(Kappa^2*ENF^2*mpix*integTime)</f>
        <v>1.9750000000000006E-4</v>
      </c>
      <c r="I16" s="288">
        <f>AP31</f>
        <v>1.975E-4</v>
      </c>
      <c r="J16" s="71" t="s">
        <v>93</v>
      </c>
      <c r="K16" s="248"/>
      <c r="L16" s="287"/>
      <c r="M16" s="54"/>
      <c r="N16" s="54"/>
      <c r="O16" s="73"/>
      <c r="P16" s="461"/>
      <c r="Q16" s="296">
        <v>13</v>
      </c>
      <c r="R16" s="295" t="str">
        <v>Gliese 777 b</v>
      </c>
      <c r="S16" s="315">
        <v>5.73</v>
      </c>
      <c r="T16" s="304">
        <v>250.529365080774</v>
      </c>
      <c r="U16" s="315">
        <v>5.0948734689327866</v>
      </c>
      <c r="V16" s="260">
        <v>5.6729680825100806</v>
      </c>
      <c r="W16" s="331">
        <v>0.88555421091041808</v>
      </c>
      <c r="X16" s="302">
        <v>0.86353867799430317</v>
      </c>
      <c r="Y16" s="298">
        <v>20.597708425724857</v>
      </c>
      <c r="Z16" s="299">
        <v>141870733.2996583</v>
      </c>
      <c r="AA16" s="298">
        <v>0.80482814185126161</v>
      </c>
      <c r="AB16" s="411">
        <v>3.275071728136723</v>
      </c>
      <c r="AC16" s="493"/>
      <c r="AD16" s="73"/>
      <c r="AE16" s="69"/>
      <c r="AF16" s="366"/>
      <c r="AJ16" s="155"/>
      <c r="AK16" s="69"/>
      <c r="AL16" s="64"/>
      <c r="AM16" s="126"/>
      <c r="AN16" s="127">
        <v>10</v>
      </c>
      <c r="AO16" s="132" t="s">
        <v>186</v>
      </c>
      <c r="AP16" s="665">
        <f ca="1">MAX(INDEX(INDIRECT(AP7),,1))</f>
        <v>9</v>
      </c>
      <c r="AQ16" s="665"/>
      <c r="AR16" s="136" t="s">
        <v>184</v>
      </c>
      <c r="AS16" s="134" t="s">
        <v>185</v>
      </c>
      <c r="AT16"/>
      <c r="AU16" s="73"/>
      <c r="AV16"/>
      <c r="BD16"/>
      <c r="BE16" s="64"/>
      <c r="BF16"/>
      <c r="BG16" s="79"/>
      <c r="BH16" s="79"/>
      <c r="BI16" s="36" t="s">
        <v>603</v>
      </c>
      <c r="BJ16" s="564">
        <v>2.7</v>
      </c>
      <c r="BK16" s="564">
        <v>9</v>
      </c>
      <c r="BL16" s="550">
        <f>((2*PI()*BN16)/(PI()*(BK16^2-BJ16^2)))*SUMPRODUCT(BG20:BG41,BJ20:BJ41)</f>
        <v>1.1451893615140413E-9</v>
      </c>
      <c r="BN16" s="565">
        <f>BG21-BG20</f>
        <v>0.29999999999999982</v>
      </c>
      <c r="BX16"/>
      <c r="BY16" s="581">
        <v>5.4</v>
      </c>
      <c r="BZ16" s="586">
        <v>6.2135042999999998E-10</v>
      </c>
      <c r="CA16" s="582">
        <v>2.2850349999999998E-2</v>
      </c>
      <c r="CB16" s="583">
        <f t="shared" si="2"/>
        <v>1.6199045358227248E-9</v>
      </c>
      <c r="CC16" s="583">
        <f t="shared" si="0"/>
        <v>6.0668812911288348E-10</v>
      </c>
      <c r="CD16" s="584">
        <f t="shared" si="3"/>
        <v>2.2850349999999998E-2</v>
      </c>
      <c r="CE16" s="584">
        <f t="shared" si="1"/>
        <v>4.5700699999999997E-2</v>
      </c>
      <c r="CF16" s="586">
        <v>2.0000000000000001E-9</v>
      </c>
      <c r="CG16" s="586">
        <v>1.0000000000000001E-9</v>
      </c>
      <c r="CH16"/>
      <c r="CI16"/>
    </row>
    <row r="17" spans="1:87" s="36" customFormat="1" ht="15.6">
      <c r="B17" s="285"/>
      <c r="C17" s="211" t="s">
        <v>86</v>
      </c>
      <c r="D17" s="244">
        <f ca="1">F17</f>
        <v>1.8451256238431312E-2</v>
      </c>
      <c r="E17" s="71" t="s">
        <v>15</v>
      </c>
      <c r="F17" s="243">
        <f ca="1">Kappa*SQRT(ENF^2*I17*(mpix/frameTime)*integTime)</f>
        <v>1.8451256238431312E-2</v>
      </c>
      <c r="G17" s="71" t="s">
        <v>15</v>
      </c>
      <c r="H17" s="240">
        <f ca="1">(D17/Kappa)^2/(ENF^2*mpix*(integTime/frameTime))</f>
        <v>2.0749999999999992E-3</v>
      </c>
      <c r="I17" s="288">
        <f>AP32</f>
        <v>2.075E-3</v>
      </c>
      <c r="J17" s="71" t="s">
        <v>87</v>
      </c>
      <c r="K17" s="248"/>
      <c r="L17" s="287"/>
      <c r="M17" s="54"/>
      <c r="N17" s="54"/>
      <c r="O17" s="73"/>
      <c r="P17" s="461"/>
      <c r="Q17" s="296">
        <v>14</v>
      </c>
      <c r="R17" s="295" t="str">
        <v>mu Ara e</v>
      </c>
      <c r="S17" s="315">
        <v>5.12</v>
      </c>
      <c r="T17" s="304">
        <v>344.30803569803697</v>
      </c>
      <c r="U17" s="315">
        <v>7.0019970539290357</v>
      </c>
      <c r="V17" s="260">
        <v>3.1393479432500824</v>
      </c>
      <c r="W17" s="331">
        <v>0.87954853179129999</v>
      </c>
      <c r="X17" s="302">
        <v>0.83977951206611856</v>
      </c>
      <c r="Y17" s="298">
        <v>20.378956220747838</v>
      </c>
      <c r="Z17" s="299">
        <v>248824312.91626349</v>
      </c>
      <c r="AA17" s="298">
        <v>0.78114609498428678</v>
      </c>
      <c r="AB17" s="411">
        <v>3.8452917104131541</v>
      </c>
      <c r="AC17" s="493"/>
      <c r="AD17" s="73"/>
      <c r="AE17" s="69"/>
      <c r="AF17" s="366"/>
      <c r="AG17" s="36" t="s">
        <v>97</v>
      </c>
      <c r="AH17" s="107">
        <f>INDEX(scenarioTable,MATCH(ScenarioSelected,scenarios,0),4)</f>
        <v>0</v>
      </c>
      <c r="AI17" s="71" t="s">
        <v>57</v>
      </c>
      <c r="AJ17" s="155" t="s">
        <v>98</v>
      </c>
      <c r="AK17" s="69"/>
      <c r="AL17" s="64"/>
      <c r="AM17" s="126"/>
      <c r="AN17" s="127">
        <v>11</v>
      </c>
      <c r="AO17" s="137" t="s">
        <v>187</v>
      </c>
      <c r="AP17" s="669">
        <f>INDEX(CGtable,MATCH(AH23,CGcase,0),6)</f>
        <v>0.58514508983843505</v>
      </c>
      <c r="AQ17" s="669"/>
      <c r="AR17" s="135" t="s">
        <v>30</v>
      </c>
      <c r="AS17" s="134" t="s">
        <v>185</v>
      </c>
      <c r="AT17" s="69"/>
      <c r="AU17" s="73"/>
      <c r="AV17" t="s">
        <v>668</v>
      </c>
      <c r="BC17"/>
      <c r="BD17"/>
      <c r="BE17" s="64"/>
      <c r="BF17"/>
      <c r="BG17" s="36" t="s">
        <v>555</v>
      </c>
      <c r="BH17" s="138"/>
      <c r="BP17" s="36" t="s">
        <v>556</v>
      </c>
      <c r="BQ17"/>
      <c r="BX17"/>
      <c r="BY17" s="581">
        <v>5.7</v>
      </c>
      <c r="BZ17" s="586">
        <v>7.1478920999999997E-10</v>
      </c>
      <c r="CA17" s="582">
        <v>2.2880924E-2</v>
      </c>
      <c r="CB17" s="583">
        <f t="shared" si="2"/>
        <v>1.8635060467185033E-9</v>
      </c>
      <c r="CC17" s="583">
        <f t="shared" si="0"/>
        <v>6.9792198989059366E-10</v>
      </c>
      <c r="CD17" s="584">
        <f t="shared" si="3"/>
        <v>2.2880924E-2</v>
      </c>
      <c r="CE17" s="584">
        <f t="shared" si="1"/>
        <v>4.5761848000000001E-2</v>
      </c>
      <c r="CF17" s="586">
        <v>2.0000000000000001E-9</v>
      </c>
      <c r="CG17" s="586">
        <v>1.0000000000000001E-9</v>
      </c>
      <c r="CH17"/>
      <c r="CI17"/>
    </row>
    <row r="18" spans="1:87" s="36" customFormat="1" ht="15.6">
      <c r="B18" s="292"/>
      <c r="C18" s="249"/>
      <c r="D18" s="250"/>
      <c r="E18" s="251"/>
      <c r="F18" s="252"/>
      <c r="G18" s="251"/>
      <c r="H18" s="253"/>
      <c r="I18" s="254"/>
      <c r="J18" s="251"/>
      <c r="K18" s="255"/>
      <c r="L18" s="293"/>
      <c r="M18" s="54"/>
      <c r="N18" s="54"/>
      <c r="O18" s="73"/>
      <c r="P18" s="461"/>
      <c r="Q18" s="296">
        <v>11</v>
      </c>
      <c r="R18" s="295" t="str">
        <v>HD 114613 b</v>
      </c>
      <c r="S18" s="315">
        <v>4.8499999999999996</v>
      </c>
      <c r="T18" s="304">
        <v>256.94258871686679</v>
      </c>
      <c r="U18" s="315">
        <v>5.2252955571511759</v>
      </c>
      <c r="V18" s="260">
        <v>2.5374622562110054</v>
      </c>
      <c r="W18" s="331">
        <v>0.88704489570726552</v>
      </c>
      <c r="X18" s="302">
        <v>0.85134376885031937</v>
      </c>
      <c r="Y18" s="298">
        <v>24.084229712445698</v>
      </c>
      <c r="Z18" s="299">
        <v>319075026.16089648</v>
      </c>
      <c r="AA18" s="298">
        <v>0.80964083578281398</v>
      </c>
      <c r="AB18" s="411">
        <v>3.5677495475923355</v>
      </c>
      <c r="AC18" s="493"/>
      <c r="AD18" s="73"/>
      <c r="AE18" s="69"/>
      <c r="AF18" s="366"/>
      <c r="AG18" s="69" t="s">
        <v>17</v>
      </c>
      <c r="AH18" s="107">
        <f>INDEX(scenarioTable,MATCH(ScenarioSelected,scenarios,0),2)*nm</f>
        <v>5.6499999999999999E-7</v>
      </c>
      <c r="AI18" s="71" t="s">
        <v>21</v>
      </c>
      <c r="AJ18" s="155"/>
      <c r="AK18" s="69"/>
      <c r="AL18" s="64"/>
      <c r="AM18" s="126"/>
      <c r="AN18" s="127">
        <v>12</v>
      </c>
      <c r="AO18" s="487" t="s">
        <v>562</v>
      </c>
      <c r="AP18" s="665">
        <f>INDEX(CGtable,MATCH(AH23,CGcase,0),4)</f>
        <v>1</v>
      </c>
      <c r="AQ18" s="665"/>
      <c r="AR18" s="421"/>
      <c r="AS18" s="134" t="s">
        <v>563</v>
      </c>
      <c r="AT18"/>
      <c r="AU18" s="73"/>
      <c r="AV18"/>
      <c r="AW18" s="172">
        <v>2</v>
      </c>
      <c r="AX18" s="172">
        <v>3</v>
      </c>
      <c r="AY18" s="172">
        <v>4</v>
      </c>
      <c r="AZ18" s="163">
        <v>5</v>
      </c>
      <c r="BA18" s="172">
        <v>6</v>
      </c>
      <c r="BB18" s="172">
        <v>7</v>
      </c>
      <c r="BC18" s="172">
        <v>8</v>
      </c>
      <c r="BD18"/>
      <c r="BE18" s="64"/>
      <c r="BF18"/>
      <c r="BG18" s="138" t="s">
        <v>162</v>
      </c>
      <c r="BH18" s="79"/>
      <c r="BI18" s="79"/>
      <c r="BJ18" s="114"/>
      <c r="BK18" s="79"/>
      <c r="BN18" s="79"/>
      <c r="BP18" s="115" t="s">
        <v>163</v>
      </c>
      <c r="BQ18" s="112"/>
      <c r="BR18" s="112"/>
      <c r="BS18" s="112"/>
      <c r="BT18" s="112"/>
      <c r="BU18" s="112"/>
      <c r="BV18" s="112"/>
      <c r="BW18" s="112"/>
      <c r="BX18"/>
      <c r="BY18" s="581">
        <v>6</v>
      </c>
      <c r="BZ18" s="586">
        <v>8.0231072E-10</v>
      </c>
      <c r="CA18" s="582">
        <v>2.2792243E-2</v>
      </c>
      <c r="CB18" s="583">
        <f t="shared" si="2"/>
        <v>2.0916808160367671E-9</v>
      </c>
      <c r="CC18" s="583">
        <f t="shared" si="0"/>
        <v>7.8337821329585392E-10</v>
      </c>
      <c r="CD18" s="584">
        <f t="shared" si="3"/>
        <v>2.2792243E-2</v>
      </c>
      <c r="CE18" s="584">
        <f t="shared" si="1"/>
        <v>4.5584486E-2</v>
      </c>
      <c r="CF18" s="586">
        <v>2.0000000000000001E-9</v>
      </c>
      <c r="CG18" s="586">
        <v>1.0000000000000001E-9</v>
      </c>
      <c r="CH18"/>
      <c r="CI18"/>
    </row>
    <row r="19" spans="1:87" s="36" customFormat="1" ht="40.200000000000003">
      <c r="B19" s="289" t="s">
        <v>156</v>
      </c>
      <c r="C19" s="211"/>
      <c r="D19" s="246"/>
      <c r="E19" s="71"/>
      <c r="F19" s="241">
        <f ca="1">SQRT(SUMSQ(F20:F22))</f>
        <v>0.28537368368851002</v>
      </c>
      <c r="G19" s="71" t="s">
        <v>15</v>
      </c>
      <c r="H19" s="238"/>
      <c r="I19" s="294"/>
      <c r="J19" s="71"/>
      <c r="K19" s="248"/>
      <c r="L19" s="287"/>
      <c r="M19" s="54"/>
      <c r="N19" s="54"/>
      <c r="O19" s="73"/>
      <c r="P19" s="461"/>
      <c r="Q19" s="296">
        <v>2</v>
      </c>
      <c r="R19" s="295" t="str">
        <v>gamma Cep b</v>
      </c>
      <c r="S19" s="315">
        <v>3.21</v>
      </c>
      <c r="T19" s="304">
        <v>140.35268990192526</v>
      </c>
      <c r="U19" s="315">
        <v>2.8542729745238393</v>
      </c>
      <c r="V19" s="260">
        <v>4.1490848900707764</v>
      </c>
      <c r="W19" s="331">
        <v>-1</v>
      </c>
      <c r="X19" s="302">
        <v>-1</v>
      </c>
      <c r="Y19" s="298">
        <v>116.9503249919552</v>
      </c>
      <c r="Z19" s="299">
        <v>1445083071.5595446</v>
      </c>
      <c r="AA19" s="298">
        <v>5.9957723371047722</v>
      </c>
      <c r="AB19" s="411">
        <v>-1.7446447106508023</v>
      </c>
      <c r="AC19" s="493"/>
      <c r="AD19" s="73"/>
      <c r="AE19" s="69"/>
      <c r="AF19" s="50"/>
      <c r="AG19" s="69" t="s">
        <v>19</v>
      </c>
      <c r="AH19" s="184">
        <f>INDEX(scenarioTable,MATCH(ScenarioSelected,scenarios,0),3)</f>
        <v>0.1</v>
      </c>
      <c r="AI19" s="71"/>
      <c r="AJ19" s="155"/>
      <c r="AK19" s="69"/>
      <c r="AL19" s="64"/>
      <c r="AM19" s="126"/>
      <c r="AN19" s="127">
        <v>13</v>
      </c>
      <c r="AO19" s="132" t="s">
        <v>188</v>
      </c>
      <c r="AP19" s="665">
        <f>INDEX(CGtable,MATCH(AH23,CGcase,0),5)</f>
        <v>0.3</v>
      </c>
      <c r="AQ19" s="665"/>
      <c r="AR19" s="136" t="s">
        <v>189</v>
      </c>
      <c r="AS19" s="134" t="s">
        <v>190</v>
      </c>
      <c r="AT19" s="69"/>
      <c r="AU19" s="73"/>
      <c r="AV19" s="269" t="s">
        <v>445</v>
      </c>
      <c r="AW19" s="266" t="s">
        <v>438</v>
      </c>
      <c r="AX19" s="267" t="s">
        <v>443</v>
      </c>
      <c r="AY19" s="266" t="s">
        <v>439</v>
      </c>
      <c r="AZ19" s="423" t="s">
        <v>440</v>
      </c>
      <c r="BA19" s="268" t="s">
        <v>441</v>
      </c>
      <c r="BB19" s="268" t="s">
        <v>442</v>
      </c>
      <c r="BC19" s="268" t="s">
        <v>446</v>
      </c>
      <c r="BD19"/>
      <c r="BE19" s="64"/>
      <c r="BF19"/>
      <c r="BG19" s="646" t="s">
        <v>164</v>
      </c>
      <c r="BH19" s="646" t="s">
        <v>165</v>
      </c>
      <c r="BI19" s="646" t="s">
        <v>52</v>
      </c>
      <c r="BJ19" s="646" t="s">
        <v>166</v>
      </c>
      <c r="BK19" s="646" t="s">
        <v>167</v>
      </c>
      <c r="BL19" s="646" t="s">
        <v>168</v>
      </c>
      <c r="BM19" s="646" t="s">
        <v>666</v>
      </c>
      <c r="BN19" s="646" t="s">
        <v>169</v>
      </c>
      <c r="BP19" s="647" t="s">
        <v>164</v>
      </c>
      <c r="BQ19" s="647" t="s">
        <v>165</v>
      </c>
      <c r="BR19" s="647" t="s">
        <v>52</v>
      </c>
      <c r="BS19" s="647" t="s">
        <v>166</v>
      </c>
      <c r="BT19" s="647" t="s">
        <v>167</v>
      </c>
      <c r="BU19" s="647" t="s">
        <v>168</v>
      </c>
      <c r="BV19" s="647" t="s">
        <v>666</v>
      </c>
      <c r="BW19" s="647" t="s">
        <v>169</v>
      </c>
      <c r="BX19"/>
      <c r="BY19" s="581">
        <v>6.3</v>
      </c>
      <c r="BZ19" s="586">
        <v>8.8073717999999995E-10</v>
      </c>
      <c r="CA19" s="582">
        <v>2.2734497999999999E-2</v>
      </c>
      <c r="CB19" s="583">
        <f t="shared" si="2"/>
        <v>2.2961441464677435E-9</v>
      </c>
      <c r="CC19" s="583">
        <f t="shared" si="0"/>
        <v>8.5995400691097443E-10</v>
      </c>
      <c r="CD19" s="584">
        <f t="shared" si="3"/>
        <v>2.2734497999999999E-2</v>
      </c>
      <c r="CE19" s="584">
        <f t="shared" si="1"/>
        <v>4.5468995999999998E-2</v>
      </c>
      <c r="CF19" s="586">
        <v>2.0000000000000001E-9</v>
      </c>
      <c r="CG19" s="586">
        <v>1.0000000000000001E-9</v>
      </c>
      <c r="CH19"/>
      <c r="CI19"/>
    </row>
    <row r="20" spans="1:87" s="36" customFormat="1" ht="15.6">
      <c r="B20" s="285"/>
      <c r="C20" s="211" t="s">
        <v>153</v>
      </c>
      <c r="D20" s="246"/>
      <c r="E20" s="71"/>
      <c r="F20" s="243">
        <f ca="1">Kappa*SQRT(I20*integTime)</f>
        <v>0.24929416709295918</v>
      </c>
      <c r="G20" s="71" t="s">
        <v>15</v>
      </c>
      <c r="H20" s="238"/>
      <c r="I20" s="288">
        <f ca="1">ENF^2*pl_convertRate</f>
        <v>1.8759108527529517E-2</v>
      </c>
      <c r="J20" s="71" t="s">
        <v>231</v>
      </c>
      <c r="K20" s="247" t="s">
        <v>453</v>
      </c>
      <c r="L20" s="287"/>
      <c r="M20" s="54"/>
      <c r="N20" s="54"/>
      <c r="O20" s="73"/>
      <c r="P20" s="461"/>
      <c r="Q20" s="296">
        <v>3</v>
      </c>
      <c r="R20" s="295" t="str">
        <v>HD 147513 b</v>
      </c>
      <c r="S20" s="315">
        <v>5.37</v>
      </c>
      <c r="T20" s="304">
        <v>102.48839534646471</v>
      </c>
      <c r="U20" s="315">
        <v>2.0842483121922433</v>
      </c>
      <c r="V20" s="260">
        <v>65.045402676301791</v>
      </c>
      <c r="W20" s="331">
        <v>-1</v>
      </c>
      <c r="X20" s="302">
        <v>-1</v>
      </c>
      <c r="Y20" s="298">
        <v>43.034919319573994</v>
      </c>
      <c r="Z20" s="299">
        <v>197648177.23525763</v>
      </c>
      <c r="AA20" s="298">
        <v>12.856105276504399</v>
      </c>
      <c r="AB20" s="411">
        <v>-1</v>
      </c>
      <c r="AC20" s="493"/>
      <c r="AD20" s="73"/>
      <c r="AE20" s="69"/>
      <c r="AF20" s="50"/>
      <c r="AG20" s="69" t="s">
        <v>135</v>
      </c>
      <c r="AH20" s="107">
        <f>INDEX(scenarioTable,MATCH(ScenarioSelected,scenarios,0),9)</f>
        <v>24</v>
      </c>
      <c r="AI20" s="71" t="s">
        <v>456</v>
      </c>
      <c r="AJ20" s="155" t="s">
        <v>139</v>
      </c>
      <c r="AK20" s="69"/>
      <c r="AL20" s="64"/>
      <c r="AM20" s="126"/>
      <c r="AN20" s="127">
        <v>14</v>
      </c>
      <c r="AO20" s="132" t="s">
        <v>191</v>
      </c>
      <c r="AP20" s="665">
        <f>PI()/4/AP19^2</f>
        <v>8.7266462599716483</v>
      </c>
      <c r="AQ20" s="665"/>
      <c r="AR20" s="136" t="s">
        <v>189</v>
      </c>
      <c r="AS20" s="134" t="s">
        <v>665</v>
      </c>
      <c r="AT20"/>
      <c r="AU20" s="73"/>
      <c r="AV20" s="270">
        <v>300</v>
      </c>
      <c r="AW20" s="264">
        <v>6.3214366698992983E-2</v>
      </c>
      <c r="AX20" s="264">
        <v>0.18976940252794597</v>
      </c>
      <c r="AY20" s="264">
        <v>0.18976940252794597</v>
      </c>
      <c r="AZ20" s="424">
        <v>6.3214366698992983E-2</v>
      </c>
      <c r="BA20" s="264">
        <v>0.29623325373865667</v>
      </c>
      <c r="BB20" s="264">
        <v>0.17538601201928181</v>
      </c>
      <c r="BC20" s="273">
        <v>8.9373833639778771E-2</v>
      </c>
      <c r="BD20"/>
      <c r="BE20" s="64"/>
      <c r="BF20"/>
      <c r="BG20" s="118">
        <v>2.7</v>
      </c>
      <c r="BH20" s="119">
        <v>0.12869900000000001</v>
      </c>
      <c r="BI20" s="120">
        <v>7.2127685999999998E-12</v>
      </c>
      <c r="BJ20" s="120">
        <v>9.2502039000000006E-9</v>
      </c>
      <c r="BK20" s="121">
        <v>5.7534806000000003E-3</v>
      </c>
      <c r="BL20" s="121">
        <v>7.7974158999999995E-4</v>
      </c>
      <c r="BM20" s="121">
        <v>2.0332675999999998E-3</v>
      </c>
      <c r="BN20" s="121">
        <v>4.2041007000000003E-3</v>
      </c>
      <c r="BP20" s="122">
        <v>2.6</v>
      </c>
      <c r="BQ20" s="119">
        <v>0.18102599999999999</v>
      </c>
      <c r="BR20" s="120">
        <v>9.2359934999999993E-12</v>
      </c>
      <c r="BS20" s="120">
        <v>1.3656531999999999E-8</v>
      </c>
      <c r="BT20" s="121">
        <v>1.3935009999999999E-2</v>
      </c>
      <c r="BU20" s="121">
        <v>6.7630594000000002E-4</v>
      </c>
      <c r="BV20" s="121">
        <v>4.5854240000000003E-3</v>
      </c>
      <c r="BW20" s="121">
        <v>9.8632760999999999E-2</v>
      </c>
      <c r="BX20"/>
      <c r="BY20" s="581">
        <v>6.6</v>
      </c>
      <c r="BZ20" s="586">
        <v>9.0166087000000002E-10</v>
      </c>
      <c r="CA20" s="582">
        <v>2.2657623000000002E-2</v>
      </c>
      <c r="CB20" s="583">
        <f t="shared" si="2"/>
        <v>2.3506936867925952E-9</v>
      </c>
      <c r="CC20" s="583">
        <f t="shared" si="0"/>
        <v>8.8038395067111307E-10</v>
      </c>
      <c r="CD20" s="584">
        <f t="shared" si="3"/>
        <v>2.2657623000000002E-2</v>
      </c>
      <c r="CE20" s="584">
        <f t="shared" si="1"/>
        <v>4.5315246000000003E-2</v>
      </c>
      <c r="CF20" s="586">
        <v>2.0000000000000001E-9</v>
      </c>
      <c r="CG20" s="586">
        <v>1.0000000000000001E-9</v>
      </c>
      <c r="CH20"/>
      <c r="CI20"/>
    </row>
    <row r="21" spans="1:87" s="36" customFormat="1">
      <c r="B21" s="285"/>
      <c r="C21" s="211" t="s">
        <v>154</v>
      </c>
      <c r="D21" s="246"/>
      <c r="E21" s="71"/>
      <c r="F21" s="243">
        <f ca="1">Kappa*SQRT(I21*integTime)</f>
        <v>0.11967308618405116</v>
      </c>
      <c r="G21" s="71" t="s">
        <v>15</v>
      </c>
      <c r="H21" s="238"/>
      <c r="I21" s="288">
        <f ca="1">ENF^2*AH32</f>
        <v>4.3229572778372017E-3</v>
      </c>
      <c r="J21" s="71" t="s">
        <v>231</v>
      </c>
      <c r="K21" s="247" t="s">
        <v>453</v>
      </c>
      <c r="L21" s="287"/>
      <c r="M21" s="54"/>
      <c r="N21" s="54"/>
      <c r="O21" s="73"/>
      <c r="P21" s="461"/>
      <c r="Q21" s="296">
        <v>4</v>
      </c>
      <c r="R21" s="295" t="str">
        <v>HD 192310 c</v>
      </c>
      <c r="S21" s="315">
        <v>5.73</v>
      </c>
      <c r="T21" s="304">
        <v>132.82196691207244</v>
      </c>
      <c r="U21" s="315">
        <v>2.7011249363666638</v>
      </c>
      <c r="V21" s="260">
        <v>5.2409602299446147</v>
      </c>
      <c r="W21" s="331">
        <v>-1</v>
      </c>
      <c r="X21" s="302">
        <v>-1</v>
      </c>
      <c r="Y21" s="298">
        <v>28.432739970490708</v>
      </c>
      <c r="Z21" s="299">
        <v>141870733.2996583</v>
      </c>
      <c r="AA21" s="298">
        <v>0.74353887101658833</v>
      </c>
      <c r="AB21" s="411">
        <v>-26.173714462860556</v>
      </c>
      <c r="AC21" s="493"/>
      <c r="AD21" s="73"/>
      <c r="AE21" s="69"/>
      <c r="AF21" s="366"/>
      <c r="AG21" s="36" t="s">
        <v>433</v>
      </c>
      <c r="AH21" s="200">
        <f>INDEX(scenarioTable,MATCH(ScenarioSelected,scenarios,0),10)</f>
        <v>5</v>
      </c>
      <c r="AJ21" s="155"/>
      <c r="AK21" s="69"/>
      <c r="AL21" s="64"/>
      <c r="AM21"/>
      <c r="AN21" s="150"/>
      <c r="AO21" s="77"/>
      <c r="AP21" s="77"/>
      <c r="AQ21" s="71"/>
      <c r="AR21" s="77"/>
      <c r="AS21" s="69"/>
      <c r="AT21"/>
      <c r="AU21" s="73"/>
      <c r="AV21" s="270">
        <v>310</v>
      </c>
      <c r="AW21" s="264">
        <v>9.3186255238026997E-2</v>
      </c>
      <c r="AX21" s="264">
        <v>0.26100779823614034</v>
      </c>
      <c r="AY21" s="264">
        <v>0.26100779823614034</v>
      </c>
      <c r="AZ21" s="424">
        <v>9.3186255238026997E-2</v>
      </c>
      <c r="BA21" s="264">
        <v>0.29408918717564342</v>
      </c>
      <c r="BB21" s="264">
        <v>0.21346726352381448</v>
      </c>
      <c r="BC21" s="273">
        <v>9.9237904303159721E-2</v>
      </c>
      <c r="BD21"/>
      <c r="BE21" s="64"/>
      <c r="BF21"/>
      <c r="BG21" s="118">
        <v>3</v>
      </c>
      <c r="BH21" s="119">
        <v>0.14299899999999999</v>
      </c>
      <c r="BI21" s="120">
        <v>3.8144394999999998E-12</v>
      </c>
      <c r="BJ21" s="120">
        <v>2.7798348000000002E-9</v>
      </c>
      <c r="BK21" s="121">
        <v>1.0177500000000001E-2</v>
      </c>
      <c r="BL21" s="121">
        <v>1.3721821E-3</v>
      </c>
      <c r="BM21" s="121">
        <v>2.0481634000000001E-3</v>
      </c>
      <c r="BN21" s="121">
        <v>0.26489564999999998</v>
      </c>
      <c r="BP21" s="122">
        <v>2.8</v>
      </c>
      <c r="BQ21" s="119">
        <v>0.19495100000000001</v>
      </c>
      <c r="BR21" s="120">
        <v>7.9808018000000003E-12</v>
      </c>
      <c r="BS21" s="120">
        <v>8.2937252999999998E-9</v>
      </c>
      <c r="BT21" s="121">
        <v>1.8033635999999999E-2</v>
      </c>
      <c r="BU21" s="121">
        <v>9.6226985000000004E-4</v>
      </c>
      <c r="BV21" s="121">
        <v>4.5972419999999996E-3</v>
      </c>
      <c r="BW21" s="121">
        <v>0.12764306</v>
      </c>
      <c r="BX21"/>
      <c r="BY21" s="581">
        <v>6.9</v>
      </c>
      <c r="BZ21" s="586">
        <v>8.2665285000000001E-10</v>
      </c>
      <c r="CA21" s="582">
        <v>2.2561621E-2</v>
      </c>
      <c r="CB21" s="583">
        <f t="shared" si="2"/>
        <v>2.1551424713197391E-9</v>
      </c>
      <c r="CC21" s="583">
        <f t="shared" si="0"/>
        <v>8.0714593050548492E-10</v>
      </c>
      <c r="CD21" s="584">
        <f t="shared" si="3"/>
        <v>2.2561621E-2</v>
      </c>
      <c r="CE21" s="584">
        <f t="shared" si="1"/>
        <v>4.5123242000000001E-2</v>
      </c>
      <c r="CF21" s="586">
        <v>2.0000000000000001E-9</v>
      </c>
      <c r="CG21" s="586">
        <v>1.0000000000000001E-9</v>
      </c>
      <c r="CH21"/>
      <c r="CI21"/>
    </row>
    <row r="22" spans="1:87" s="36" customFormat="1">
      <c r="B22" s="285"/>
      <c r="C22" s="211" t="s">
        <v>155</v>
      </c>
      <c r="D22" s="246"/>
      <c r="E22" s="71"/>
      <c r="F22" s="243">
        <f ca="1">Kappa*SQRT(I22*integTime)</f>
        <v>7.0490496086792864E-2</v>
      </c>
      <c r="G22" s="71" t="s">
        <v>15</v>
      </c>
      <c r="H22" s="238"/>
      <c r="I22" s="288">
        <f ca="1">ENF^2*AH31</f>
        <v>1.4998543798055276E-3</v>
      </c>
      <c r="J22" s="71" t="s">
        <v>231</v>
      </c>
      <c r="K22" s="247" t="s">
        <v>453</v>
      </c>
      <c r="L22" s="287"/>
      <c r="M22" s="54"/>
      <c r="N22" s="54"/>
      <c r="O22" s="73"/>
      <c r="P22" s="461"/>
      <c r="Q22" s="296">
        <v>7</v>
      </c>
      <c r="R22" s="295" t="str">
        <v>47 UMa b</v>
      </c>
      <c r="S22" s="315">
        <v>5.03</v>
      </c>
      <c r="T22" s="304">
        <v>149.43790150291221</v>
      </c>
      <c r="U22" s="315">
        <v>3.0390337650626442</v>
      </c>
      <c r="V22" s="260">
        <v>11.205859015139888</v>
      </c>
      <c r="W22" s="331">
        <v>0.93621964410021485</v>
      </c>
      <c r="X22" s="302">
        <v>0.9168389524639674</v>
      </c>
      <c r="Y22" s="298">
        <v>33.939452218857298</v>
      </c>
      <c r="Z22" s="299">
        <v>270329109.33113927</v>
      </c>
      <c r="AA22" s="298">
        <v>3.0292698868530836</v>
      </c>
      <c r="AB22" s="411">
        <v>1.9958651408647816</v>
      </c>
      <c r="AC22" s="493"/>
      <c r="AD22" s="73"/>
      <c r="AE22" s="69"/>
      <c r="AF22" s="366"/>
      <c r="AG22" s="69"/>
      <c r="AH22" s="78"/>
      <c r="AI22" s="71"/>
      <c r="AJ22" s="155"/>
      <c r="AK22" s="69"/>
      <c r="AL22" s="65"/>
      <c r="AM22" s="69"/>
      <c r="AN22" s="150" t="s">
        <v>222</v>
      </c>
      <c r="AO22" s="69"/>
      <c r="AP22" s="69"/>
      <c r="AQ22" s="71"/>
      <c r="AR22" s="60"/>
      <c r="AS22" s="69"/>
      <c r="AT22" s="69"/>
      <c r="AU22" s="73"/>
      <c r="AV22" s="270">
        <v>320</v>
      </c>
      <c r="AW22" s="264">
        <v>0.12257571845667591</v>
      </c>
      <c r="AX22" s="264">
        <v>0.31790471198372589</v>
      </c>
      <c r="AY22" s="264">
        <v>0.31790471198372589</v>
      </c>
      <c r="AZ22" s="424">
        <v>0.12257571845667591</v>
      </c>
      <c r="BA22" s="264">
        <v>0.29698006805778787</v>
      </c>
      <c r="BB22" s="264">
        <v>0.23914033823703626</v>
      </c>
      <c r="BC22" s="273">
        <v>0.11209793941702839</v>
      </c>
      <c r="BD22"/>
      <c r="BE22" s="65"/>
      <c r="BF22"/>
      <c r="BG22" s="118">
        <v>3.3</v>
      </c>
      <c r="BH22" s="119">
        <v>0.15729899999999999</v>
      </c>
      <c r="BI22" s="120">
        <v>1.8536469000000001E-12</v>
      </c>
      <c r="BJ22" s="120">
        <v>8.8589079999999997E-10</v>
      </c>
      <c r="BK22" s="121">
        <v>1.5567096000000001E-2</v>
      </c>
      <c r="BL22" s="121">
        <v>2.0924100999999999E-3</v>
      </c>
      <c r="BM22" s="121">
        <v>2.0556111999999998E-3</v>
      </c>
      <c r="BN22" s="121">
        <v>0.23484168999999999</v>
      </c>
      <c r="BP22" s="122">
        <v>3</v>
      </c>
      <c r="BQ22" s="119">
        <v>0.20887600000000001</v>
      </c>
      <c r="BR22" s="120">
        <v>6.4727158000000003E-12</v>
      </c>
      <c r="BS22" s="120">
        <v>5.3207487000000003E-9</v>
      </c>
      <c r="BT22" s="121">
        <v>2.2090510000000001E-2</v>
      </c>
      <c r="BU22" s="121">
        <v>1.2165047E-3</v>
      </c>
      <c r="BV22" s="121">
        <v>4.6681509999999997E-3</v>
      </c>
      <c r="BW22" s="121">
        <v>0.15635784</v>
      </c>
      <c r="BX22"/>
      <c r="BY22" s="581">
        <v>7.2</v>
      </c>
      <c r="BZ22" s="586">
        <v>7.9334459999999999E-10</v>
      </c>
      <c r="CA22" s="582">
        <v>2.2446489999999999E-2</v>
      </c>
      <c r="CB22" s="583">
        <f t="shared" si="2"/>
        <v>2.0683055067821635E-9</v>
      </c>
      <c r="CC22" s="583">
        <f t="shared" si="0"/>
        <v>7.7462367108333526E-10</v>
      </c>
      <c r="CD22" s="584">
        <f t="shared" si="3"/>
        <v>2.2446489999999999E-2</v>
      </c>
      <c r="CE22" s="584">
        <f t="shared" si="1"/>
        <v>4.4892979999999999E-2</v>
      </c>
      <c r="CF22" s="586">
        <v>2.0000000000000001E-9</v>
      </c>
      <c r="CG22" s="586">
        <v>1.0000000000000001E-9</v>
      </c>
      <c r="CH22"/>
      <c r="CI22"/>
    </row>
    <row r="23" spans="1:87" s="36" customFormat="1">
      <c r="B23" s="285"/>
      <c r="C23" s="211"/>
      <c r="D23" s="246"/>
      <c r="E23" s="71"/>
      <c r="F23" s="242"/>
      <c r="G23" s="71"/>
      <c r="H23" s="238"/>
      <c r="I23" s="294"/>
      <c r="J23" s="71"/>
      <c r="K23" s="248"/>
      <c r="L23" s="287"/>
      <c r="M23" s="54"/>
      <c r="N23" s="54"/>
      <c r="O23" s="73"/>
      <c r="P23" s="461"/>
      <c r="Q23" s="296">
        <v>8</v>
      </c>
      <c r="R23" s="295" t="str">
        <v>HD 10647 b</v>
      </c>
      <c r="S23" s="315">
        <v>5.52</v>
      </c>
      <c r="T23" s="304">
        <v>115.96783166591449</v>
      </c>
      <c r="U23" s="315">
        <v>2.3583719561730261</v>
      </c>
      <c r="V23" s="260">
        <v>18.075780203152789</v>
      </c>
      <c r="W23" s="331">
        <v>-1</v>
      </c>
      <c r="X23" s="302">
        <v>-1</v>
      </c>
      <c r="Y23" s="298">
        <v>34.881383020403497</v>
      </c>
      <c r="Z23" s="299">
        <v>172144365.99309596</v>
      </c>
      <c r="AA23" s="298">
        <v>3.1116437229022926</v>
      </c>
      <c r="AB23" s="411">
        <v>-1</v>
      </c>
      <c r="AC23" s="493"/>
      <c r="AD23" s="73"/>
      <c r="AE23" s="69"/>
      <c r="AF23" s="366"/>
      <c r="AG23" s="69" t="s">
        <v>193</v>
      </c>
      <c r="AH23" s="230" t="str">
        <f>INDEX(scenarioTable,MATCH(ScenarioSelected,scenarios,0),5)</f>
        <v>HLC</v>
      </c>
      <c r="AI23" s="71"/>
      <c r="AJ23" s="155" t="s">
        <v>194</v>
      </c>
      <c r="AK23" s="69"/>
      <c r="AL23" s="65"/>
      <c r="AM23" s="69"/>
      <c r="AN23" s="150"/>
      <c r="AO23" s="69"/>
      <c r="AP23" s="69"/>
      <c r="AQ23" s="71"/>
      <c r="AR23" s="60"/>
      <c r="AS23" s="69"/>
      <c r="AT23" s="69"/>
      <c r="AU23" s="73"/>
      <c r="AV23" s="270">
        <v>330</v>
      </c>
      <c r="AW23" s="264">
        <v>0.15598303147399026</v>
      </c>
      <c r="AX23" s="264">
        <v>0.36617967754564784</v>
      </c>
      <c r="AY23" s="264">
        <v>0.3661796775456479</v>
      </c>
      <c r="AZ23" s="424">
        <v>0.15598303147399026</v>
      </c>
      <c r="BA23" s="264">
        <v>0.29843251182438524</v>
      </c>
      <c r="BB23" s="264">
        <v>0.25477962290907652</v>
      </c>
      <c r="BC23" s="273">
        <v>0.12814643980589793</v>
      </c>
      <c r="BD23"/>
      <c r="BE23" s="65"/>
      <c r="BF23"/>
      <c r="BG23" s="118">
        <v>3.6</v>
      </c>
      <c r="BH23" s="119">
        <v>0.171598</v>
      </c>
      <c r="BI23" s="120">
        <v>1.5890446000000001E-12</v>
      </c>
      <c r="BJ23" s="120">
        <v>6.3911259000000004E-10</v>
      </c>
      <c r="BK23" s="121">
        <v>1.8421678E-2</v>
      </c>
      <c r="BL23" s="121">
        <v>2.4863297E-3</v>
      </c>
      <c r="BM23" s="121">
        <v>2.0556111999999998E-3</v>
      </c>
      <c r="BN23" s="121">
        <v>0.23055136000000001</v>
      </c>
      <c r="BP23" s="122">
        <v>3.2</v>
      </c>
      <c r="BQ23" s="119">
        <v>0.222801</v>
      </c>
      <c r="BR23" s="120">
        <v>4.7216962000000002E-12</v>
      </c>
      <c r="BS23" s="120">
        <v>3.3664205999999998E-9</v>
      </c>
      <c r="BT23" s="121">
        <v>2.5769806999999999E-2</v>
      </c>
      <c r="BU23" s="121">
        <v>1.4025865000000001E-3</v>
      </c>
      <c r="BV23" s="121">
        <v>4.7942108000000004E-3</v>
      </c>
      <c r="BW23" s="121">
        <v>0.18240010000000001</v>
      </c>
      <c r="BX23"/>
      <c r="BY23" s="581">
        <v>7.5</v>
      </c>
      <c r="BZ23" s="586">
        <v>8.5726722E-10</v>
      </c>
      <c r="CA23" s="582">
        <v>2.2441623000000001E-2</v>
      </c>
      <c r="CB23" s="583">
        <f t="shared" si="2"/>
        <v>2.2349563000867927E-9</v>
      </c>
      <c r="CC23" s="583">
        <f t="shared" si="0"/>
        <v>8.3703787869206553E-10</v>
      </c>
      <c r="CD23" s="584">
        <f t="shared" si="3"/>
        <v>2.2441623000000001E-2</v>
      </c>
      <c r="CE23" s="584">
        <f t="shared" si="1"/>
        <v>4.4883246000000002E-2</v>
      </c>
      <c r="CF23" s="586">
        <v>2.0000000000000001E-9</v>
      </c>
      <c r="CG23" s="586">
        <v>1.0000000000000001E-9</v>
      </c>
      <c r="CH23"/>
      <c r="CI23"/>
    </row>
    <row r="24" spans="1:87" s="36" customFormat="1">
      <c r="B24" s="289" t="s">
        <v>226</v>
      </c>
      <c r="C24" s="211"/>
      <c r="D24" s="246"/>
      <c r="E24" s="71"/>
      <c r="F24" s="241">
        <f ca="1">F25</f>
        <v>8.0243892243249904E-2</v>
      </c>
      <c r="G24" s="71"/>
      <c r="H24" s="238"/>
      <c r="I24" s="288"/>
      <c r="J24" s="71"/>
      <c r="K24" s="248"/>
      <c r="L24" s="287"/>
      <c r="M24" s="54"/>
      <c r="N24" s="54"/>
      <c r="O24" s="73"/>
      <c r="P24" s="461"/>
      <c r="Q24" s="296">
        <v>10</v>
      </c>
      <c r="R24" s="295" t="str">
        <v>HD 39091 b</v>
      </c>
      <c r="S24" s="315">
        <v>5.65</v>
      </c>
      <c r="T24" s="304">
        <v>182.72053101588159</v>
      </c>
      <c r="U24" s="315">
        <v>3.7158837064947603</v>
      </c>
      <c r="V24" s="260">
        <v>1.2014829492281485</v>
      </c>
      <c r="W24" s="331">
        <v>-1</v>
      </c>
      <c r="X24" s="302">
        <v>-1</v>
      </c>
      <c r="Y24" s="298">
        <v>23.733487846429345</v>
      </c>
      <c r="Z24" s="299">
        <v>152718909.22923803</v>
      </c>
      <c r="AA24" s="298">
        <v>0.18348916546365079</v>
      </c>
      <c r="AB24" s="411">
        <v>73.726259283766595</v>
      </c>
      <c r="AC24" s="493"/>
      <c r="AD24" s="73"/>
      <c r="AE24" s="69"/>
      <c r="AF24" s="50"/>
      <c r="AG24" s="69" t="s">
        <v>382</v>
      </c>
      <c r="AH24" s="184">
        <f>INDEX(scenarioTable,MATCH(ScenarioSelected,scenarios,0),6)</f>
        <v>0.25</v>
      </c>
      <c r="AI24" s="71" t="s">
        <v>392</v>
      </c>
      <c r="AJ24" s="155" t="s">
        <v>383</v>
      </c>
      <c r="AK24" s="69"/>
      <c r="AL24" s="65"/>
      <c r="AM24" s="69"/>
      <c r="AN24" s="150"/>
      <c r="AQ24" s="71"/>
      <c r="AR24" s="60"/>
      <c r="AS24" s="69"/>
      <c r="AT24" s="69"/>
      <c r="AU24" s="73"/>
      <c r="AV24" s="270">
        <v>340</v>
      </c>
      <c r="AW24" s="264">
        <v>0.20127054103104247</v>
      </c>
      <c r="AX24" s="264">
        <v>0.42134256405356002</v>
      </c>
      <c r="AY24" s="264">
        <v>0.42134256405355996</v>
      </c>
      <c r="AZ24" s="424">
        <v>0.20127054103104247</v>
      </c>
      <c r="BA24" s="264">
        <v>0.30267722711147771</v>
      </c>
      <c r="BB24" s="264">
        <v>0.2648050361137782</v>
      </c>
      <c r="BC24" s="273">
        <v>0.14946334713675347</v>
      </c>
      <c r="BD24"/>
      <c r="BE24" s="65"/>
      <c r="BF24"/>
      <c r="BG24" s="118">
        <v>3.9</v>
      </c>
      <c r="BH24" s="119">
        <v>0.18589800000000001</v>
      </c>
      <c r="BI24" s="120">
        <v>2.1866609E-12</v>
      </c>
      <c r="BJ24" s="120">
        <v>8.2759617000000002E-10</v>
      </c>
      <c r="BK24" s="121">
        <v>1.9613994999999999E-2</v>
      </c>
      <c r="BL24" s="121">
        <v>2.6421833999999999E-3</v>
      </c>
      <c r="BM24" s="121">
        <v>2.0556111999999998E-3</v>
      </c>
      <c r="BN24" s="121">
        <v>0.23373368</v>
      </c>
      <c r="BP24" s="122">
        <v>3.4</v>
      </c>
      <c r="BQ24" s="119">
        <v>0.23672599999999999</v>
      </c>
      <c r="BR24" s="120">
        <v>5.0607030000000002E-12</v>
      </c>
      <c r="BS24" s="120">
        <v>3.3282817000000001E-9</v>
      </c>
      <c r="BT24" s="121">
        <v>2.9071526E-2</v>
      </c>
      <c r="BU24" s="121">
        <v>1.5205151999999999E-3</v>
      </c>
      <c r="BV24" s="121">
        <v>4.9754214E-3</v>
      </c>
      <c r="BW24" s="121">
        <v>0.20576985</v>
      </c>
      <c r="BX24"/>
      <c r="BY24" s="581">
        <v>7.8</v>
      </c>
      <c r="BZ24" s="586">
        <v>8.8959002000000001E-10</v>
      </c>
      <c r="CA24" s="582">
        <v>2.2469386000000001E-2</v>
      </c>
      <c r="CB24" s="583">
        <f t="shared" si="2"/>
        <v>2.319224126747009E-9</v>
      </c>
      <c r="CC24" s="583">
        <f t="shared" si="0"/>
        <v>8.6859794224539708E-10</v>
      </c>
      <c r="CD24" s="584">
        <f t="shared" si="3"/>
        <v>2.2469386000000001E-2</v>
      </c>
      <c r="CE24" s="584">
        <f t="shared" si="1"/>
        <v>4.4938772000000002E-2</v>
      </c>
      <c r="CF24" s="586">
        <v>2.0000000000000001E-9</v>
      </c>
      <c r="CG24" s="586">
        <v>1.0000000000000001E-9</v>
      </c>
      <c r="CH24"/>
      <c r="CI24"/>
    </row>
    <row r="25" spans="1:87" s="36" customFormat="1">
      <c r="B25" s="292"/>
      <c r="C25" s="249"/>
      <c r="D25" s="256"/>
      <c r="E25" s="251"/>
      <c r="F25" s="257">
        <f ca="1">Kappa*(I25*integTime)</f>
        <v>8.0243892243249904E-2</v>
      </c>
      <c r="G25" s="251" t="s">
        <v>15</v>
      </c>
      <c r="H25" s="253"/>
      <c r="I25" s="254">
        <f ca="1">f_pp*AH31</f>
        <v>1.4998543798055278E-4</v>
      </c>
      <c r="J25" s="251" t="s">
        <v>231</v>
      </c>
      <c r="K25" s="255"/>
      <c r="L25" s="293"/>
      <c r="M25" s="54"/>
      <c r="N25" s="54"/>
      <c r="O25" s="73"/>
      <c r="P25" s="461"/>
      <c r="Q25" s="296">
        <v>12</v>
      </c>
      <c r="R25" s="295" t="str">
        <v>HD 128311 c</v>
      </c>
      <c r="S25" s="315">
        <v>7.48</v>
      </c>
      <c r="T25" s="304">
        <v>105.76784182714573</v>
      </c>
      <c r="U25" s="315">
        <v>2.1509405534862718</v>
      </c>
      <c r="V25" s="260">
        <v>19.967551215286242</v>
      </c>
      <c r="W25" s="331">
        <v>-1</v>
      </c>
      <c r="X25" s="302">
        <v>-1</v>
      </c>
      <c r="Y25" s="298">
        <v>20.963653199459731</v>
      </c>
      <c r="Z25" s="299">
        <v>28306932.774980862</v>
      </c>
      <c r="AA25" s="298">
        <v>0.56522012993209514</v>
      </c>
      <c r="AB25" s="411">
        <v>-1</v>
      </c>
      <c r="AC25" s="493"/>
      <c r="AD25" s="73"/>
      <c r="AE25" s="69"/>
      <c r="AF25" s="366"/>
      <c r="AG25" s="36" t="s">
        <v>228</v>
      </c>
      <c r="AH25" s="184">
        <f>INDEX(scenarioTable,MATCH(ScenarioSelected,scenarios,0),7)</f>
        <v>0.1</v>
      </c>
      <c r="AI25" s="71" t="s">
        <v>229</v>
      </c>
      <c r="AJ25" s="155" t="s">
        <v>230</v>
      </c>
      <c r="AK25" s="69"/>
      <c r="AL25" s="65"/>
      <c r="AM25" s="69"/>
      <c r="AN25" s="69"/>
      <c r="AO25" s="274" t="s">
        <v>444</v>
      </c>
      <c r="AP25" s="275" t="str">
        <f>HLOOKUP(CCDQEno,CCDQEcoatings,2)</f>
        <v>Basic Multi2 std Si</v>
      </c>
      <c r="AQ25" s="274"/>
      <c r="AR25" s="276">
        <v>5</v>
      </c>
      <c r="AS25" s="300">
        <v>5</v>
      </c>
      <c r="AT25" s="69"/>
      <c r="AU25" s="73"/>
      <c r="AV25" s="270">
        <v>350</v>
      </c>
      <c r="AW25" s="264">
        <v>0.25986764381769767</v>
      </c>
      <c r="AX25" s="264">
        <v>0.48609446438583587</v>
      </c>
      <c r="AY25" s="264">
        <v>0.48609446438583587</v>
      </c>
      <c r="AZ25" s="424">
        <v>0.25986764381769767</v>
      </c>
      <c r="BA25" s="264">
        <v>0.30629482389284884</v>
      </c>
      <c r="BB25" s="264">
        <v>0.26788085521375082</v>
      </c>
      <c r="BC25" s="273">
        <v>0.17309430293428779</v>
      </c>
      <c r="BD25"/>
      <c r="BE25" s="65"/>
      <c r="BF25"/>
      <c r="BG25" s="118">
        <v>4.2</v>
      </c>
      <c r="BH25" s="119">
        <v>0.20019799999999999</v>
      </c>
      <c r="BI25" s="120">
        <v>2.4631614999999998E-12</v>
      </c>
      <c r="BJ25" s="120">
        <v>8.8488062000000002E-10</v>
      </c>
      <c r="BK25" s="121">
        <v>2.0714155000000001E-2</v>
      </c>
      <c r="BL25" s="121">
        <v>2.7836088000000002E-3</v>
      </c>
      <c r="BM25" s="121">
        <v>2.0630590999999999E-3</v>
      </c>
      <c r="BN25" s="121">
        <v>0.23469693</v>
      </c>
      <c r="BP25" s="122">
        <v>3.6</v>
      </c>
      <c r="BQ25" s="119">
        <v>0.25065100000000001</v>
      </c>
      <c r="BR25" s="120">
        <v>3.5196561000000001E-12</v>
      </c>
      <c r="BS25" s="120">
        <v>2.2051541E-9</v>
      </c>
      <c r="BT25" s="121">
        <v>3.1090871999999999E-2</v>
      </c>
      <c r="BU25" s="121">
        <v>1.5961043E-3</v>
      </c>
      <c r="BV25" s="121">
        <v>5.0345119999999997E-3</v>
      </c>
      <c r="BW25" s="121">
        <v>0.22006289000000001</v>
      </c>
      <c r="BX25"/>
      <c r="BY25" s="581">
        <v>8.1</v>
      </c>
      <c r="BZ25" s="586">
        <v>8.6787230999999997E-10</v>
      </c>
      <c r="CA25" s="582">
        <v>2.2529777000000001E-2</v>
      </c>
      <c r="CB25" s="583">
        <f t="shared" si="2"/>
        <v>2.2626045200997864E-9</v>
      </c>
      <c r="CC25" s="583">
        <f t="shared" si="0"/>
        <v>8.4739271535190931E-10</v>
      </c>
      <c r="CD25" s="584">
        <f t="shared" si="3"/>
        <v>2.2529777000000001E-2</v>
      </c>
      <c r="CE25" s="584">
        <f t="shared" si="1"/>
        <v>4.5059554000000002E-2</v>
      </c>
      <c r="CF25" s="586">
        <v>2.0000000000000001E-9</v>
      </c>
      <c r="CG25" s="586">
        <v>1.0000000000000001E-9</v>
      </c>
      <c r="CH25"/>
      <c r="CI25"/>
    </row>
    <row r="26" spans="1:87" s="36" customFormat="1">
      <c r="B26" s="285"/>
      <c r="C26" s="211"/>
      <c r="D26" s="245"/>
      <c r="E26" s="71"/>
      <c r="F26" s="242"/>
      <c r="G26" s="71"/>
      <c r="H26" s="238"/>
      <c r="I26" s="288"/>
      <c r="J26" s="71"/>
      <c r="K26" s="248"/>
      <c r="L26" s="287"/>
      <c r="M26" s="54"/>
      <c r="N26" s="54"/>
      <c r="O26" s="73"/>
      <c r="P26" s="461"/>
      <c r="Q26" s="296">
        <v>15</v>
      </c>
      <c r="R26" s="295" t="str">
        <v>14 Her b</v>
      </c>
      <c r="S26" s="315">
        <v>6.61</v>
      </c>
      <c r="T26" s="304">
        <v>166.95317937152331</v>
      </c>
      <c r="U26" s="315">
        <v>3.3952320274300147</v>
      </c>
      <c r="V26" s="260">
        <v>6.8300544001785113</v>
      </c>
      <c r="W26" s="331">
        <v>0.54331337160767879</v>
      </c>
      <c r="X26" s="302">
        <v>0.33792650690133497</v>
      </c>
      <c r="Y26" s="298">
        <v>20.601434066458957</v>
      </c>
      <c r="Z26" s="299">
        <v>63080163.963798963</v>
      </c>
      <c r="AA26" s="298">
        <v>0.43084095144492718</v>
      </c>
      <c r="AB26" s="411">
        <v>15.88976383436796</v>
      </c>
      <c r="AC26" s="493"/>
      <c r="AD26" s="73"/>
      <c r="AE26" s="69"/>
      <c r="AF26" s="366"/>
      <c r="AG26" s="69" t="s">
        <v>138</v>
      </c>
      <c r="AH26" s="108">
        <v>100</v>
      </c>
      <c r="AI26" s="71" t="s">
        <v>88</v>
      </c>
      <c r="AJ26" s="54" t="s">
        <v>92</v>
      </c>
      <c r="AK26" s="69"/>
      <c r="AL26" s="65"/>
      <c r="AM26" s="69"/>
      <c r="AN26" s="127"/>
      <c r="AO26" s="128" t="s">
        <v>384</v>
      </c>
      <c r="AP26" s="129" t="s">
        <v>385</v>
      </c>
      <c r="AQ26" s="129" t="s">
        <v>386</v>
      </c>
      <c r="AR26" s="130" t="s">
        <v>411</v>
      </c>
      <c r="AS26" s="131" t="s">
        <v>47</v>
      </c>
      <c r="AT26" s="69"/>
      <c r="AU26" s="73"/>
      <c r="AV26" s="270">
        <v>360</v>
      </c>
      <c r="AW26" s="264">
        <v>0.32973579992312962</v>
      </c>
      <c r="AX26" s="264">
        <v>0.55259590779014356</v>
      </c>
      <c r="AY26" s="264">
        <v>0.55259590779014356</v>
      </c>
      <c r="AZ26" s="424">
        <v>0.32973579992312962</v>
      </c>
      <c r="BA26" s="264">
        <v>0.31988925650265387</v>
      </c>
      <c r="BB26" s="264">
        <v>0.27454194129205128</v>
      </c>
      <c r="BC26" s="273">
        <v>0.20637532855480126</v>
      </c>
      <c r="BD26"/>
      <c r="BE26" s="65"/>
      <c r="BF26"/>
      <c r="BG26" s="118">
        <v>4.5</v>
      </c>
      <c r="BH26" s="119">
        <v>0.21449799999999999</v>
      </c>
      <c r="BI26" s="120">
        <v>2.1464797000000002E-12</v>
      </c>
      <c r="BJ26" s="120">
        <v>7.3746844000000002E-10</v>
      </c>
      <c r="BK26" s="121">
        <v>2.1722156999999999E-2</v>
      </c>
      <c r="BL26" s="121">
        <v>2.9106054999999999E-3</v>
      </c>
      <c r="BM26" s="121">
        <v>2.0779548000000002E-3</v>
      </c>
      <c r="BN26" s="121">
        <v>0.23323099</v>
      </c>
      <c r="BP26" s="122">
        <v>3.8</v>
      </c>
      <c r="BQ26" s="119">
        <v>0.26457599999999998</v>
      </c>
      <c r="BR26" s="120">
        <v>3.3005912000000001E-12</v>
      </c>
      <c r="BS26" s="120">
        <v>1.9867921000000002E-9</v>
      </c>
      <c r="BT26" s="121">
        <v>3.2857351E-2</v>
      </c>
      <c r="BU26" s="121">
        <v>1.6612665E-3</v>
      </c>
      <c r="BV26" s="121">
        <v>5.0905721999999999E-3</v>
      </c>
      <c r="BW26" s="121">
        <v>0.23256613000000001</v>
      </c>
      <c r="BX26"/>
      <c r="BY26" s="585">
        <v>8.4</v>
      </c>
      <c r="BZ26" s="587">
        <v>9.2232331000000004E-10</v>
      </c>
      <c r="CA26" s="582">
        <v>2.1943265E-2</v>
      </c>
      <c r="CB26" s="583">
        <f t="shared" si="2"/>
        <v>2.4045621298822136E-9</v>
      </c>
      <c r="CC26" s="583">
        <f t="shared" si="0"/>
        <v>9.0055880927144787E-10</v>
      </c>
      <c r="CD26" s="584">
        <f t="shared" si="3"/>
        <v>2.1943265E-2</v>
      </c>
      <c r="CE26" s="584">
        <f t="shared" si="1"/>
        <v>4.388653E-2</v>
      </c>
      <c r="CF26" s="586">
        <v>2.0000000000000001E-9</v>
      </c>
      <c r="CG26" s="586">
        <v>1.0000000000000001E-9</v>
      </c>
      <c r="CH26"/>
      <c r="CI26"/>
    </row>
    <row r="27" spans="1:87" s="36" customFormat="1">
      <c r="B27" s="190"/>
      <c r="C27" s="190"/>
      <c r="D27" s="191"/>
      <c r="E27" s="192"/>
      <c r="F27" s="193"/>
      <c r="G27" s="192"/>
      <c r="H27" s="192"/>
      <c r="I27" s="194"/>
      <c r="J27" s="192"/>
      <c r="K27" s="192"/>
      <c r="L27" s="195"/>
      <c r="M27" s="195"/>
      <c r="N27" s="195"/>
      <c r="O27" s="74"/>
      <c r="P27" s="461"/>
      <c r="Q27" s="296">
        <v>16</v>
      </c>
      <c r="R27" s="295" t="str">
        <v>HD 89307 b</v>
      </c>
      <c r="S27" s="315">
        <v>7.02</v>
      </c>
      <c r="T27" s="304">
        <v>100.92255321530008</v>
      </c>
      <c r="U27" s="315">
        <v>2.0524046697192913</v>
      </c>
      <c r="V27" s="260">
        <v>8.6935738330570764</v>
      </c>
      <c r="W27" s="331">
        <v>-1</v>
      </c>
      <c r="X27" s="302">
        <v>-1</v>
      </c>
      <c r="Y27" s="298">
        <v>23.28782488022367</v>
      </c>
      <c r="Z27" s="299">
        <v>43240709.719887674</v>
      </c>
      <c r="AA27" s="298">
        <v>0.37591630254363223</v>
      </c>
      <c r="AB27" s="411">
        <v>-1</v>
      </c>
      <c r="AC27" s="493"/>
      <c r="AD27" s="74"/>
      <c r="AE27" s="69"/>
      <c r="AF27" s="366"/>
      <c r="AH27" s="70"/>
      <c r="AJ27" s="155"/>
      <c r="AK27" s="69"/>
      <c r="AL27" s="64"/>
      <c r="AM27" s="69"/>
      <c r="AN27" s="127"/>
      <c r="AO27" s="196" t="s">
        <v>387</v>
      </c>
      <c r="AP27" s="120">
        <v>0</v>
      </c>
      <c r="AQ27" s="120">
        <f>AP27</f>
        <v>0</v>
      </c>
      <c r="AR27" s="197" t="s">
        <v>87</v>
      </c>
      <c r="AS27" s="198" t="s">
        <v>390</v>
      </c>
      <c r="AT27" s="69"/>
      <c r="AU27" s="74"/>
      <c r="AV27" s="270">
        <v>370</v>
      </c>
      <c r="AW27" s="264">
        <v>0.4325534724014593</v>
      </c>
      <c r="AX27" s="264">
        <v>0.65807804447564322</v>
      </c>
      <c r="AY27" s="264">
        <v>0.65807804447564322</v>
      </c>
      <c r="AZ27" s="424">
        <v>0.4325534724014593</v>
      </c>
      <c r="BA27" s="264">
        <v>0.3500650058670855</v>
      </c>
      <c r="BB27" s="264">
        <v>0.27619901231503191</v>
      </c>
      <c r="BC27" s="273">
        <v>0.25514173556415409</v>
      </c>
      <c r="BD27"/>
      <c r="BE27" s="64"/>
      <c r="BF27"/>
      <c r="BG27" s="118">
        <v>4.8</v>
      </c>
      <c r="BH27" s="119">
        <v>0.228798</v>
      </c>
      <c r="BI27" s="120">
        <v>1.7036882E-12</v>
      </c>
      <c r="BJ27" s="120">
        <v>5.6289506000000001E-10</v>
      </c>
      <c r="BK27" s="121">
        <v>2.2431438000000001E-2</v>
      </c>
      <c r="BL27" s="121">
        <v>3.0266531999999999E-3</v>
      </c>
      <c r="BM27" s="121">
        <v>2.0556111999999998E-3</v>
      </c>
      <c r="BN27" s="121">
        <v>0.23128235999999999</v>
      </c>
      <c r="BP27" s="122">
        <v>4</v>
      </c>
      <c r="BQ27" s="119">
        <v>0.278501</v>
      </c>
      <c r="BR27" s="120">
        <v>2.9093909000000001E-12</v>
      </c>
      <c r="BS27" s="120">
        <v>1.6954474E-9</v>
      </c>
      <c r="BT27" s="121">
        <v>3.4370968000000002E-2</v>
      </c>
      <c r="BU27" s="121">
        <v>1.7160019000000001E-3</v>
      </c>
      <c r="BV27" s="121">
        <v>5.1436023000000003E-3</v>
      </c>
      <c r="BW27" s="121">
        <v>0.24327958999999999</v>
      </c>
      <c r="BX27"/>
      <c r="BY27" s="585">
        <v>8.6999999999999993</v>
      </c>
      <c r="BZ27" s="587">
        <v>1.3854123E-9</v>
      </c>
      <c r="CA27" s="582">
        <v>1.5616425999999999E-2</v>
      </c>
      <c r="CB27" s="583">
        <f t="shared" si="2"/>
        <v>3.6118678935405156E-9</v>
      </c>
      <c r="CC27" s="583">
        <f t="shared" si="0"/>
        <v>1.3527200686687816E-9</v>
      </c>
      <c r="CD27" s="584">
        <f t="shared" si="3"/>
        <v>1.5616425999999999E-2</v>
      </c>
      <c r="CE27" s="584">
        <f t="shared" si="1"/>
        <v>3.1232851999999998E-2</v>
      </c>
      <c r="CF27" s="586">
        <v>2.0000000000000001E-9</v>
      </c>
      <c r="CG27" s="586">
        <v>1.0000000000000001E-9</v>
      </c>
      <c r="CH27"/>
      <c r="CI27"/>
    </row>
    <row r="28" spans="1:87" s="36" customFormat="1">
      <c r="A28" s="73"/>
      <c r="B28" s="73"/>
      <c r="C28" s="73"/>
      <c r="D28" s="201"/>
      <c r="E28" s="202"/>
      <c r="F28" s="206"/>
      <c r="G28" s="202"/>
      <c r="H28" s="73"/>
      <c r="I28" s="207"/>
      <c r="J28" s="202"/>
      <c r="K28" s="202"/>
      <c r="L28" s="65"/>
      <c r="M28" s="65"/>
      <c r="N28" s="65"/>
      <c r="O28" s="74"/>
      <c r="P28" s="461"/>
      <c r="Q28" s="296">
        <v>17</v>
      </c>
      <c r="R28" s="295" t="str">
        <v>55 Cnc d</v>
      </c>
      <c r="S28" s="315">
        <v>5.96</v>
      </c>
      <c r="T28" s="304">
        <v>380.59773172961053</v>
      </c>
      <c r="U28" s="315">
        <v>7.74</v>
      </c>
      <c r="V28" s="260">
        <v>2.745642709646047</v>
      </c>
      <c r="W28" s="331">
        <v>0.55906820855799144</v>
      </c>
      <c r="X28" s="302">
        <v>0.34966053847255518</v>
      </c>
      <c r="Y28" s="298">
        <v>18.324945545252564</v>
      </c>
      <c r="Z28" s="299">
        <v>114787028.52618353</v>
      </c>
      <c r="AA28" s="298">
        <v>0.31516416803484865</v>
      </c>
      <c r="AB28" s="411">
        <v>15.608147076658675</v>
      </c>
      <c r="AC28" s="493"/>
      <c r="AD28" s="74"/>
      <c r="AE28" s="69"/>
      <c r="AF28" s="366" t="s">
        <v>493</v>
      </c>
      <c r="AJ28" s="155"/>
      <c r="AK28" s="69"/>
      <c r="AL28" s="64"/>
      <c r="AM28" s="69"/>
      <c r="AN28" s="127"/>
      <c r="AO28" s="196" t="s">
        <v>388</v>
      </c>
      <c r="AP28" s="231">
        <v>3.0000000000000001E-5</v>
      </c>
      <c r="AQ28" s="231">
        <v>6.9999999999999999E-4</v>
      </c>
      <c r="AR28" s="197" t="s">
        <v>93</v>
      </c>
      <c r="AS28" s="198" t="s">
        <v>390</v>
      </c>
      <c r="AT28" s="69"/>
      <c r="AU28" s="74"/>
      <c r="AV28" s="270">
        <v>380</v>
      </c>
      <c r="AW28" s="264">
        <v>0.55556259068304958</v>
      </c>
      <c r="AX28" s="264">
        <v>0.77809886650287052</v>
      </c>
      <c r="AY28" s="264">
        <v>0.77809886650287052</v>
      </c>
      <c r="AZ28" s="424">
        <v>0.55556259068304958</v>
      </c>
      <c r="BA28" s="264">
        <v>0.41539581141383464</v>
      </c>
      <c r="BB28" s="264">
        <v>0.30634598901998567</v>
      </c>
      <c r="BC28" s="273">
        <v>0.33182195697838057</v>
      </c>
      <c r="BD28"/>
      <c r="BE28" s="64"/>
      <c r="BF28"/>
      <c r="BG28" s="118">
        <v>5.0999999999999996</v>
      </c>
      <c r="BH28" s="119">
        <v>0.24309800000000001</v>
      </c>
      <c r="BI28" s="120">
        <v>1.6154852999999999E-12</v>
      </c>
      <c r="BJ28" s="120">
        <v>5.2406002000000004E-10</v>
      </c>
      <c r="BK28" s="121">
        <v>2.2807502E-2</v>
      </c>
      <c r="BL28" s="121">
        <v>3.0826342E-3</v>
      </c>
      <c r="BM28" s="121">
        <v>2.0481634000000001E-3</v>
      </c>
      <c r="BN28" s="121">
        <v>0.23103845000000001</v>
      </c>
      <c r="BP28" s="122">
        <v>4.2</v>
      </c>
      <c r="BQ28" s="119">
        <v>0.29242600000000002</v>
      </c>
      <c r="BR28" s="120">
        <v>2.41178E-12</v>
      </c>
      <c r="BS28" s="120">
        <v>1.3700878999999999E-9</v>
      </c>
      <c r="BT28" s="121">
        <v>3.5631719999999999E-2</v>
      </c>
      <c r="BU28" s="121">
        <v>1.7603104999999999E-3</v>
      </c>
      <c r="BV28" s="121">
        <v>5.1936020999999999E-3</v>
      </c>
      <c r="BW28" s="121">
        <v>0.25220326999999998</v>
      </c>
      <c r="BX28"/>
      <c r="BY28" s="585">
        <v>9</v>
      </c>
      <c r="BZ28" s="587">
        <v>1.2391286E-9</v>
      </c>
      <c r="CA28" s="582">
        <v>8.7064133000000002E-3</v>
      </c>
      <c r="CB28" s="583">
        <f t="shared" si="2"/>
        <v>3.2304959370635068E-9</v>
      </c>
      <c r="CC28" s="583">
        <f t="shared" si="0"/>
        <v>1.2098882945397923E-9</v>
      </c>
      <c r="CD28" s="584">
        <f t="shared" si="3"/>
        <v>8.7064133000000002E-3</v>
      </c>
      <c r="CE28" s="584">
        <f t="shared" si="1"/>
        <v>1.74128266E-2</v>
      </c>
      <c r="CF28" s="586">
        <v>2.0000000000000001E-9</v>
      </c>
      <c r="CG28" s="586">
        <v>1.0000000000000001E-9</v>
      </c>
      <c r="CH28"/>
      <c r="CI28"/>
    </row>
    <row r="29" spans="1:87" s="36" customFormat="1">
      <c r="B29" s="69"/>
      <c r="C29" s="69"/>
      <c r="D29" s="72"/>
      <c r="E29" s="69"/>
      <c r="F29" s="72"/>
      <c r="G29" s="69"/>
      <c r="H29" s="69"/>
      <c r="I29" s="90"/>
      <c r="J29" s="69"/>
      <c r="K29" s="69"/>
      <c r="L29" s="54"/>
      <c r="M29" s="54"/>
      <c r="N29" s="54"/>
      <c r="O29" s="73"/>
      <c r="P29" s="461"/>
      <c r="Q29" s="296">
        <v>18</v>
      </c>
      <c r="R29" s="295" t="str">
        <v>HD 70642 b</v>
      </c>
      <c r="S29" s="315">
        <v>7.17</v>
      </c>
      <c r="T29" s="304">
        <v>113.32975988415254</v>
      </c>
      <c r="U29" s="315">
        <v>2.3047229880143205</v>
      </c>
      <c r="V29" s="260">
        <v>8.5343319211436022</v>
      </c>
      <c r="W29" s="331">
        <v>-1</v>
      </c>
      <c r="X29" s="302">
        <v>-1</v>
      </c>
      <c r="Y29" s="298">
        <v>21.508305785032185</v>
      </c>
      <c r="Z29" s="299">
        <v>37661083.769882113</v>
      </c>
      <c r="AA29" s="298">
        <v>0.32141218940216815</v>
      </c>
      <c r="AB29" s="411">
        <v>-1</v>
      </c>
      <c r="AC29" s="493"/>
      <c r="AD29" s="73"/>
      <c r="AE29" s="69"/>
      <c r="AF29" s="366"/>
      <c r="AG29" s="69" t="s">
        <v>515</v>
      </c>
      <c r="AH29" s="368">
        <f ca="1">f_SR*planetFlux*Acol*t_pl*QE</f>
        <v>1.8759108527529517E-2</v>
      </c>
      <c r="AI29" s="71" t="s">
        <v>454</v>
      </c>
      <c r="AJ29" s="155" t="s">
        <v>513</v>
      </c>
      <c r="AK29" s="69"/>
      <c r="AL29" s="64"/>
      <c r="AM29" s="69"/>
      <c r="AN29" s="127"/>
      <c r="AO29" s="196" t="s">
        <v>389</v>
      </c>
      <c r="AP29" s="231">
        <v>2E-3</v>
      </c>
      <c r="AQ29" s="231">
        <v>2.3E-3</v>
      </c>
      <c r="AR29" s="197" t="s">
        <v>87</v>
      </c>
      <c r="AS29" s="198" t="s">
        <v>390</v>
      </c>
      <c r="AT29" s="69"/>
      <c r="AU29" s="73"/>
      <c r="AV29" s="270">
        <v>390</v>
      </c>
      <c r="AW29" s="264">
        <v>0.65669504100120479</v>
      </c>
      <c r="AX29" s="264">
        <v>0.85513966571727462</v>
      </c>
      <c r="AY29" s="264">
        <v>0.85513966571727473</v>
      </c>
      <c r="AZ29" s="424">
        <v>0.65669504100120479</v>
      </c>
      <c r="BA29" s="264">
        <v>0.47217264895892946</v>
      </c>
      <c r="BB29" s="264">
        <v>0.3334487985166425</v>
      </c>
      <c r="BC29" s="273">
        <v>0.40743932854243869</v>
      </c>
      <c r="BD29"/>
      <c r="BE29" s="64"/>
      <c r="BF29"/>
      <c r="BG29" s="118">
        <v>5.4</v>
      </c>
      <c r="BH29" s="119">
        <v>0.25739800000000002</v>
      </c>
      <c r="BI29" s="120">
        <v>1.9128573E-12</v>
      </c>
      <c r="BJ29" s="120">
        <v>6.2135042999999998E-10</v>
      </c>
      <c r="BK29" s="121">
        <v>2.2850349999999998E-2</v>
      </c>
      <c r="BL29" s="121">
        <v>3.0785483000000001E-3</v>
      </c>
      <c r="BM29" s="121">
        <v>2.0556111999999998E-3</v>
      </c>
      <c r="BN29" s="121">
        <v>0.23285935999999999</v>
      </c>
      <c r="BP29" s="122">
        <v>4.4000000000000004</v>
      </c>
      <c r="BQ29" s="119">
        <v>0.30635099999999998</v>
      </c>
      <c r="BR29" s="120">
        <v>1.9626469999999998E-12</v>
      </c>
      <c r="BS29" s="120">
        <v>1.0938889999999999E-9</v>
      </c>
      <c r="BT29" s="121">
        <v>3.6639605999999998E-2</v>
      </c>
      <c r="BU29" s="121">
        <v>1.7941921E-3</v>
      </c>
      <c r="BV29" s="121">
        <v>5.2405715E-3</v>
      </c>
      <c r="BW29" s="121">
        <v>0.25933713000000003</v>
      </c>
      <c r="BX29"/>
      <c r="CB29" s="318">
        <f>(2*PI()*0.3)*SUMPRODUCT($BY8:$BY28,CB8:CB28)/(PI()*(($BY28)^2-$BY8^2))</f>
        <v>2.513888888888891E-9</v>
      </c>
      <c r="CC29" s="318">
        <f>(2*PI()*0.3)*SUMPRODUCT($BY7:$BY28,CC7:CC28)/(PI()*(($BY28)^2-$BY7^2))</f>
        <v>1.1181657848324519E-9</v>
      </c>
      <c r="CG29"/>
      <c r="CH29"/>
      <c r="CI29"/>
    </row>
    <row r="30" spans="1:87" s="36" customFormat="1" ht="15">
      <c r="B30" s="69"/>
      <c r="C30" s="204" t="s">
        <v>393</v>
      </c>
      <c r="D30" s="204" t="s">
        <v>504</v>
      </c>
      <c r="E30" s="205" t="s">
        <v>394</v>
      </c>
      <c r="F30" s="205" t="s">
        <v>57</v>
      </c>
      <c r="G30" s="204" t="s">
        <v>425</v>
      </c>
      <c r="H30" s="204" t="s">
        <v>404</v>
      </c>
      <c r="I30" s="205" t="s">
        <v>229</v>
      </c>
      <c r="J30" s="204" t="s">
        <v>405</v>
      </c>
      <c r="K30" s="205" t="s">
        <v>457</v>
      </c>
      <c r="L30" s="205" t="s">
        <v>22</v>
      </c>
      <c r="M30" s="205" t="s">
        <v>258</v>
      </c>
      <c r="N30" s="233"/>
      <c r="O30" s="73"/>
      <c r="P30" s="461"/>
      <c r="Q30" s="296">
        <v>19</v>
      </c>
      <c r="R30" s="295" t="str">
        <v>HD 217107 c</v>
      </c>
      <c r="S30" s="315">
        <v>6.17</v>
      </c>
      <c r="T30" s="304">
        <v>268.62901449179338</v>
      </c>
      <c r="U30" s="315">
        <v>5.4629557636029391</v>
      </c>
      <c r="V30" s="260">
        <v>2.9928098884804561</v>
      </c>
      <c r="W30" s="331">
        <v>0.49585084627431297</v>
      </c>
      <c r="X30" s="302">
        <v>0.28682765913816965</v>
      </c>
      <c r="Y30" s="298">
        <v>19.311083445536571</v>
      </c>
      <c r="Z30" s="299">
        <v>94600365.317512602</v>
      </c>
      <c r="AA30" s="298">
        <v>0.28312090877611534</v>
      </c>
      <c r="AB30" s="411">
        <v>17.116136180683927</v>
      </c>
      <c r="AC30" s="493"/>
      <c r="AD30" s="73"/>
      <c r="AE30" s="69"/>
      <c r="AF30" s="366"/>
      <c r="AG30" s="69" t="s">
        <v>516</v>
      </c>
      <c r="AH30" s="368">
        <f ca="1">f_SR*planetFlux*Acol*t_pl*signalQE</f>
        <v>1.4450167511815621E-2</v>
      </c>
      <c r="AI30" s="71" t="s">
        <v>454</v>
      </c>
      <c r="AJ30" s="155" t="s">
        <v>514</v>
      </c>
      <c r="AK30" s="69"/>
      <c r="AL30" s="64"/>
      <c r="AM30" s="69"/>
      <c r="AN30" s="69"/>
      <c r="AO30" s="196" t="s">
        <v>505</v>
      </c>
      <c r="AP30" s="657">
        <f>AP27+MissionLifeFraction*(AQ27-AP27)</f>
        <v>0</v>
      </c>
      <c r="AQ30" s="657"/>
      <c r="AR30" s="197" t="s">
        <v>87</v>
      </c>
      <c r="AS30" s="198"/>
      <c r="AT30" s="69"/>
      <c r="AU30" s="73"/>
      <c r="AV30" s="270">
        <v>400</v>
      </c>
      <c r="AW30" s="264">
        <v>0.72540286483527272</v>
      </c>
      <c r="AX30" s="264">
        <v>0.89286605888390869</v>
      </c>
      <c r="AY30" s="264">
        <v>0.89286605888390869</v>
      </c>
      <c r="AZ30" s="424">
        <v>0.72540286483527272</v>
      </c>
      <c r="BA30" s="264">
        <v>0.52450775404175465</v>
      </c>
      <c r="BB30" s="264">
        <v>0.36982624846987366</v>
      </c>
      <c r="BC30" s="273">
        <v>0.4765058524341394</v>
      </c>
      <c r="BD30"/>
      <c r="BE30" s="64"/>
      <c r="BF30"/>
      <c r="BG30" s="118">
        <v>5.7</v>
      </c>
      <c r="BH30" s="119">
        <v>0.271698</v>
      </c>
      <c r="BI30" s="120">
        <v>2.2035513000000002E-12</v>
      </c>
      <c r="BJ30" s="120">
        <v>7.1478920999999997E-10</v>
      </c>
      <c r="BK30" s="121">
        <v>2.2880924E-2</v>
      </c>
      <c r="BL30" s="121">
        <v>3.0827988000000001E-3</v>
      </c>
      <c r="BM30" s="121">
        <v>2.0556111999999998E-3</v>
      </c>
      <c r="BN30" s="121">
        <v>0.23450229</v>
      </c>
      <c r="BP30" s="122">
        <v>4.5999999999999996</v>
      </c>
      <c r="BQ30" s="119">
        <v>0.32027600000000001</v>
      </c>
      <c r="BR30" s="120">
        <v>2.0999273E-12</v>
      </c>
      <c r="BS30" s="120">
        <v>1.1552999999999999E-9</v>
      </c>
      <c r="BT30" s="121">
        <v>3.7394627E-2</v>
      </c>
      <c r="BU30" s="121">
        <v>1.8176468000000001E-3</v>
      </c>
      <c r="BV30" s="121">
        <v>5.2845106000000003E-3</v>
      </c>
      <c r="BW30" s="121">
        <v>0.26468121</v>
      </c>
      <c r="BX30"/>
      <c r="CA30"/>
      <c r="CB30" s="637">
        <f>SUMPRODUCT($BY8:$BY28,CB8:CB28)/SUM($BY8:$BY28)</f>
        <v>2.3941798941798961E-9</v>
      </c>
      <c r="CC30" s="637">
        <f>SUMPRODUCT($BY7:$BY28,CC7:CC28)/SUM($BY7:$BY28)</f>
        <v>1.0673400673400676E-9</v>
      </c>
      <c r="CG30"/>
      <c r="CH30"/>
      <c r="CI30"/>
    </row>
    <row r="31" spans="1:87" s="36" customFormat="1">
      <c r="B31" s="69"/>
      <c r="C31" s="306" t="s">
        <v>396</v>
      </c>
      <c r="D31" s="304">
        <v>770</v>
      </c>
      <c r="E31" s="305">
        <v>0.1</v>
      </c>
      <c r="F31" s="304">
        <v>50</v>
      </c>
      <c r="G31" s="203" t="s">
        <v>158</v>
      </c>
      <c r="H31" s="305">
        <v>0.25</v>
      </c>
      <c r="I31" s="305">
        <v>0.2</v>
      </c>
      <c r="J31" s="203" t="s">
        <v>401</v>
      </c>
      <c r="K31" s="304">
        <v>100</v>
      </c>
      <c r="L31" s="304">
        <v>5</v>
      </c>
      <c r="M31" s="203"/>
      <c r="N31" s="234"/>
      <c r="O31" s="73"/>
      <c r="P31" s="461"/>
      <c r="Q31" s="296">
        <v>20</v>
      </c>
      <c r="R31" s="295" t="str">
        <v>HD 154345 b</v>
      </c>
      <c r="S31" s="315">
        <v>6.76</v>
      </c>
      <c r="T31" s="304">
        <v>226.70146487473266</v>
      </c>
      <c r="U31" s="315">
        <v>4.6102989898452869</v>
      </c>
      <c r="V31" s="260">
        <v>4.4664833059962232</v>
      </c>
      <c r="W31" s="331">
        <v>0.11067731208575726</v>
      </c>
      <c r="X31" s="302">
        <v>3.8152852573724583E-2</v>
      </c>
      <c r="Y31" s="298">
        <v>18.983210194106171</v>
      </c>
      <c r="Z31" s="299">
        <v>54940526.060928516</v>
      </c>
      <c r="AA31" s="298">
        <v>0.24539094247378768</v>
      </c>
      <c r="AB31" s="411">
        <v>23.084331538230611</v>
      </c>
      <c r="AC31" s="493"/>
      <c r="AD31" s="73"/>
      <c r="AE31" s="69"/>
      <c r="AF31" s="366"/>
      <c r="AG31" s="36" t="s">
        <v>459</v>
      </c>
      <c r="AH31" s="316">
        <f ca="1">f_SR*starFlux*AH59*AH60*AP20*t_speckle*Acol*QE</f>
        <v>1.4998543798055276E-3</v>
      </c>
      <c r="AI31" s="71" t="s">
        <v>454</v>
      </c>
      <c r="AJ31" s="155" t="s">
        <v>455</v>
      </c>
      <c r="AK31" s="69"/>
      <c r="AL31" s="64"/>
      <c r="AM31" s="69"/>
      <c r="AN31" s="69"/>
      <c r="AO31" s="196" t="s">
        <v>506</v>
      </c>
      <c r="AP31" s="657">
        <f>AP28+MissionLifeFraction*(AQ28-AP28)</f>
        <v>1.975E-4</v>
      </c>
      <c r="AQ31" s="657"/>
      <c r="AR31" s="197" t="s">
        <v>93</v>
      </c>
      <c r="AS31" s="198"/>
      <c r="AT31" s="69"/>
      <c r="AU31" s="73"/>
      <c r="AV31" s="270">
        <v>410</v>
      </c>
      <c r="AW31" s="264">
        <v>0.77962826775307625</v>
      </c>
      <c r="AX31" s="264">
        <v>0.91949744032164005</v>
      </c>
      <c r="AY31" s="264">
        <v>0.91949744032164005</v>
      </c>
      <c r="AZ31" s="424">
        <v>0.77962826775307625</v>
      </c>
      <c r="BA31" s="264">
        <v>0.58109611668050232</v>
      </c>
      <c r="BB31" s="264">
        <v>0.40414610444941229</v>
      </c>
      <c r="BC31" s="273">
        <v>0.54758044060104383</v>
      </c>
      <c r="BD31"/>
      <c r="BE31" s="64"/>
      <c r="BF31"/>
      <c r="BG31" s="118">
        <v>6</v>
      </c>
      <c r="BH31" s="119">
        <v>0.285997</v>
      </c>
      <c r="BI31" s="120">
        <v>2.4651674999999999E-12</v>
      </c>
      <c r="BJ31" s="120">
        <v>8.0231072E-10</v>
      </c>
      <c r="BK31" s="121">
        <v>2.2792243E-2</v>
      </c>
      <c r="BL31" s="121">
        <v>3.0725844999999999E-3</v>
      </c>
      <c r="BM31" s="121">
        <v>2.0556111999999998E-3</v>
      </c>
      <c r="BN31" s="121">
        <v>0.23428544000000001</v>
      </c>
      <c r="BP31" s="122">
        <v>4.8</v>
      </c>
      <c r="BQ31" s="119">
        <v>0.33420100000000003</v>
      </c>
      <c r="BR31" s="120">
        <v>2.6897384000000001E-12</v>
      </c>
      <c r="BS31" s="120">
        <v>1.4692607E-9</v>
      </c>
      <c r="BT31" s="121">
        <v>3.7896784000000003E-2</v>
      </c>
      <c r="BU31" s="121">
        <v>1.8306748000000001E-3</v>
      </c>
      <c r="BV31" s="121">
        <v>5.3254195000000002E-3</v>
      </c>
      <c r="BW31" s="121">
        <v>0.26823551000000001</v>
      </c>
      <c r="BX31"/>
      <c r="BY31"/>
      <c r="BZ31"/>
      <c r="CA31"/>
      <c r="CB31" s="638">
        <f>CB30/CB29</f>
        <v>0.95238095238095233</v>
      </c>
      <c r="CC31" s="638">
        <f>CC30/CC29</f>
        <v>0.95454545454545447</v>
      </c>
      <c r="CD31"/>
      <c r="CE31"/>
      <c r="CF31"/>
      <c r="CG31"/>
      <c r="CH31"/>
      <c r="CI31"/>
    </row>
    <row r="32" spans="1:87" s="36" customFormat="1">
      <c r="B32" s="69"/>
      <c r="C32" s="306" t="s">
        <v>398</v>
      </c>
      <c r="D32" s="304">
        <v>450</v>
      </c>
      <c r="E32" s="305">
        <v>0.1</v>
      </c>
      <c r="F32" s="304">
        <v>0</v>
      </c>
      <c r="G32" s="203" t="s">
        <v>158</v>
      </c>
      <c r="H32" s="305">
        <v>0.25</v>
      </c>
      <c r="I32" s="305">
        <v>0.1</v>
      </c>
      <c r="J32" s="203" t="s">
        <v>397</v>
      </c>
      <c r="K32" s="304">
        <v>24</v>
      </c>
      <c r="L32" s="304">
        <v>5</v>
      </c>
      <c r="M32" s="203"/>
      <c r="N32" s="54"/>
      <c r="O32" s="73"/>
      <c r="P32" s="461"/>
      <c r="Q32" s="296">
        <v>21</v>
      </c>
      <c r="R32" s="295" t="str">
        <v>HD 117207 b</v>
      </c>
      <c r="S32" s="315">
        <v>7.26</v>
      </c>
      <c r="T32" s="304">
        <v>113.09830745001275</v>
      </c>
      <c r="U32" s="315">
        <v>2.3000160712597175</v>
      </c>
      <c r="V32" s="260">
        <v>6.1808902816636104</v>
      </c>
      <c r="W32" s="331">
        <v>-1</v>
      </c>
      <c r="X32" s="302">
        <v>-1</v>
      </c>
      <c r="Y32" s="298">
        <v>21.207172104821616</v>
      </c>
      <c r="Z32" s="299">
        <v>34665128.427748315</v>
      </c>
      <c r="AA32" s="298">
        <v>0.21426135541169053</v>
      </c>
      <c r="AB32" s="411">
        <v>-1</v>
      </c>
      <c r="AC32" s="493"/>
      <c r="AD32" s="73"/>
      <c r="AE32" s="69"/>
      <c r="AF32" s="366"/>
      <c r="AG32" s="36" t="s">
        <v>458</v>
      </c>
      <c r="AH32" s="316">
        <f ca="1">f_SR*SUM(AH55:AH56)</f>
        <v>4.3229572778372017E-3</v>
      </c>
      <c r="AI32" s="71" t="s">
        <v>454</v>
      </c>
      <c r="AJ32" s="155" t="s">
        <v>455</v>
      </c>
      <c r="AK32" s="69"/>
      <c r="AL32" s="64"/>
      <c r="AM32" s="69"/>
      <c r="AN32" s="69"/>
      <c r="AO32" s="196" t="s">
        <v>507</v>
      </c>
      <c r="AP32" s="657">
        <f>AP29+MissionLifeFraction*(AQ29-AP29)</f>
        <v>2.075E-3</v>
      </c>
      <c r="AQ32" s="657"/>
      <c r="AR32" s="197" t="s">
        <v>87</v>
      </c>
      <c r="AS32" s="198"/>
      <c r="AT32" s="69"/>
      <c r="AU32" s="73"/>
      <c r="AV32" s="270">
        <v>420</v>
      </c>
      <c r="AW32" s="264">
        <v>0.80856801234220965</v>
      </c>
      <c r="AX32" s="264">
        <v>0.92423680529390129</v>
      </c>
      <c r="AY32" s="264">
        <v>0.92423680529389518</v>
      </c>
      <c r="AZ32" s="424">
        <v>0.80856801234220421</v>
      </c>
      <c r="BA32" s="264">
        <v>0.61619646700676822</v>
      </c>
      <c r="BB32" s="264">
        <v>0.42059354676525224</v>
      </c>
      <c r="BC32" s="273">
        <v>0.5976817599995512</v>
      </c>
      <c r="BD32"/>
      <c r="BE32" s="64"/>
      <c r="BF32"/>
      <c r="BG32" s="118">
        <v>6.3</v>
      </c>
      <c r="BH32" s="119">
        <v>0.30029699999999998</v>
      </c>
      <c r="BI32" s="120">
        <v>2.7023055999999999E-12</v>
      </c>
      <c r="BJ32" s="120">
        <v>8.8073717999999995E-10</v>
      </c>
      <c r="BK32" s="121">
        <v>2.2734497999999999E-2</v>
      </c>
      <c r="BL32" s="121">
        <v>3.0682315E-3</v>
      </c>
      <c r="BM32" s="121">
        <v>2.0528183000000002E-3</v>
      </c>
      <c r="BN32" s="121">
        <v>0.23311818000000001</v>
      </c>
      <c r="BP32" s="122">
        <v>5</v>
      </c>
      <c r="BQ32" s="119">
        <v>0.34812599999999999</v>
      </c>
      <c r="BR32" s="120">
        <v>3.3944247999999999E-12</v>
      </c>
      <c r="BS32" s="120">
        <v>1.8515626E-9</v>
      </c>
      <c r="BT32" s="121">
        <v>3.8146076000000001E-2</v>
      </c>
      <c r="BU32" s="121">
        <v>1.8332757999999999E-3</v>
      </c>
      <c r="BV32" s="121">
        <v>5.3632979999999999E-3</v>
      </c>
      <c r="BW32" s="121">
        <v>0.27000001000000001</v>
      </c>
      <c r="BX32"/>
      <c r="BY32"/>
      <c r="BZ32"/>
      <c r="CA32"/>
      <c r="CB32"/>
      <c r="CC32"/>
      <c r="CD32"/>
      <c r="CE32"/>
      <c r="CF32"/>
      <c r="CG32"/>
      <c r="CH32"/>
      <c r="CI32"/>
    </row>
    <row r="33" spans="1:87" s="36" customFormat="1" ht="15.6">
      <c r="B33" s="69"/>
      <c r="C33" s="306" t="s">
        <v>399</v>
      </c>
      <c r="D33" s="304">
        <v>565</v>
      </c>
      <c r="E33" s="305">
        <v>0.1</v>
      </c>
      <c r="F33" s="304">
        <v>0</v>
      </c>
      <c r="G33" s="203" t="s">
        <v>158</v>
      </c>
      <c r="H33" s="305">
        <v>0.25</v>
      </c>
      <c r="I33" s="305">
        <v>0.1</v>
      </c>
      <c r="J33" s="203" t="s">
        <v>397</v>
      </c>
      <c r="K33" s="304">
        <v>24</v>
      </c>
      <c r="L33" s="304">
        <v>5</v>
      </c>
      <c r="M33" s="203"/>
      <c r="N33" s="54"/>
      <c r="O33" s="73"/>
      <c r="P33" s="461"/>
      <c r="Q33" s="296">
        <v>22</v>
      </c>
      <c r="R33" s="295" t="str">
        <v>HD 134987 c</v>
      </c>
      <c r="S33" s="315">
        <v>6.47</v>
      </c>
      <c r="T33" s="304">
        <v>222.28764058476187</v>
      </c>
      <c r="U33" s="315">
        <v>4.5205375510444785</v>
      </c>
      <c r="V33" s="260">
        <v>2.2398179413352808</v>
      </c>
      <c r="W33" s="331">
        <v>-1</v>
      </c>
      <c r="X33" s="302">
        <v>-1</v>
      </c>
      <c r="Y33" s="298">
        <v>19.502664375400141</v>
      </c>
      <c r="Z33" s="299">
        <v>71761715.719433621</v>
      </c>
      <c r="AA33" s="298">
        <v>0.16073317836938947</v>
      </c>
      <c r="AB33" s="411">
        <v>53.674361770169384</v>
      </c>
      <c r="AC33" s="493"/>
      <c r="AD33" s="73"/>
      <c r="AE33" s="69"/>
      <c r="AF33" s="366"/>
      <c r="AG33" s="69" t="s">
        <v>532</v>
      </c>
      <c r="AH33" s="361">
        <f ca="1">(pl_convertRate+zo_bkgRate+sp_bkgRate)/mpix</f>
        <v>4.9635689993109688E-3</v>
      </c>
      <c r="AI33" s="71" t="s">
        <v>93</v>
      </c>
      <c r="AJ33" s="155" t="s">
        <v>518</v>
      </c>
      <c r="AK33" s="69"/>
      <c r="AL33" s="64"/>
      <c r="AM33" s="69"/>
      <c r="AN33" s="69"/>
      <c r="AR33" s="71"/>
      <c r="AS33" s="212"/>
      <c r="AT33" s="69"/>
      <c r="AU33" s="73"/>
      <c r="AV33" s="270">
        <v>430</v>
      </c>
      <c r="AW33" s="264">
        <v>0.8261489181247974</v>
      </c>
      <c r="AX33" s="264">
        <v>0.92474167741624369</v>
      </c>
      <c r="AY33" s="264">
        <v>0.9247416774154279</v>
      </c>
      <c r="AZ33" s="424">
        <v>0.82614891812406854</v>
      </c>
      <c r="BA33" s="264">
        <v>0.65509263404529017</v>
      </c>
      <c r="BB33" s="264">
        <v>0.44135806606655026</v>
      </c>
      <c r="BC33" s="273">
        <v>0.64497216056343154</v>
      </c>
      <c r="BD33"/>
      <c r="BE33" s="64"/>
      <c r="BF33"/>
      <c r="BG33" s="118">
        <v>6.6</v>
      </c>
      <c r="BH33" s="119">
        <v>0.31459700000000002</v>
      </c>
      <c r="BI33" s="120">
        <v>2.7617551000000001E-12</v>
      </c>
      <c r="BJ33" s="120">
        <v>9.0166087000000002E-10</v>
      </c>
      <c r="BK33" s="121">
        <v>2.2657623000000002E-2</v>
      </c>
      <c r="BL33" s="121">
        <v>3.0629644000000002E-3</v>
      </c>
      <c r="BM33" s="121">
        <v>2.0481634000000001E-3</v>
      </c>
      <c r="BN33" s="121">
        <v>0.23314329</v>
      </c>
      <c r="BP33" s="122">
        <v>5.2</v>
      </c>
      <c r="BQ33" s="119">
        <v>0.36205100000000001</v>
      </c>
      <c r="BR33" s="120">
        <v>4.3269864999999999E-12</v>
      </c>
      <c r="BS33" s="120">
        <v>2.3703670999999999E-9</v>
      </c>
      <c r="BT33" s="121">
        <v>3.8142503000000001E-2</v>
      </c>
      <c r="BU33" s="121">
        <v>1.8254499999999999E-3</v>
      </c>
      <c r="BV33" s="121">
        <v>5.3981463E-3</v>
      </c>
      <c r="BW33" s="121">
        <v>0.26997472</v>
      </c>
      <c r="BX33"/>
      <c r="BY33" s="593" t="s">
        <v>620</v>
      </c>
      <c r="BZ33" s="588"/>
      <c r="CA33" s="588"/>
      <c r="CB33" s="588"/>
      <c r="CC33" s="588"/>
      <c r="CD33" s="588"/>
      <c r="CE33"/>
      <c r="CF33"/>
      <c r="CG33"/>
      <c r="CH33"/>
      <c r="CI33"/>
    </row>
    <row r="34" spans="1:87" s="36" customFormat="1">
      <c r="B34" s="69"/>
      <c r="C34" s="311" t="s">
        <v>590</v>
      </c>
      <c r="D34" s="312">
        <v>565</v>
      </c>
      <c r="E34" s="313">
        <v>0.1</v>
      </c>
      <c r="F34" s="312">
        <v>0</v>
      </c>
      <c r="G34" s="314" t="s">
        <v>657</v>
      </c>
      <c r="H34" s="313">
        <v>1</v>
      </c>
      <c r="I34" s="313">
        <v>0.2</v>
      </c>
      <c r="J34" s="314" t="s">
        <v>397</v>
      </c>
      <c r="K34" s="312">
        <v>24</v>
      </c>
      <c r="L34" s="312">
        <v>5</v>
      </c>
      <c r="M34" s="314"/>
      <c r="N34" s="234"/>
      <c r="O34" s="73"/>
      <c r="P34" s="461"/>
      <c r="Q34" s="296">
        <v>23</v>
      </c>
      <c r="R34" s="295" t="str">
        <v>HD 87883 b</v>
      </c>
      <c r="S34" s="315">
        <v>7.57</v>
      </c>
      <c r="T34" s="304">
        <v>196.45688883171491</v>
      </c>
      <c r="U34" s="315">
        <v>3.9952322170898857</v>
      </c>
      <c r="V34" s="260">
        <v>2.2500260835674624</v>
      </c>
      <c r="W34" s="331">
        <v>-1</v>
      </c>
      <c r="X34" s="302">
        <v>-1</v>
      </c>
      <c r="Y34" s="298">
        <v>18.449353594167139</v>
      </c>
      <c r="Z34" s="299">
        <v>26055104.150376938</v>
      </c>
      <c r="AA34" s="298">
        <v>5.8624663948414958E-2</v>
      </c>
      <c r="AB34" s="411">
        <v>410.89655714482444</v>
      </c>
      <c r="AC34" s="493"/>
      <c r="AD34" s="73"/>
      <c r="AE34" s="69"/>
      <c r="AF34" s="366"/>
      <c r="AG34" s="69" t="s">
        <v>517</v>
      </c>
      <c r="AH34" s="361">
        <f ca="1">darkCurrent+(pl_convertRate+zo_bkgRate+sp_bkgRate)/mpix</f>
        <v>5.1610689993109686E-3</v>
      </c>
      <c r="AI34" s="71" t="s">
        <v>93</v>
      </c>
      <c r="AJ34" s="155" t="s">
        <v>508</v>
      </c>
      <c r="AK34" s="69"/>
      <c r="AL34" s="64"/>
      <c r="AM34" s="69"/>
      <c r="AN34" s="127"/>
      <c r="AO34" s="199" t="s">
        <v>380</v>
      </c>
      <c r="AP34" s="653">
        <f>VLOOKUP(lambda/nm,QEcurves,CCDQEno)</f>
        <v>0.89522875170242167</v>
      </c>
      <c r="AQ34" s="654"/>
      <c r="AR34" s="197">
        <f>lambda/nm</f>
        <v>565</v>
      </c>
      <c r="AS34" s="198" t="s">
        <v>476</v>
      </c>
      <c r="AT34" s="69"/>
      <c r="AU34" s="73"/>
      <c r="AV34" s="270">
        <v>440</v>
      </c>
      <c r="AW34" s="264">
        <v>0.83740324569596647</v>
      </c>
      <c r="AX34" s="264">
        <v>0.92045150146746724</v>
      </c>
      <c r="AY34" s="264">
        <v>0.92045150146746657</v>
      </c>
      <c r="AZ34" s="424">
        <v>0.83740324569596591</v>
      </c>
      <c r="BA34" s="264">
        <v>0.68872898035010477</v>
      </c>
      <c r="BB34" s="264">
        <v>0.46140107993828222</v>
      </c>
      <c r="BC34" s="273">
        <v>0.68605893711800636</v>
      </c>
      <c r="BD34"/>
      <c r="BE34" s="64"/>
      <c r="BF34"/>
      <c r="BG34" s="118">
        <v>6.9</v>
      </c>
      <c r="BH34" s="119">
        <v>0.32889699999999999</v>
      </c>
      <c r="BI34" s="120">
        <v>2.5268985E-12</v>
      </c>
      <c r="BJ34" s="120">
        <v>8.2665285000000001E-10</v>
      </c>
      <c r="BK34" s="121">
        <v>2.2561621E-2</v>
      </c>
      <c r="BL34" s="121">
        <v>3.0567832000000001E-3</v>
      </c>
      <c r="BM34" s="121">
        <v>2.0416465E-3</v>
      </c>
      <c r="BN34" s="121">
        <v>0.23396890000000001</v>
      </c>
      <c r="BP34" s="122">
        <v>5.4</v>
      </c>
      <c r="BQ34" s="119">
        <v>0.37597599999999998</v>
      </c>
      <c r="BR34" s="120">
        <v>4.0161170000000003E-12</v>
      </c>
      <c r="BS34" s="120">
        <v>2.2222902999999999E-9</v>
      </c>
      <c r="BT34" s="121">
        <v>3.7886064999999997E-2</v>
      </c>
      <c r="BU34" s="121">
        <v>1.8071973000000001E-3</v>
      </c>
      <c r="BV34" s="121">
        <v>5.4299641999999999E-3</v>
      </c>
      <c r="BW34" s="121">
        <v>0.26815963999999998</v>
      </c>
      <c r="BX34"/>
      <c r="BY34" s="588" t="s">
        <v>626</v>
      </c>
      <c r="BZ34" s="588"/>
      <c r="CA34" s="588"/>
      <c r="CB34" s="594" t="s">
        <v>623</v>
      </c>
      <c r="CC34" s="594" t="s">
        <v>624</v>
      </c>
      <c r="CD34" s="588"/>
      <c r="CE34"/>
      <c r="CF34"/>
      <c r="CG34"/>
      <c r="CH34"/>
      <c r="CI34"/>
    </row>
    <row r="35" spans="1:87" s="36" customFormat="1">
      <c r="B35" s="69"/>
      <c r="C35" s="311" t="s">
        <v>591</v>
      </c>
      <c r="D35" s="312">
        <v>565</v>
      </c>
      <c r="E35" s="313">
        <v>0.1</v>
      </c>
      <c r="F35" s="312">
        <v>0</v>
      </c>
      <c r="G35" s="314" t="s">
        <v>658</v>
      </c>
      <c r="H35" s="313">
        <v>0.12</v>
      </c>
      <c r="I35" s="313">
        <v>0.1</v>
      </c>
      <c r="J35" s="314" t="s">
        <v>397</v>
      </c>
      <c r="K35" s="312">
        <v>24</v>
      </c>
      <c r="L35" s="312">
        <v>5</v>
      </c>
      <c r="M35" s="314"/>
      <c r="N35" s="234"/>
      <c r="O35" s="73"/>
      <c r="P35" s="461"/>
      <c r="Q35" s="296">
        <v>24</v>
      </c>
      <c r="R35" s="295" t="str">
        <v>HD 222155 b</v>
      </c>
      <c r="S35" s="315">
        <v>7.12</v>
      </c>
      <c r="T35" s="304">
        <v>104.65713595429625</v>
      </c>
      <c r="U35" s="315">
        <v>2.1283527587120177</v>
      </c>
      <c r="V35" s="260">
        <v>3.3351090684121276</v>
      </c>
      <c r="W35" s="331">
        <v>-1</v>
      </c>
      <c r="X35" s="302">
        <v>-1</v>
      </c>
      <c r="Y35" s="298">
        <v>22.413798106615474</v>
      </c>
      <c r="Z35" s="299">
        <v>39435995.965979941</v>
      </c>
      <c r="AA35" s="298">
        <v>0.13152334776800381</v>
      </c>
      <c r="AB35" s="411">
        <v>-1</v>
      </c>
      <c r="AC35" s="493"/>
      <c r="AD35" s="73"/>
      <c r="AE35" s="69"/>
      <c r="AF35" s="366"/>
      <c r="AG35" s="69" t="s">
        <v>533</v>
      </c>
      <c r="AH35" s="367">
        <f ca="1">frameTime*AH33</f>
        <v>0.49635689993109688</v>
      </c>
      <c r="AI35" s="71" t="s">
        <v>87</v>
      </c>
      <c r="AJ35" s="155" t="s">
        <v>509</v>
      </c>
      <c r="AK35" s="69"/>
      <c r="AL35" s="64"/>
      <c r="AM35" s="69"/>
      <c r="AN35" s="127"/>
      <c r="AO35" s="199" t="s">
        <v>381</v>
      </c>
      <c r="AP35" s="651">
        <v>0.8</v>
      </c>
      <c r="AQ35" s="652"/>
      <c r="AR35" s="197"/>
      <c r="AS35" s="198"/>
      <c r="AT35" s="69"/>
      <c r="AU35" s="73"/>
      <c r="AV35" s="426">
        <v>450</v>
      </c>
      <c r="AW35" s="427">
        <v>0.84571277924507116</v>
      </c>
      <c r="AX35" s="427">
        <v>0.91298538668501994</v>
      </c>
      <c r="AY35" s="427">
        <v>0.91298537158814375</v>
      </c>
      <c r="AZ35" s="441">
        <v>0.84571276526059624</v>
      </c>
      <c r="BA35" s="427">
        <v>0.72083429988061354</v>
      </c>
      <c r="BB35" s="427">
        <v>0.48045746383733218</v>
      </c>
      <c r="BC35" s="428">
        <v>0.72631906701625781</v>
      </c>
      <c r="BD35"/>
      <c r="BE35" s="64"/>
      <c r="BF35"/>
      <c r="BG35" s="118">
        <v>7.2</v>
      </c>
      <c r="BH35" s="119">
        <v>0.34319699999999997</v>
      </c>
      <c r="BI35" s="120">
        <v>2.4194534000000001E-12</v>
      </c>
      <c r="BJ35" s="120">
        <v>7.9334459999999999E-10</v>
      </c>
      <c r="BK35" s="121">
        <v>2.2446489999999999E-2</v>
      </c>
      <c r="BL35" s="121">
        <v>3.0496879E-3</v>
      </c>
      <c r="BM35" s="121">
        <v>2.0332675999999998E-3</v>
      </c>
      <c r="BN35" s="121">
        <v>0.23446711000000001</v>
      </c>
      <c r="BP35" s="122">
        <v>5.6</v>
      </c>
      <c r="BQ35" s="119">
        <v>0.389901</v>
      </c>
      <c r="BR35" s="120">
        <v>4.1078711999999998E-12</v>
      </c>
      <c r="BS35" s="120">
        <v>2.3097161000000002E-9</v>
      </c>
      <c r="BT35" s="121">
        <v>3.7376763E-2</v>
      </c>
      <c r="BU35" s="121">
        <v>1.7785177999999999E-3</v>
      </c>
      <c r="BV35" s="121">
        <v>5.4587519000000003E-3</v>
      </c>
      <c r="BW35" s="121">
        <v>0.26455476999999999</v>
      </c>
      <c r="BX35"/>
      <c r="BY35" s="588"/>
      <c r="BZ35" s="588"/>
      <c r="CA35" s="588"/>
      <c r="CB35" s="595">
        <f>BP10</f>
        <v>4.1944444444444445E-9</v>
      </c>
      <c r="CC35" s="595">
        <f>BQ10</f>
        <v>4.4166666666666673E-9</v>
      </c>
      <c r="CD35" s="588"/>
      <c r="CE35"/>
      <c r="CF35"/>
      <c r="CG35"/>
      <c r="CH35"/>
      <c r="CI35"/>
    </row>
    <row r="36" spans="1:87" s="36" customFormat="1">
      <c r="B36" s="69"/>
      <c r="C36" s="307" t="s">
        <v>631</v>
      </c>
      <c r="D36" s="308">
        <v>660</v>
      </c>
      <c r="E36" s="309">
        <v>0.18</v>
      </c>
      <c r="F36" s="308">
        <v>50</v>
      </c>
      <c r="G36" s="310" t="s">
        <v>651</v>
      </c>
      <c r="H36" s="309">
        <v>0.12</v>
      </c>
      <c r="I36" s="309">
        <v>0.1</v>
      </c>
      <c r="J36" s="310" t="s">
        <v>401</v>
      </c>
      <c r="K36" s="308">
        <v>240</v>
      </c>
      <c r="L36" s="308">
        <v>15</v>
      </c>
      <c r="M36" s="310"/>
      <c r="N36" s="234"/>
      <c r="O36" s="73"/>
      <c r="P36" s="461"/>
      <c r="Q36" s="296">
        <v>25</v>
      </c>
      <c r="R36" s="295" t="str">
        <v>HD 181433 d</v>
      </c>
      <c r="S36" s="315">
        <v>8.3800000000000008</v>
      </c>
      <c r="T36" s="304">
        <v>112.93582529776744</v>
      </c>
      <c r="U36" s="315">
        <v>2.2967117639726942</v>
      </c>
      <c r="V36" s="260">
        <v>8.2283588720543186</v>
      </c>
      <c r="W36" s="331">
        <v>-1</v>
      </c>
      <c r="X36" s="302">
        <v>-1</v>
      </c>
      <c r="Y36" s="298">
        <v>18.847382900140627</v>
      </c>
      <c r="Z36" s="299">
        <v>12356424.3184372</v>
      </c>
      <c r="AA36" s="298">
        <v>0.10167309366748049</v>
      </c>
      <c r="AB36" s="411">
        <v>-1</v>
      </c>
      <c r="AC36" s="493"/>
      <c r="AD36" s="73"/>
      <c r="AE36" s="69"/>
      <c r="AF36" s="50"/>
      <c r="AH36" s="363">
        <f ca="1">AH34*3600</f>
        <v>18.579848397519488</v>
      </c>
      <c r="AI36" s="102">
        <f ca="1">pl_convertRate/mpix</f>
        <v>3.7878297887453294E-3</v>
      </c>
      <c r="AJ36" s="155">
        <f>mpix</f>
        <v>4.9524687152701317</v>
      </c>
      <c r="AK36" s="69"/>
      <c r="AL36" s="64"/>
      <c r="AM36" s="69"/>
      <c r="AN36" s="127"/>
      <c r="AO36" s="199" t="s">
        <v>510</v>
      </c>
      <c r="AP36" s="655">
        <f ca="1">MIN(1,1+MissionLifeFraction*0.51296*(LOG10(AH35)+0.0147233))</f>
        <v>0.96287674668878809</v>
      </c>
      <c r="AQ36" s="656"/>
      <c r="AR36" s="197" t="s">
        <v>511</v>
      </c>
      <c r="AS36" s="198" t="s">
        <v>512</v>
      </c>
      <c r="AT36" s="69"/>
      <c r="AU36" s="73"/>
      <c r="AV36" s="270">
        <v>460</v>
      </c>
      <c r="AW36" s="264">
        <v>0.85434754416029024</v>
      </c>
      <c r="AX36" s="264">
        <v>0.90598168851314476</v>
      </c>
      <c r="AY36" s="264">
        <v>0.90598155581086615</v>
      </c>
      <c r="AZ36" s="424">
        <v>0.85434741902104372</v>
      </c>
      <c r="BA36" s="264">
        <v>0.74886417045607756</v>
      </c>
      <c r="BB36" s="264">
        <v>0.50083022532697818</v>
      </c>
      <c r="BC36" s="273">
        <v>0.762988022326061</v>
      </c>
      <c r="BD36"/>
      <c r="BE36" s="64"/>
      <c r="BF36"/>
      <c r="BG36" s="118">
        <v>7.5</v>
      </c>
      <c r="BH36" s="119">
        <v>0.35749700000000001</v>
      </c>
      <c r="BI36" s="120">
        <v>2.6104838999999998E-12</v>
      </c>
      <c r="BJ36" s="120">
        <v>8.5726722E-10</v>
      </c>
      <c r="BK36" s="121">
        <v>2.2441623000000001E-2</v>
      </c>
      <c r="BL36" s="121">
        <v>3.0451227000000002E-3</v>
      </c>
      <c r="BM36" s="121">
        <v>2.0369915999999999E-3</v>
      </c>
      <c r="BN36" s="121">
        <v>0.23391036000000001</v>
      </c>
      <c r="BP36" s="122">
        <v>5.8</v>
      </c>
      <c r="BQ36" s="119">
        <v>0.40382600000000002</v>
      </c>
      <c r="BR36" s="120">
        <v>4.1775061000000002E-12</v>
      </c>
      <c r="BS36" s="120">
        <v>2.4016781000000001E-9</v>
      </c>
      <c r="BT36" s="121">
        <v>3.6614594E-2</v>
      </c>
      <c r="BU36" s="121">
        <v>1.7394113000000001E-3</v>
      </c>
      <c r="BV36" s="121">
        <v>5.4845092999999999E-3</v>
      </c>
      <c r="BW36" s="121">
        <v>0.2591601</v>
      </c>
      <c r="BX36"/>
      <c r="BY36" s="596" t="s">
        <v>164</v>
      </c>
      <c r="BZ36" s="596" t="s">
        <v>166</v>
      </c>
      <c r="CA36" s="596" t="s">
        <v>630</v>
      </c>
      <c r="CB36" s="596" t="s">
        <v>627</v>
      </c>
      <c r="CC36" s="596" t="s">
        <v>628</v>
      </c>
      <c r="CD36" s="596" t="s">
        <v>629</v>
      </c>
      <c r="CE36"/>
      <c r="CF36"/>
      <c r="CG36"/>
      <c r="CH36"/>
      <c r="CI36"/>
    </row>
    <row r="37" spans="1:87" s="36" customFormat="1">
      <c r="B37" s="69"/>
      <c r="C37" s="357" t="s">
        <v>632</v>
      </c>
      <c r="D37" s="358">
        <v>770</v>
      </c>
      <c r="E37" s="359">
        <v>0.18</v>
      </c>
      <c r="F37" s="358">
        <v>50</v>
      </c>
      <c r="G37" s="360" t="s">
        <v>652</v>
      </c>
      <c r="H37" s="359">
        <v>0.12</v>
      </c>
      <c r="I37" s="359">
        <v>0.1</v>
      </c>
      <c r="J37" s="360" t="s">
        <v>401</v>
      </c>
      <c r="K37" s="358">
        <v>240</v>
      </c>
      <c r="L37" s="358">
        <v>15</v>
      </c>
      <c r="M37" s="360"/>
      <c r="N37" s="54"/>
      <c r="O37" s="73"/>
      <c r="P37" s="461"/>
      <c r="Q37" s="296">
        <v>26</v>
      </c>
      <c r="R37" s="295" t="str">
        <v>HD 24040 b</v>
      </c>
      <c r="S37" s="315">
        <v>7.5</v>
      </c>
      <c r="T37" s="304">
        <v>105.67090034890799</v>
      </c>
      <c r="U37" s="315">
        <v>2.1489691096782639</v>
      </c>
      <c r="V37" s="260">
        <v>2.4662718786131452</v>
      </c>
      <c r="W37" s="331">
        <v>-1</v>
      </c>
      <c r="X37" s="302">
        <v>-1</v>
      </c>
      <c r="Y37" s="298">
        <v>20.907243460432021</v>
      </c>
      <c r="Z37" s="299">
        <v>27790273.025042474</v>
      </c>
      <c r="AA37" s="298">
        <v>6.8538368860643725E-2</v>
      </c>
      <c r="AB37" s="411">
        <v>-1</v>
      </c>
      <c r="AC37" s="493"/>
      <c r="AD37" s="73"/>
      <c r="AE37" s="69"/>
      <c r="AF37" s="366" t="s">
        <v>378</v>
      </c>
      <c r="AH37" s="67"/>
      <c r="AI37" s="102">
        <f>mpix</f>
        <v>4.9524687152701317</v>
      </c>
      <c r="AJ37" s="155"/>
      <c r="AK37" s="69"/>
      <c r="AL37" s="64"/>
      <c r="AM37" s="69"/>
      <c r="AN37" s="77"/>
      <c r="AO37" s="196" t="s">
        <v>502</v>
      </c>
      <c r="AP37" s="650">
        <f ca="1">PRODUCT(AP34:AQ36)</f>
        <v>0.68959595838519416</v>
      </c>
      <c r="AQ37" s="650"/>
      <c r="AR37" s="364"/>
      <c r="AS37" s="198" t="s">
        <v>503</v>
      </c>
      <c r="AT37" s="69"/>
      <c r="AU37" s="73"/>
      <c r="AV37" s="270">
        <v>470</v>
      </c>
      <c r="AW37" s="264">
        <v>0.86389784190059771</v>
      </c>
      <c r="AX37" s="264">
        <v>0.89975264661534438</v>
      </c>
      <c r="AY37" s="264">
        <v>0.89975146086725744</v>
      </c>
      <c r="AZ37" s="424">
        <v>0.86389670340412617</v>
      </c>
      <c r="BA37" s="264">
        <v>0.77507511397693396</v>
      </c>
      <c r="BB37" s="264">
        <v>0.52340520584463357</v>
      </c>
      <c r="BC37" s="273">
        <v>0.79829983712831687</v>
      </c>
      <c r="BD37"/>
      <c r="BE37" s="64"/>
      <c r="BF37"/>
      <c r="BG37" s="118">
        <v>7.8</v>
      </c>
      <c r="BH37" s="119">
        <v>0.37179699999999999</v>
      </c>
      <c r="BI37" s="120">
        <v>2.7052620000000001E-12</v>
      </c>
      <c r="BJ37" s="120">
        <v>8.8959002000000001E-10</v>
      </c>
      <c r="BK37" s="121">
        <v>2.2469386000000001E-2</v>
      </c>
      <c r="BL37" s="121">
        <v>3.0410210000000001E-3</v>
      </c>
      <c r="BM37" s="121">
        <v>2.0444394E-3</v>
      </c>
      <c r="BN37" s="121">
        <v>0.23296341000000001</v>
      </c>
      <c r="BP37" s="122">
        <v>6</v>
      </c>
      <c r="BQ37" s="119">
        <v>0.41775099999999998</v>
      </c>
      <c r="BR37" s="120">
        <v>4.5605815000000004E-12</v>
      </c>
      <c r="BS37" s="120">
        <v>2.6987635000000002E-9</v>
      </c>
      <c r="BT37" s="121">
        <v>3.5599563000000001E-2</v>
      </c>
      <c r="BU37" s="121">
        <v>1.6898780999999999E-3</v>
      </c>
      <c r="BV37" s="121">
        <v>5.5072363000000001E-3</v>
      </c>
      <c r="BW37" s="121">
        <v>0.25197565</v>
      </c>
      <c r="BX37"/>
      <c r="BY37" s="597">
        <v>3</v>
      </c>
      <c r="BZ37" s="598">
        <v>5.3207487000000003E-9</v>
      </c>
      <c r="CA37" s="599">
        <v>2.2090510000000001E-2</v>
      </c>
      <c r="CB37" s="598">
        <f t="shared" ref="CB37:CB67" si="4">BZ37*$CB$35/$BZ$68</f>
        <v>4.5740872455552217E-9</v>
      </c>
      <c r="CC37" s="598">
        <f t="shared" ref="CC37:CC67" si="5">BZ37*$CC$35/$BZ$68</f>
        <v>4.8164229936641075E-9</v>
      </c>
      <c r="CD37" s="599">
        <f t="shared" ref="CD37:CD67" si="6">2*CA37</f>
        <v>4.4181020000000001E-2</v>
      </c>
      <c r="CE37"/>
      <c r="CF37"/>
      <c r="CG37"/>
      <c r="CH37"/>
      <c r="CI37"/>
    </row>
    <row r="38" spans="1:87" s="36" customFormat="1">
      <c r="B38" s="69"/>
      <c r="C38" s="306" t="s">
        <v>400</v>
      </c>
      <c r="D38" s="304">
        <v>660</v>
      </c>
      <c r="E38" s="305">
        <v>0.18</v>
      </c>
      <c r="F38" s="304">
        <v>50</v>
      </c>
      <c r="G38" s="203" t="s">
        <v>160</v>
      </c>
      <c r="H38" s="305">
        <v>0.25</v>
      </c>
      <c r="I38" s="305">
        <v>0.1</v>
      </c>
      <c r="J38" s="203" t="s">
        <v>401</v>
      </c>
      <c r="K38" s="304">
        <v>50</v>
      </c>
      <c r="L38" s="304">
        <v>15</v>
      </c>
      <c r="M38" s="203"/>
      <c r="N38" s="234"/>
      <c r="O38" s="73"/>
      <c r="P38" s="461"/>
      <c r="Q38" s="296">
        <v>27</v>
      </c>
      <c r="R38" s="295" t="str">
        <v>HD 13931 b</v>
      </c>
      <c r="S38" s="315">
        <v>7.61</v>
      </c>
      <c r="T38" s="304">
        <v>116.42652036587441</v>
      </c>
      <c r="U38" s="315">
        <v>2.3677000478606876</v>
      </c>
      <c r="V38" s="260">
        <v>2.7282122591434446</v>
      </c>
      <c r="W38" s="331">
        <v>-1</v>
      </c>
      <c r="X38" s="302">
        <v>-1</v>
      </c>
      <c r="Y38" s="298">
        <v>20.045167876727842</v>
      </c>
      <c r="Z38" s="299">
        <v>25112665.59367865</v>
      </c>
      <c r="AA38" s="298">
        <v>6.8512682132443881E-2</v>
      </c>
      <c r="AB38" s="411">
        <v>-1</v>
      </c>
      <c r="AC38" s="493"/>
      <c r="AD38" s="73"/>
      <c r="AE38" s="69"/>
      <c r="AF38" s="366"/>
      <c r="AG38" s="36" t="s">
        <v>134</v>
      </c>
      <c r="AH38" s="106">
        <f>AH12*(AH13*R_jupiter/(AH11*AU))^2</f>
        <v>7.7310017580866083E-9</v>
      </c>
      <c r="AJ38" s="155"/>
      <c r="AK38" s="69"/>
      <c r="AL38" s="64"/>
      <c r="AM38" s="69"/>
      <c r="AN38" s="127"/>
      <c r="AR38" s="71"/>
      <c r="AS38" s="212"/>
      <c r="AT38" s="69"/>
      <c r="AU38" s="73"/>
      <c r="AV38" s="270">
        <v>480</v>
      </c>
      <c r="AW38" s="264">
        <v>0.87319232335391705</v>
      </c>
      <c r="AX38" s="264">
        <v>0.89582365786848928</v>
      </c>
      <c r="AY38" s="264">
        <v>0.89581866435877366</v>
      </c>
      <c r="AZ38" s="424">
        <v>0.87318745599602576</v>
      </c>
      <c r="BA38" s="264">
        <v>0.79994779770400049</v>
      </c>
      <c r="BB38" s="264">
        <v>0.54784917544607237</v>
      </c>
      <c r="BC38" s="273">
        <v>0.8300017916647584</v>
      </c>
      <c r="BD38"/>
      <c r="BE38" s="64"/>
      <c r="BF38"/>
      <c r="BG38" s="118">
        <v>8.1</v>
      </c>
      <c r="BH38" s="119">
        <v>0.38609700000000002</v>
      </c>
      <c r="BI38" s="120">
        <v>2.6360607E-12</v>
      </c>
      <c r="BJ38" s="120">
        <v>8.6787230999999997E-10</v>
      </c>
      <c r="BK38" s="121">
        <v>2.2529777000000001E-2</v>
      </c>
      <c r="BL38" s="121">
        <v>3.0373830999999999E-3</v>
      </c>
      <c r="BM38" s="121">
        <v>2.0556111999999998E-3</v>
      </c>
      <c r="BN38" s="121">
        <v>0.23301899000000001</v>
      </c>
      <c r="BP38" s="122">
        <v>6.2</v>
      </c>
      <c r="BQ38" s="119">
        <v>0.43167699999999998</v>
      </c>
      <c r="BR38" s="120">
        <v>5.1237215000000004E-12</v>
      </c>
      <c r="BS38" s="120">
        <v>3.0374616000000001E-9</v>
      </c>
      <c r="BT38" s="121">
        <v>3.5502841E-2</v>
      </c>
      <c r="BU38" s="121">
        <v>1.6868432E-3</v>
      </c>
      <c r="BV38" s="121">
        <v>5.5010049999999998E-3</v>
      </c>
      <c r="BW38" s="121">
        <v>0.25129105000000002</v>
      </c>
      <c r="BX38"/>
      <c r="BY38" s="597">
        <v>3.2</v>
      </c>
      <c r="BZ38" s="598">
        <v>3.3664205999999998E-9</v>
      </c>
      <c r="CA38" s="599">
        <v>2.5769806999999999E-2</v>
      </c>
      <c r="CB38" s="598">
        <f t="shared" si="4"/>
        <v>2.8940102977677469E-9</v>
      </c>
      <c r="CC38" s="598">
        <f t="shared" si="5"/>
        <v>3.0473353466561051E-9</v>
      </c>
      <c r="CD38" s="599">
        <f t="shared" si="6"/>
        <v>5.1539613999999997E-2</v>
      </c>
      <c r="CE38"/>
      <c r="CF38"/>
      <c r="CG38"/>
      <c r="CH38"/>
      <c r="CI38"/>
    </row>
    <row r="39" spans="1:87" s="36" customFormat="1">
      <c r="B39" s="69"/>
      <c r="C39" s="306" t="s">
        <v>402</v>
      </c>
      <c r="D39" s="304">
        <v>770</v>
      </c>
      <c r="E39" s="305">
        <v>0.18</v>
      </c>
      <c r="F39" s="304">
        <v>50</v>
      </c>
      <c r="G39" s="203" t="s">
        <v>160</v>
      </c>
      <c r="H39" s="305">
        <v>0.25</v>
      </c>
      <c r="I39" s="305">
        <v>0.1</v>
      </c>
      <c r="J39" s="203" t="s">
        <v>401</v>
      </c>
      <c r="K39" s="304">
        <v>200</v>
      </c>
      <c r="L39" s="304">
        <v>15</v>
      </c>
      <c r="M39" s="203"/>
      <c r="N39" s="234"/>
      <c r="O39" s="73"/>
      <c r="P39" s="461"/>
      <c r="Q39" s="296">
        <v>28</v>
      </c>
      <c r="R39" s="295" t="str">
        <v>HD 187123 c</v>
      </c>
      <c r="S39" s="315">
        <v>7.83</v>
      </c>
      <c r="T39" s="304">
        <v>100.10823823118055</v>
      </c>
      <c r="U39" s="315">
        <v>2.0358444081842517</v>
      </c>
      <c r="V39" s="260">
        <v>3.2337233405951604</v>
      </c>
      <c r="W39" s="331">
        <v>-1</v>
      </c>
      <c r="X39" s="302">
        <v>-1</v>
      </c>
      <c r="Y39" s="298">
        <v>20.307525373251018</v>
      </c>
      <c r="Z39" s="299">
        <v>20506560.021621473</v>
      </c>
      <c r="AA39" s="298">
        <v>6.6312541777232961E-2</v>
      </c>
      <c r="AB39" s="411">
        <v>-1</v>
      </c>
      <c r="AC39" s="493"/>
      <c r="AD39" s="73"/>
      <c r="AE39" s="69"/>
      <c r="AF39" s="366"/>
      <c r="AG39" s="69" t="s">
        <v>461</v>
      </c>
      <c r="AH39" s="72">
        <f>((AH11*AU)/(AH9*pc))/(lambda/D_PM)</f>
        <v>5.1655432278006632</v>
      </c>
      <c r="AI39" s="71"/>
      <c r="AJ39" s="155" t="s">
        <v>128</v>
      </c>
      <c r="AK39" s="69"/>
      <c r="AL39" s="66"/>
      <c r="AM39" s="69"/>
      <c r="AN39" s="77"/>
      <c r="AO39" s="69"/>
      <c r="AP39" s="69"/>
      <c r="AQ39" s="71"/>
      <c r="AR39" s="60"/>
      <c r="AS39" s="69"/>
      <c r="AT39" s="69"/>
      <c r="AU39" s="73"/>
      <c r="AV39" s="270">
        <v>490</v>
      </c>
      <c r="AW39" s="264">
        <v>0.88168163071002581</v>
      </c>
      <c r="AX39" s="264">
        <v>0.89350546239281792</v>
      </c>
      <c r="AY39" s="264">
        <v>0.89349518540919171</v>
      </c>
      <c r="AZ39" s="424">
        <v>0.88167148972257403</v>
      </c>
      <c r="BA39" s="264">
        <v>0.82237974975538219</v>
      </c>
      <c r="BB39" s="264">
        <v>0.5724896499728781</v>
      </c>
      <c r="BC39" s="273">
        <v>0.85720374199405713</v>
      </c>
      <c r="BD39"/>
      <c r="BE39" s="66"/>
      <c r="BF39"/>
      <c r="BG39" s="118">
        <v>8.4</v>
      </c>
      <c r="BH39" s="119">
        <v>0.40039599999999997</v>
      </c>
      <c r="BI39" s="120">
        <v>2.8009274E-12</v>
      </c>
      <c r="BJ39" s="120">
        <v>9.2232331000000004E-10</v>
      </c>
      <c r="BK39" s="121">
        <v>2.1943265E-2</v>
      </c>
      <c r="BL39" s="121">
        <v>3.0368172999999999E-3</v>
      </c>
      <c r="BM39" s="121">
        <v>1.9885794E-3</v>
      </c>
      <c r="BN39" s="121">
        <v>0.23387306999999999</v>
      </c>
      <c r="BP39" s="122">
        <v>6.4</v>
      </c>
      <c r="BQ39" s="119">
        <v>0.445602</v>
      </c>
      <c r="BR39" s="120">
        <v>4.5031251E-12</v>
      </c>
      <c r="BS39" s="120">
        <v>2.6770230000000001E-9</v>
      </c>
      <c r="BT39" s="121">
        <v>3.5333435000000003E-2</v>
      </c>
      <c r="BU39" s="121">
        <v>1.6821392000000001E-3</v>
      </c>
      <c r="BV39" s="121">
        <v>5.4877544000000002E-3</v>
      </c>
      <c r="BW39" s="121">
        <v>0.25009198999999999</v>
      </c>
      <c r="BX39"/>
      <c r="BY39" s="597">
        <v>3.4</v>
      </c>
      <c r="BZ39" s="598">
        <v>3.3282817000000001E-9</v>
      </c>
      <c r="CA39" s="599">
        <v>2.9071526E-2</v>
      </c>
      <c r="CB39" s="598">
        <f t="shared" si="4"/>
        <v>2.8612234352629453E-9</v>
      </c>
      <c r="CC39" s="598">
        <f t="shared" si="5"/>
        <v>3.0128114318331679E-9</v>
      </c>
      <c r="CD39" s="599">
        <f t="shared" si="6"/>
        <v>5.8143052000000001E-2</v>
      </c>
      <c r="CE39"/>
      <c r="CF39"/>
      <c r="CG39"/>
      <c r="CH39"/>
      <c r="CI39"/>
    </row>
    <row r="40" spans="1:87" s="36" customFormat="1">
      <c r="B40" s="69"/>
      <c r="C40" s="306" t="s">
        <v>403</v>
      </c>
      <c r="D40" s="304">
        <v>890</v>
      </c>
      <c r="E40" s="305">
        <v>0.18</v>
      </c>
      <c r="F40" s="304">
        <v>50</v>
      </c>
      <c r="G40" s="203" t="s">
        <v>160</v>
      </c>
      <c r="H40" s="305">
        <v>0.25</v>
      </c>
      <c r="I40" s="305">
        <v>0.1</v>
      </c>
      <c r="J40" s="203" t="s">
        <v>401</v>
      </c>
      <c r="K40" s="304">
        <v>200</v>
      </c>
      <c r="L40" s="304">
        <v>15</v>
      </c>
      <c r="M40" s="203"/>
      <c r="N40" s="234"/>
      <c r="O40" s="73"/>
      <c r="P40" s="461"/>
      <c r="Q40" s="296">
        <v>29</v>
      </c>
      <c r="R40" s="295" t="str">
        <v>GJ 832 b</v>
      </c>
      <c r="S40" s="315">
        <v>8.66</v>
      </c>
      <c r="T40" s="304">
        <v>380.59773172961053</v>
      </c>
      <c r="U40" s="315">
        <v>7.74</v>
      </c>
      <c r="V40" s="260">
        <v>6.1717399500550219</v>
      </c>
      <c r="W40" s="331">
        <v>-1</v>
      </c>
      <c r="X40" s="302">
        <v>-1</v>
      </c>
      <c r="Y40" s="298">
        <v>17.559507714430243</v>
      </c>
      <c r="Z40" s="299">
        <v>9547569.1720608175</v>
      </c>
      <c r="AA40" s="298">
        <v>5.8925114085121501E-2</v>
      </c>
      <c r="AB40" s="411">
        <v>273.43543011171096</v>
      </c>
      <c r="AC40" s="493"/>
      <c r="AD40" s="73"/>
      <c r="AE40" s="69"/>
      <c r="AF40" s="366"/>
      <c r="AG40" s="69" t="s">
        <v>464</v>
      </c>
      <c r="AH40" s="322">
        <f ca="1">IF(AH39&lt;AH42,AH39,AH41+0.8*(AH42-AH41))</f>
        <v>5.1655432278006632</v>
      </c>
      <c r="AI40" s="71" t="s">
        <v>127</v>
      </c>
      <c r="AJ40" s="155" t="s">
        <v>466</v>
      </c>
      <c r="AK40" s="69"/>
      <c r="AL40" s="66"/>
      <c r="AM40" s="69"/>
      <c r="AN40" s="127"/>
      <c r="AO40" s="128" t="s">
        <v>408</v>
      </c>
      <c r="AP40" s="129" t="s">
        <v>401</v>
      </c>
      <c r="AQ40" s="129" t="s">
        <v>397</v>
      </c>
      <c r="AR40" s="130" t="s">
        <v>411</v>
      </c>
      <c r="AS40" s="131" t="s">
        <v>47</v>
      </c>
      <c r="AT40" s="69"/>
      <c r="AU40" s="73"/>
      <c r="AV40" s="270">
        <v>500</v>
      </c>
      <c r="AW40" s="264">
        <v>0.88695980365785987</v>
      </c>
      <c r="AX40" s="264">
        <v>0.89017245613111495</v>
      </c>
      <c r="AY40" s="264">
        <v>0.89014608013522345</v>
      </c>
      <c r="AZ40" s="424">
        <v>0.88693352285353244</v>
      </c>
      <c r="BA40" s="264">
        <v>0.84087527961225206</v>
      </c>
      <c r="BB40" s="264">
        <v>0.59324942158476524</v>
      </c>
      <c r="BC40" s="273">
        <v>0.87906566174763767</v>
      </c>
      <c r="BD40"/>
      <c r="BE40" s="66"/>
      <c r="BF40"/>
      <c r="BG40" s="118">
        <v>8.6999999999999993</v>
      </c>
      <c r="BH40" s="119">
        <v>0.41469600000000001</v>
      </c>
      <c r="BI40" s="120">
        <v>4.2215078999999999E-12</v>
      </c>
      <c r="BJ40" s="120">
        <v>1.3854123E-9</v>
      </c>
      <c r="BK40" s="121">
        <v>1.5616425999999999E-2</v>
      </c>
      <c r="BL40" s="121">
        <v>3.0471131000000002E-3</v>
      </c>
      <c r="BM40" s="121">
        <v>1.3853015E-3</v>
      </c>
      <c r="BN40" s="121">
        <v>0.23462332999999999</v>
      </c>
      <c r="BP40" s="122">
        <v>6.6</v>
      </c>
      <c r="BQ40" s="119">
        <v>0.45952700000000002</v>
      </c>
      <c r="BR40" s="120">
        <v>4.4082158E-12</v>
      </c>
      <c r="BS40" s="120">
        <v>2.6305677E-9</v>
      </c>
      <c r="BT40" s="121">
        <v>3.5091346000000002E-2</v>
      </c>
      <c r="BU40" s="121">
        <v>1.675766E-3</v>
      </c>
      <c r="BV40" s="121">
        <v>5.4674846000000001E-3</v>
      </c>
      <c r="BW40" s="121">
        <v>0.24837846</v>
      </c>
      <c r="BX40"/>
      <c r="BY40" s="597">
        <v>3.6</v>
      </c>
      <c r="BZ40" s="598">
        <v>2.2051541E-9</v>
      </c>
      <c r="CA40" s="599">
        <v>3.1090871999999999E-2</v>
      </c>
      <c r="CB40" s="598">
        <f t="shared" si="4"/>
        <v>1.8957044979955174E-9</v>
      </c>
      <c r="CC40" s="598">
        <f t="shared" si="5"/>
        <v>1.9961391733860087E-9</v>
      </c>
      <c r="CD40" s="599">
        <f t="shared" si="6"/>
        <v>6.2181743999999997E-2</v>
      </c>
      <c r="CE40"/>
      <c r="CF40"/>
      <c r="CG40"/>
      <c r="CH40"/>
      <c r="CI40"/>
    </row>
    <row r="41" spans="1:87" s="36" customFormat="1">
      <c r="B41" s="69"/>
      <c r="C41" s="236">
        <v>1</v>
      </c>
      <c r="D41" s="236">
        <v>2</v>
      </c>
      <c r="E41" s="236">
        <v>3</v>
      </c>
      <c r="F41" s="236">
        <v>4</v>
      </c>
      <c r="G41" s="236">
        <v>5</v>
      </c>
      <c r="H41" s="236">
        <v>6</v>
      </c>
      <c r="I41" s="236">
        <v>7</v>
      </c>
      <c r="J41" s="236">
        <v>8</v>
      </c>
      <c r="K41" s="236">
        <v>9</v>
      </c>
      <c r="L41" s="236">
        <v>10</v>
      </c>
      <c r="M41" s="236">
        <v>11</v>
      </c>
      <c r="N41" s="71"/>
      <c r="O41" s="73"/>
      <c r="P41" s="461"/>
      <c r="Q41" s="296">
        <v>30</v>
      </c>
      <c r="R41" s="295" t="str">
        <v>HD 30562 b</v>
      </c>
      <c r="S41" s="315">
        <v>5.77</v>
      </c>
      <c r="T41" s="304">
        <v>88.600783470196234</v>
      </c>
      <c r="U41" s="315">
        <v>1.8018238336389065</v>
      </c>
      <c r="V41" s="260">
        <v>10.67919019261687</v>
      </c>
      <c r="W41" s="331">
        <v>-1</v>
      </c>
      <c r="X41" s="302">
        <v>-1</v>
      </c>
      <c r="Y41" s="298">
        <v>41.140453794321189</v>
      </c>
      <c r="Z41" s="299">
        <v>136739130.35702643</v>
      </c>
      <c r="AA41" s="298">
        <v>1.4602631798557164</v>
      </c>
      <c r="AB41" s="411">
        <v>-1</v>
      </c>
      <c r="AC41" s="493"/>
      <c r="AD41" s="73"/>
      <c r="AE41" s="69"/>
      <c r="AF41" s="366"/>
      <c r="AG41" s="69" t="s">
        <v>462</v>
      </c>
      <c r="AH41" s="72">
        <f ca="1">AP15</f>
        <v>2.7</v>
      </c>
      <c r="AI41" s="71"/>
      <c r="AJ41" s="155"/>
      <c r="AK41" s="69"/>
      <c r="AL41" s="66"/>
      <c r="AM41" s="69"/>
      <c r="AN41" s="127"/>
      <c r="AO41" s="215" t="s">
        <v>406</v>
      </c>
      <c r="AP41" s="218">
        <f>IFERROR(1/(AH17*AH19),-1)</f>
        <v>-1</v>
      </c>
      <c r="AQ41" s="219">
        <v>1</v>
      </c>
      <c r="AR41" s="197" t="s">
        <v>409</v>
      </c>
      <c r="AS41" s="214" t="s">
        <v>410</v>
      </c>
      <c r="AT41" s="69"/>
      <c r="AU41" s="73"/>
      <c r="AV41" s="270">
        <v>510</v>
      </c>
      <c r="AW41" s="264">
        <v>0.88902131516925542</v>
      </c>
      <c r="AX41" s="264">
        <v>0.88582435509073243</v>
      </c>
      <c r="AY41" s="264">
        <v>0.88572801322575367</v>
      </c>
      <c r="AZ41" s="424">
        <v>0.88892462560431296</v>
      </c>
      <c r="BA41" s="264">
        <v>0.85603350585181037</v>
      </c>
      <c r="BB41" s="264">
        <v>0.6097559881839093</v>
      </c>
      <c r="BC41" s="273">
        <v>0.89598977408670522</v>
      </c>
      <c r="BD41"/>
      <c r="BE41" s="66"/>
      <c r="BF41"/>
      <c r="BG41" s="118">
        <v>9</v>
      </c>
      <c r="BH41" s="119">
        <v>0.42899599999999999</v>
      </c>
      <c r="BI41" s="120">
        <v>3.2181705000000001E-12</v>
      </c>
      <c r="BJ41" s="120">
        <v>1.2391286E-9</v>
      </c>
      <c r="BK41" s="121">
        <v>8.7064133000000002E-3</v>
      </c>
      <c r="BL41" s="121">
        <v>2.5971239000000001E-3</v>
      </c>
      <c r="BM41" s="121">
        <v>9.3843118999999999E-4</v>
      </c>
      <c r="BN41" s="121">
        <v>0.23397018</v>
      </c>
      <c r="BP41" s="122">
        <v>6.8</v>
      </c>
      <c r="BQ41" s="119">
        <v>0.47345199999999998</v>
      </c>
      <c r="BR41" s="120">
        <v>4.2487639999999996E-12</v>
      </c>
      <c r="BS41" s="120">
        <v>2.5476428000000002E-9</v>
      </c>
      <c r="BT41" s="121">
        <v>3.4776570999999999E-2</v>
      </c>
      <c r="BU41" s="121">
        <v>1.6677236000000001E-3</v>
      </c>
      <c r="BV41" s="121">
        <v>5.4401954000000002E-3</v>
      </c>
      <c r="BW41" s="121">
        <v>0.24615048</v>
      </c>
      <c r="BX41"/>
      <c r="BY41" s="597">
        <v>3.8</v>
      </c>
      <c r="BZ41" s="598">
        <v>1.9867921000000002E-9</v>
      </c>
      <c r="CA41" s="599">
        <v>3.2857351E-2</v>
      </c>
      <c r="CB41" s="598">
        <f t="shared" si="4"/>
        <v>1.7079852698511913E-9</v>
      </c>
      <c r="CC41" s="598">
        <f t="shared" si="5"/>
        <v>1.7984745556711223E-9</v>
      </c>
      <c r="CD41" s="599">
        <f t="shared" si="6"/>
        <v>6.5714702E-2</v>
      </c>
      <c r="CE41"/>
      <c r="CF41"/>
      <c r="CG41"/>
      <c r="CH41"/>
      <c r="CI41"/>
    </row>
    <row r="42" spans="1:87" s="36" customFormat="1">
      <c r="A42" s="73"/>
      <c r="B42" s="73"/>
      <c r="C42" s="73"/>
      <c r="D42" s="201"/>
      <c r="E42" s="202"/>
      <c r="F42" s="206"/>
      <c r="G42" s="202"/>
      <c r="H42" s="73"/>
      <c r="I42" s="207"/>
      <c r="J42" s="202"/>
      <c r="K42" s="202"/>
      <c r="L42" s="65"/>
      <c r="M42" s="65"/>
      <c r="N42" s="65"/>
      <c r="O42" s="73"/>
      <c r="P42" s="461"/>
      <c r="Q42" s="296">
        <v>31</v>
      </c>
      <c r="R42" s="295" t="str">
        <v>HD 142 c</v>
      </c>
      <c r="S42" s="315">
        <v>5.7</v>
      </c>
      <c r="T42" s="304">
        <v>330.09871744634137</v>
      </c>
      <c r="U42" s="315">
        <v>6.713030215455448</v>
      </c>
      <c r="V42" s="260">
        <v>1.1869088290820782</v>
      </c>
      <c r="W42" s="331">
        <v>-1</v>
      </c>
      <c r="X42" s="302">
        <v>-1</v>
      </c>
      <c r="Y42" s="298">
        <v>19.348360531409792</v>
      </c>
      <c r="Z42" s="299">
        <v>145845426.05920288</v>
      </c>
      <c r="AA42" s="298">
        <v>0.17310522387090529</v>
      </c>
      <c r="AB42" s="411">
        <v>72.951934130106736</v>
      </c>
      <c r="AC42" s="493"/>
      <c r="AD42" s="73"/>
      <c r="AE42" s="69"/>
      <c r="AF42" s="366"/>
      <c r="AG42" s="69" t="s">
        <v>463</v>
      </c>
      <c r="AH42" s="72">
        <f ca="1">AP16</f>
        <v>9</v>
      </c>
      <c r="AI42" s="71"/>
      <c r="AJ42" s="155"/>
      <c r="AK42" s="69"/>
      <c r="AL42" s="66"/>
      <c r="AM42" s="69"/>
      <c r="AN42" s="127"/>
      <c r="AO42" s="215" t="s">
        <v>407</v>
      </c>
      <c r="AP42" s="219">
        <f>(AH68*lambda/AP43)^2*AH70*AH69</f>
        <v>11.725436179981632</v>
      </c>
      <c r="AQ42" s="220">
        <f>PI()/4/(AQ44^2)</f>
        <v>4.9524687152701317</v>
      </c>
      <c r="AR42" s="197" t="s">
        <v>89</v>
      </c>
      <c r="AS42" s="214" t="s">
        <v>412</v>
      </c>
      <c r="AT42" s="69"/>
      <c r="AU42" s="73"/>
      <c r="AV42" s="271">
        <v>520</v>
      </c>
      <c r="AW42" s="265">
        <v>0.89255649340622634</v>
      </c>
      <c r="AX42" s="265">
        <v>0.88523500091743557</v>
      </c>
      <c r="AY42" s="264">
        <v>0.88503435745876047</v>
      </c>
      <c r="AZ42" s="425">
        <v>0.89235419049037423</v>
      </c>
      <c r="BA42" s="264">
        <v>0.87073190765193764</v>
      </c>
      <c r="BB42" s="265">
        <v>0.62937655775181744</v>
      </c>
      <c r="BC42" s="273">
        <v>0.9096479793586697</v>
      </c>
      <c r="BD42"/>
      <c r="BE42" s="66"/>
      <c r="BF42"/>
      <c r="BG42" s="118">
        <v>9.3000000000000007</v>
      </c>
      <c r="BH42" s="119">
        <v>0.44329600000000002</v>
      </c>
      <c r="BI42" s="120">
        <v>4.7819083999999999E-15</v>
      </c>
      <c r="BJ42" s="120">
        <v>8.5120391999999993E-12</v>
      </c>
      <c r="BK42" s="121">
        <v>3.7575632999999999E-3</v>
      </c>
      <c r="BL42" s="121">
        <v>5.6178176999999998E-4</v>
      </c>
      <c r="BM42" s="121">
        <v>7.3733879000000002E-4</v>
      </c>
      <c r="BN42" s="121">
        <v>0.23320837</v>
      </c>
      <c r="BP42" s="122">
        <v>7</v>
      </c>
      <c r="BQ42" s="119">
        <v>0.487377</v>
      </c>
      <c r="BR42" s="120">
        <v>4.6538338999999996E-12</v>
      </c>
      <c r="BS42" s="120">
        <v>2.8068757E-9</v>
      </c>
      <c r="BT42" s="121">
        <v>3.4389113999999998E-2</v>
      </c>
      <c r="BU42" s="121">
        <v>1.6580121E-3</v>
      </c>
      <c r="BV42" s="121">
        <v>5.4058871999999999E-3</v>
      </c>
      <c r="BW42" s="121">
        <v>0.24340803</v>
      </c>
      <c r="BX42"/>
      <c r="BY42" s="597">
        <v>4</v>
      </c>
      <c r="BZ42" s="598">
        <v>1.6954474E-9</v>
      </c>
      <c r="CA42" s="599">
        <v>3.4370968000000002E-2</v>
      </c>
      <c r="CB42" s="598">
        <f t="shared" si="4"/>
        <v>1.4575250148254062E-9</v>
      </c>
      <c r="CC42" s="598">
        <f t="shared" si="5"/>
        <v>1.5347448831605273E-9</v>
      </c>
      <c r="CD42" s="599">
        <f t="shared" si="6"/>
        <v>6.8741936000000003E-2</v>
      </c>
      <c r="CE42"/>
      <c r="CF42"/>
      <c r="CG42"/>
      <c r="CH42"/>
      <c r="CI42"/>
    </row>
    <row r="43" spans="1:87" s="36" customFormat="1" ht="15.6">
      <c r="B43" s="69"/>
      <c r="C43" s="69"/>
      <c r="D43" s="72"/>
      <c r="E43" s="69"/>
      <c r="F43" s="72"/>
      <c r="G43" s="69"/>
      <c r="H43" s="69"/>
      <c r="I43" s="90"/>
      <c r="J43" s="69"/>
      <c r="K43" s="69"/>
      <c r="L43" s="54"/>
      <c r="M43" s="54"/>
      <c r="N43" s="54"/>
      <c r="O43" s="73"/>
      <c r="P43" s="461"/>
      <c r="Q43" s="296">
        <v>32</v>
      </c>
      <c r="R43" s="295" t="str">
        <v>nu Oph c</v>
      </c>
      <c r="S43" s="315">
        <v>3.34</v>
      </c>
      <c r="T43" s="304">
        <v>130.34252398915049</v>
      </c>
      <c r="U43" s="315">
        <v>2.6507019132545615</v>
      </c>
      <c r="V43" s="260">
        <v>0.33601896817795568</v>
      </c>
      <c r="W43" s="331">
        <v>-1</v>
      </c>
      <c r="X43" s="302">
        <v>-1</v>
      </c>
      <c r="Y43" s="298">
        <v>119.79896517619565</v>
      </c>
      <c r="Z43" s="299">
        <v>1282014134.8283329</v>
      </c>
      <c r="AA43" s="298">
        <v>0.43078106677457095</v>
      </c>
      <c r="AB43" s="411">
        <v>-1</v>
      </c>
      <c r="AC43" s="493"/>
      <c r="AD43" s="73"/>
      <c r="AE43" s="69"/>
      <c r="AF43" s="366"/>
      <c r="AG43" s="36" t="s">
        <v>465</v>
      </c>
      <c r="AH43" s="319">
        <f>lambda/D_PM/mas</f>
        <v>49.172833556797222</v>
      </c>
      <c r="AI43" s="71" t="s">
        <v>11</v>
      </c>
      <c r="AJ43" s="155"/>
      <c r="AK43" s="69"/>
      <c r="AL43" s="66"/>
      <c r="AM43" s="69"/>
      <c r="AN43" s="127"/>
      <c r="AO43" s="213" t="s">
        <v>413</v>
      </c>
      <c r="AP43" s="216">
        <v>6.6000000000000003E-7</v>
      </c>
      <c r="AQ43" s="216">
        <v>4.4999999999999998E-7</v>
      </c>
      <c r="AR43" s="197" t="s">
        <v>21</v>
      </c>
      <c r="AS43" s="214" t="s">
        <v>113</v>
      </c>
      <c r="AT43" s="69"/>
      <c r="AU43" s="73"/>
      <c r="AV43" s="271">
        <v>530</v>
      </c>
      <c r="AW43" s="265">
        <v>0.89245377180286189</v>
      </c>
      <c r="AX43" s="265">
        <v>0.88302597567163099</v>
      </c>
      <c r="AY43" s="264">
        <v>0.88261984252613568</v>
      </c>
      <c r="AZ43" s="425">
        <v>0.89204330249897112</v>
      </c>
      <c r="BA43" s="264">
        <v>0.882446845491617</v>
      </c>
      <c r="BB43" s="265">
        <v>0.64435464611223181</v>
      </c>
      <c r="BC43" s="273">
        <v>0.91871716263048475</v>
      </c>
      <c r="BD43"/>
      <c r="BE43" s="66"/>
      <c r="BF43"/>
      <c r="BG43" s="113"/>
      <c r="BP43" s="122">
        <v>7.2</v>
      </c>
      <c r="BQ43" s="119">
        <v>0.50130200000000003</v>
      </c>
      <c r="BR43" s="120">
        <v>5.2174673E-12</v>
      </c>
      <c r="BS43" s="120">
        <v>3.1685701E-9</v>
      </c>
      <c r="BT43" s="121">
        <v>3.3928971000000002E-2</v>
      </c>
      <c r="BU43" s="121">
        <v>1.6466314999999999E-3</v>
      </c>
      <c r="BV43" s="121">
        <v>5.3645595000000003E-3</v>
      </c>
      <c r="BW43" s="121">
        <v>0.24015112</v>
      </c>
      <c r="BX43"/>
      <c r="BY43" s="597">
        <v>4.2</v>
      </c>
      <c r="BZ43" s="598">
        <v>1.3700878999999999E-9</v>
      </c>
      <c r="CA43" s="599">
        <v>3.5631719999999999E-2</v>
      </c>
      <c r="CB43" s="598">
        <f t="shared" si="4"/>
        <v>1.1778232617299773E-9</v>
      </c>
      <c r="CC43" s="598">
        <f t="shared" si="5"/>
        <v>1.2402244941395127E-9</v>
      </c>
      <c r="CD43" s="599">
        <f t="shared" si="6"/>
        <v>7.1263439999999997E-2</v>
      </c>
      <c r="CE43"/>
      <c r="CF43"/>
      <c r="CG43"/>
      <c r="CH43"/>
      <c r="CI43"/>
    </row>
    <row r="44" spans="1:87" s="36" customFormat="1" ht="15.6">
      <c r="B44" s="69"/>
      <c r="C44" s="80" t="s">
        <v>500</v>
      </c>
      <c r="D44" s="372"/>
      <c r="E44" s="80"/>
      <c r="F44" s="80"/>
      <c r="G44" s="373" t="s">
        <v>501</v>
      </c>
      <c r="H44" s="80">
        <f>frameTime</f>
        <v>100</v>
      </c>
      <c r="I44" s="374" t="s">
        <v>499</v>
      </c>
      <c r="J44" s="54"/>
      <c r="K44" s="69"/>
      <c r="L44" s="54"/>
      <c r="M44" s="54"/>
      <c r="N44" s="54"/>
      <c r="O44" s="73"/>
      <c r="P44" s="461"/>
      <c r="Q44" s="296">
        <v>33</v>
      </c>
      <c r="R44" s="295" t="str">
        <v>psi Dra B b</v>
      </c>
      <c r="S44" s="315">
        <v>5.81</v>
      </c>
      <c r="T44" s="304">
        <v>200.99917767640534</v>
      </c>
      <c r="U44" s="315">
        <v>4.0876061666090617</v>
      </c>
      <c r="V44" s="260">
        <v>4.7254937193976776</v>
      </c>
      <c r="W44" s="331">
        <v>0.8155461740985438</v>
      </c>
      <c r="X44" s="302">
        <v>0.73561251759559165</v>
      </c>
      <c r="Y44" s="298">
        <v>21.955354985205418</v>
      </c>
      <c r="Z44" s="299">
        <v>131793142.50320366</v>
      </c>
      <c r="AA44" s="298">
        <v>0.62278766715857192</v>
      </c>
      <c r="AB44" s="411">
        <v>6.3452995777057994</v>
      </c>
      <c r="AC44" s="493"/>
      <c r="AD44" s="73"/>
      <c r="AE44" s="69"/>
      <c r="AF44" s="366"/>
      <c r="AG44" s="69" t="s">
        <v>211</v>
      </c>
      <c r="AH44" s="76">
        <f>10^(VLOOKUP(lambda/um,fluxTable,7))*(lambda*AH19/um)/AH63</f>
        <v>6299502318.8005762</v>
      </c>
      <c r="AI44" s="71" t="s">
        <v>0</v>
      </c>
      <c r="AJ44" s="155" t="s">
        <v>210</v>
      </c>
      <c r="AK44" s="69"/>
      <c r="AL44" s="66"/>
      <c r="AM44" s="69"/>
      <c r="AN44" s="127"/>
      <c r="AO44" s="215" t="s">
        <v>415</v>
      </c>
      <c r="AP44" s="221">
        <f>1/(2*(AH18/(AP43)))</f>
        <v>0.58407079646017701</v>
      </c>
      <c r="AQ44" s="221">
        <f>1/(2*(AH18/(AQ43)))</f>
        <v>0.39823008849557523</v>
      </c>
      <c r="AR44" s="217" t="s">
        <v>414</v>
      </c>
      <c r="AS44" s="214"/>
      <c r="AT44" s="69"/>
      <c r="AU44" s="73"/>
      <c r="AV44" s="270">
        <v>540</v>
      </c>
      <c r="AW44" s="264">
        <v>0.8966082925843667</v>
      </c>
      <c r="AX44" s="264">
        <v>0.88740067654205079</v>
      </c>
      <c r="AY44" s="264">
        <v>0.88539916965639431</v>
      </c>
      <c r="AZ44" s="424">
        <v>0.89458601818365602</v>
      </c>
      <c r="BA44" s="264">
        <v>0.89456439971058299</v>
      </c>
      <c r="BB44" s="264">
        <v>0.66579236703000699</v>
      </c>
      <c r="BC44" s="273">
        <v>0.92402103989234186</v>
      </c>
      <c r="BD44"/>
      <c r="BE44" s="66"/>
      <c r="BF44"/>
      <c r="BG44" s="113"/>
      <c r="BP44" s="122">
        <v>7.4</v>
      </c>
      <c r="BQ44" s="119">
        <v>0.51522699999999999</v>
      </c>
      <c r="BR44" s="120">
        <v>5.4110696000000001E-12</v>
      </c>
      <c r="BS44" s="120">
        <v>3.3123959999999998E-9</v>
      </c>
      <c r="BT44" s="121">
        <v>3.3396146000000002E-2</v>
      </c>
      <c r="BU44" s="121">
        <v>1.6335817000000001E-3</v>
      </c>
      <c r="BV44" s="121">
        <v>5.3162128000000001E-3</v>
      </c>
      <c r="BW44" s="121">
        <v>0.23637975</v>
      </c>
      <c r="BX44"/>
      <c r="BY44" s="597">
        <v>4.4000000000000004</v>
      </c>
      <c r="BZ44" s="598">
        <v>1.0938889999999999E-9</v>
      </c>
      <c r="CA44" s="599">
        <v>3.6639605999999998E-2</v>
      </c>
      <c r="CB44" s="598">
        <f t="shared" si="4"/>
        <v>9.4038339434319744E-10</v>
      </c>
      <c r="CC44" s="598">
        <f t="shared" si="5"/>
        <v>9.9020503112959208E-10</v>
      </c>
      <c r="CD44" s="599">
        <f t="shared" si="6"/>
        <v>7.3279211999999996E-2</v>
      </c>
      <c r="CE44"/>
      <c r="CF44"/>
      <c r="CG44"/>
      <c r="CH44"/>
      <c r="CI44"/>
    </row>
    <row r="45" spans="1:87" s="36" customFormat="1" ht="15.6">
      <c r="B45" s="69"/>
      <c r="C45" s="399" t="str">
        <f>I4</f>
        <v>47 UMa c</v>
      </c>
      <c r="D45" s="393" t="s">
        <v>93</v>
      </c>
      <c r="E45" s="393" t="s">
        <v>87</v>
      </c>
      <c r="F45" s="405" t="s">
        <v>494</v>
      </c>
      <c r="G45" s="393" t="s">
        <v>495</v>
      </c>
      <c r="H45" s="393" t="s">
        <v>496</v>
      </c>
      <c r="I45" s="393" t="s">
        <v>497</v>
      </c>
      <c r="J45" s="394" t="s">
        <v>498</v>
      </c>
      <c r="K45" s="377"/>
      <c r="L45" s="377"/>
      <c r="M45" s="54"/>
      <c r="N45" s="54"/>
      <c r="O45" s="73"/>
      <c r="P45" s="461"/>
      <c r="Q45" s="531">
        <v>36</v>
      </c>
      <c r="R45" s="532" t="str">
        <v>Thresh. 47 Umc</v>
      </c>
      <c r="S45" s="533">
        <v>5.03</v>
      </c>
      <c r="T45" s="534">
        <v>220.44239785058596</v>
      </c>
      <c r="U45" s="533">
        <v>4.4830118971273709</v>
      </c>
      <c r="V45" s="535">
        <v>7.0016972103361876</v>
      </c>
      <c r="W45" s="536">
        <v>0.95132603356225998</v>
      </c>
      <c r="X45" s="537">
        <v>0.95075287504017647</v>
      </c>
      <c r="Y45" s="538">
        <v>25.07335720779723</v>
      </c>
      <c r="Z45" s="539">
        <v>270329109.33113927</v>
      </c>
      <c r="AA45" s="538">
        <v>1.8927625706765043</v>
      </c>
      <c r="AB45" s="540">
        <v>1.1819309990357636</v>
      </c>
      <c r="AC45" s="493"/>
      <c r="AD45" s="73"/>
      <c r="AE45" s="69"/>
      <c r="AF45" s="366"/>
      <c r="AG45" s="69" t="s">
        <v>1</v>
      </c>
      <c r="AH45" s="76">
        <f>AH44*10^(-0.4*AH10)</f>
        <v>61278233.917898096</v>
      </c>
      <c r="AI45" s="71" t="s">
        <v>0</v>
      </c>
      <c r="AJ45" s="155" t="s">
        <v>112</v>
      </c>
      <c r="AK45" s="69"/>
      <c r="AL45" s="66"/>
      <c r="AM45" s="69"/>
      <c r="AN45" s="127"/>
      <c r="AR45" s="71"/>
      <c r="AS45" s="212"/>
      <c r="AT45" s="69"/>
      <c r="AU45" s="73"/>
      <c r="AV45" s="270">
        <v>550</v>
      </c>
      <c r="AW45" s="264">
        <v>0.89627735105344097</v>
      </c>
      <c r="AX45" s="264">
        <v>0.88707313357722617</v>
      </c>
      <c r="AY45" s="264">
        <v>0.88408564959678304</v>
      </c>
      <c r="AZ45" s="424">
        <v>0.89325886911891494</v>
      </c>
      <c r="BA45" s="264">
        <v>0.90300043393790475</v>
      </c>
      <c r="BB45" s="264">
        <v>0.67988155610742917</v>
      </c>
      <c r="BC45" s="273">
        <v>0.92723389938605194</v>
      </c>
      <c r="BD45"/>
      <c r="BE45" s="66"/>
      <c r="BF45"/>
      <c r="BG45" s="113"/>
      <c r="BP45" s="122">
        <v>7.6</v>
      </c>
      <c r="BQ45" s="119">
        <v>0.52915199999999996</v>
      </c>
      <c r="BR45" s="120">
        <v>4.9947449000000002E-12</v>
      </c>
      <c r="BS45" s="120">
        <v>3.0853417000000001E-9</v>
      </c>
      <c r="BT45" s="121">
        <v>3.2790636999999997E-2</v>
      </c>
      <c r="BU45" s="121">
        <v>1.6188628E-3</v>
      </c>
      <c r="BV45" s="121">
        <v>5.2608467999999999E-3</v>
      </c>
      <c r="BW45" s="121">
        <v>0.23209392000000001</v>
      </c>
      <c r="BX45"/>
      <c r="BY45" s="597">
        <v>4.5999999999999996</v>
      </c>
      <c r="BZ45" s="598">
        <v>1.1552999999999999E-9</v>
      </c>
      <c r="CA45" s="599">
        <v>3.7394627E-2</v>
      </c>
      <c r="CB45" s="598">
        <f t="shared" si="4"/>
        <v>9.9317657960240565E-10</v>
      </c>
      <c r="CC45" s="598">
        <f t="shared" si="5"/>
        <v>1.0457952063363081E-9</v>
      </c>
      <c r="CD45" s="599">
        <f t="shared" si="6"/>
        <v>7.4789253999999999E-2</v>
      </c>
      <c r="CE45"/>
      <c r="CF45"/>
      <c r="CG45"/>
      <c r="CH45"/>
      <c r="CI45"/>
    </row>
    <row r="46" spans="1:87" s="36" customFormat="1" ht="15.6">
      <c r="B46" s="69"/>
      <c r="C46" s="400" t="str">
        <f>ScenarioSelected</f>
        <v>Imaging 2</v>
      </c>
      <c r="D46" s="395">
        <f ca="1">AH33</f>
        <v>4.9635689993109688E-3</v>
      </c>
      <c r="E46" s="396">
        <f ca="1">AH35</f>
        <v>0.49635689993109688</v>
      </c>
      <c r="F46" s="406">
        <f ca="1">L4/totNoiseVarRate</f>
        <v>0.73098458075224182</v>
      </c>
      <c r="G46" s="397">
        <f ca="1">L5/totNoiseVarRate</f>
        <v>5.8444697593310634E-2</v>
      </c>
      <c r="H46" s="397">
        <f ca="1">L6/totNoiseVarRate</f>
        <v>0.16845230724649143</v>
      </c>
      <c r="I46" s="397">
        <f ca="1">L7/totNoiseVarRate</f>
        <v>3.8114029074782771E-2</v>
      </c>
      <c r="J46" s="398">
        <f ca="1">L8/totNoiseVarRate</f>
        <v>4.0043853331733796E-3</v>
      </c>
      <c r="K46" s="377"/>
      <c r="L46" s="54"/>
      <c r="M46" s="54"/>
      <c r="N46" s="54"/>
      <c r="O46" s="73"/>
      <c r="P46" s="461"/>
      <c r="Q46" s="490"/>
      <c r="R46" s="491"/>
      <c r="S46" s="491"/>
      <c r="T46" s="492"/>
      <c r="U46" s="461"/>
      <c r="V46" s="492"/>
      <c r="W46" s="491"/>
      <c r="X46" s="491"/>
      <c r="Y46" s="491"/>
      <c r="Z46" s="491"/>
      <c r="AA46" s="491"/>
      <c r="AB46" s="491"/>
      <c r="AC46" s="493"/>
      <c r="AD46" s="73"/>
      <c r="AE46" s="69"/>
      <c r="AF46" s="366"/>
      <c r="AG46" s="36" t="s">
        <v>129</v>
      </c>
      <c r="AH46" s="318">
        <f>AH38*AH45</f>
        <v>0.47374213415171262</v>
      </c>
      <c r="AI46" s="71" t="s">
        <v>0</v>
      </c>
      <c r="AJ46" s="155" t="s">
        <v>130</v>
      </c>
      <c r="AK46" s="69"/>
      <c r="AL46" s="66"/>
      <c r="AM46" s="69"/>
      <c r="AN46" s="69"/>
      <c r="AR46" s="71"/>
      <c r="AS46" s="212"/>
      <c r="AT46" s="69"/>
      <c r="AU46" s="73"/>
      <c r="AV46" s="270">
        <v>560</v>
      </c>
      <c r="AW46" s="264">
        <v>0.89949036971652341</v>
      </c>
      <c r="AX46" s="264">
        <v>0.89025315651360049</v>
      </c>
      <c r="AY46" s="264">
        <v>0.88603530269699438</v>
      </c>
      <c r="AZ46" s="424">
        <v>0.89522875170242167</v>
      </c>
      <c r="BA46" s="264">
        <v>0.91070618298317929</v>
      </c>
      <c r="BB46" s="264">
        <v>0.69781134338192685</v>
      </c>
      <c r="BC46" s="273">
        <v>0.92944950334491361</v>
      </c>
      <c r="BD46"/>
      <c r="BE46" s="66"/>
      <c r="BF46"/>
      <c r="BG46" s="113"/>
      <c r="BP46" s="122">
        <v>7.8</v>
      </c>
      <c r="BQ46" s="119">
        <v>0.54307700000000003</v>
      </c>
      <c r="BR46" s="120">
        <v>4.6694647999999997E-12</v>
      </c>
      <c r="BS46" s="120">
        <v>2.9139084999999999E-9</v>
      </c>
      <c r="BT46" s="121">
        <v>3.2112441999999998E-2</v>
      </c>
      <c r="BU46" s="121">
        <v>1.6024748000000001E-3</v>
      </c>
      <c r="BV46" s="121">
        <v>5.1984613999999998E-3</v>
      </c>
      <c r="BW46" s="121">
        <v>0.22729362</v>
      </c>
      <c r="BX46"/>
      <c r="BY46" s="597">
        <v>4.8</v>
      </c>
      <c r="BZ46" s="598">
        <v>1.4692607E-9</v>
      </c>
      <c r="CA46" s="599">
        <v>3.7896784000000003E-2</v>
      </c>
      <c r="CB46" s="598">
        <f t="shared" si="4"/>
        <v>1.2630791279929339E-9</v>
      </c>
      <c r="CC46" s="598">
        <f t="shared" si="5"/>
        <v>1.3299972274892484E-9</v>
      </c>
      <c r="CD46" s="599">
        <f t="shared" si="6"/>
        <v>7.5793568000000006E-2</v>
      </c>
      <c r="CE46"/>
      <c r="CF46"/>
      <c r="CG46"/>
      <c r="CH46"/>
      <c r="CI46"/>
    </row>
    <row r="47" spans="1:87" s="36" customFormat="1" ht="15.6">
      <c r="B47" s="69"/>
      <c r="C47" s="401" t="s">
        <v>398</v>
      </c>
      <c r="D47" s="384">
        <f t="dataTable" ref="D47:J54" dt2D="0" dtr="0" r1="D4" ca="1"/>
        <v>8.9620946458323289E-3</v>
      </c>
      <c r="E47" s="391">
        <v>0.89620946458323292</v>
      </c>
      <c r="F47" s="407">
        <v>0.71363215508246036</v>
      </c>
      <c r="G47" s="385">
        <v>9.5749187181410275E-2</v>
      </c>
      <c r="H47" s="385">
        <v>0.1668450404679496</v>
      </c>
      <c r="I47" s="385">
        <v>2.1513353541651677E-2</v>
      </c>
      <c r="J47" s="386">
        <v>2.2602637265279617E-3</v>
      </c>
      <c r="K47" s="377"/>
      <c r="L47" s="381"/>
      <c r="M47" s="54"/>
      <c r="N47" s="54"/>
      <c r="O47" s="73"/>
      <c r="P47" s="73"/>
      <c r="Q47" s="555"/>
      <c r="R47" s="202"/>
      <c r="S47" s="202"/>
      <c r="T47" s="206"/>
      <c r="U47" s="73"/>
      <c r="V47" s="206"/>
      <c r="W47" s="202"/>
      <c r="X47" s="202"/>
      <c r="Y47" s="202"/>
      <c r="Z47" s="202"/>
      <c r="AA47" s="202"/>
      <c r="AB47" s="202"/>
      <c r="AC47" s="65"/>
      <c r="AD47" s="73"/>
      <c r="AE47" s="69"/>
      <c r="AF47" s="366"/>
      <c r="AG47" s="69" t="s">
        <v>216</v>
      </c>
      <c r="AH47" s="72">
        <f>AH10-5*LOG10(AH9/10)</f>
        <v>4.2896564397792663</v>
      </c>
      <c r="AI47" s="71"/>
      <c r="AJ47" s="155" t="s">
        <v>217</v>
      </c>
      <c r="AK47" s="69"/>
      <c r="AL47" s="66"/>
      <c r="AM47" s="69"/>
      <c r="AN47" s="69"/>
      <c r="AR47" s="71"/>
      <c r="AS47" s="212"/>
      <c r="AT47" s="69"/>
      <c r="AU47" s="73"/>
      <c r="AV47" s="432">
        <v>570</v>
      </c>
      <c r="AW47" s="433">
        <v>0.90027368232461058</v>
      </c>
      <c r="AX47" s="433">
        <v>0.89129373045387228</v>
      </c>
      <c r="AY47" s="433">
        <v>0.88548156394683508</v>
      </c>
      <c r="AZ47" s="442">
        <v>0.89440295714750251</v>
      </c>
      <c r="BA47" s="433">
        <v>0.91639475959023065</v>
      </c>
      <c r="BB47" s="433">
        <v>0.71192957253592104</v>
      </c>
      <c r="BC47" s="434">
        <v>0.92947891882194034</v>
      </c>
      <c r="BD47"/>
      <c r="BE47" s="66"/>
      <c r="BF47"/>
      <c r="BG47" s="113"/>
      <c r="BP47" s="122">
        <v>8</v>
      </c>
      <c r="BQ47" s="119">
        <v>0.557002</v>
      </c>
      <c r="BR47" s="120">
        <v>4.2744007E-12</v>
      </c>
      <c r="BS47" s="120">
        <v>2.6977739999999999E-9</v>
      </c>
      <c r="BT47" s="121">
        <v>3.1361565000000001E-2</v>
      </c>
      <c r="BU47" s="121">
        <v>1.5844176000000001E-3</v>
      </c>
      <c r="BV47" s="121">
        <v>5.1290570000000002E-3</v>
      </c>
      <c r="BW47" s="121">
        <v>0.22197886999999999</v>
      </c>
      <c r="BX47"/>
      <c r="BY47" s="597">
        <v>5</v>
      </c>
      <c r="BZ47" s="598">
        <v>1.8515626E-9</v>
      </c>
      <c r="CA47" s="599">
        <v>3.8146076000000001E-2</v>
      </c>
      <c r="CB47" s="598">
        <f t="shared" si="4"/>
        <v>1.5917325456485219E-9</v>
      </c>
      <c r="CC47" s="598">
        <f t="shared" si="5"/>
        <v>1.6760627467424835E-9</v>
      </c>
      <c r="CD47" s="599">
        <f t="shared" si="6"/>
        <v>7.6292152000000002E-2</v>
      </c>
      <c r="CE47"/>
      <c r="CF47"/>
      <c r="CG47"/>
      <c r="CH47"/>
      <c r="CI47"/>
    </row>
    <row r="48" spans="1:87" s="36" customFormat="1" ht="15.6">
      <c r="B48" s="69"/>
      <c r="C48" s="402" t="s">
        <v>399</v>
      </c>
      <c r="D48" s="380">
        <v>4.9635689993109688E-3</v>
      </c>
      <c r="E48" s="382">
        <v>0.49635689993109688</v>
      </c>
      <c r="F48" s="408">
        <v>0.73098458075224182</v>
      </c>
      <c r="G48" s="379">
        <v>5.8444697593310634E-2</v>
      </c>
      <c r="H48" s="379">
        <v>0.16845230724649143</v>
      </c>
      <c r="I48" s="379">
        <v>3.8114029074782771E-2</v>
      </c>
      <c r="J48" s="387">
        <v>4.0043853331733796E-3</v>
      </c>
      <c r="K48" s="378"/>
      <c r="L48" s="381"/>
      <c r="M48" s="54"/>
      <c r="N48" s="54"/>
      <c r="O48" s="73"/>
      <c r="P48" s="461"/>
      <c r="Q48" s="461"/>
      <c r="R48" s="461"/>
      <c r="S48" s="461"/>
      <c r="T48" s="461"/>
      <c r="U48" s="461"/>
      <c r="V48" s="461"/>
      <c r="W48" s="461"/>
      <c r="X48" s="461"/>
      <c r="Y48" s="461"/>
      <c r="Z48" s="461"/>
      <c r="AA48" s="461"/>
      <c r="AB48" s="461"/>
      <c r="AC48" s="461"/>
      <c r="AD48" s="73"/>
      <c r="AE48" s="69"/>
      <c r="AF48" s="366"/>
      <c r="AG48" s="69" t="s">
        <v>133</v>
      </c>
      <c r="AH48" s="72">
        <f>R_sun/(AH9*pc)/mas</f>
        <v>0.66171366856076641</v>
      </c>
      <c r="AI48" s="71" t="s">
        <v>11</v>
      </c>
      <c r="AJ48" s="155" t="s">
        <v>124</v>
      </c>
      <c r="AK48" s="69"/>
      <c r="AL48" s="66"/>
      <c r="AM48" s="69"/>
      <c r="AN48" s="69"/>
      <c r="AR48" s="71"/>
      <c r="AS48" s="212"/>
      <c r="AT48" s="69"/>
      <c r="AU48" s="73"/>
      <c r="AV48" s="270">
        <v>580</v>
      </c>
      <c r="AW48" s="264">
        <v>0.90455130379955373</v>
      </c>
      <c r="AX48" s="264">
        <v>0.8955286839760358</v>
      </c>
      <c r="AY48" s="264">
        <v>0.88764712000234447</v>
      </c>
      <c r="AZ48" s="424">
        <v>0.89659033158733037</v>
      </c>
      <c r="BA48" s="264">
        <v>0.9213601209760599</v>
      </c>
      <c r="BB48" s="264">
        <v>0.72966298721072242</v>
      </c>
      <c r="BC48" s="273">
        <v>0.92882666289772797</v>
      </c>
      <c r="BD48"/>
      <c r="BE48" s="66"/>
      <c r="BF48"/>
      <c r="BG48" s="113"/>
      <c r="BP48" s="122">
        <v>8.1999999999999993</v>
      </c>
      <c r="BQ48" s="119">
        <v>0.57092699999999996</v>
      </c>
      <c r="BR48" s="120">
        <v>4.5633865E-12</v>
      </c>
      <c r="BS48" s="120">
        <v>3.1020396000000001E-9</v>
      </c>
      <c r="BT48" s="121">
        <v>2.8432188000000001E-2</v>
      </c>
      <c r="BU48" s="121">
        <v>1.4710922999999999E-3</v>
      </c>
      <c r="BV48" s="121">
        <v>5.0067395999999998E-3</v>
      </c>
      <c r="BW48" s="121">
        <v>0.20124458000000001</v>
      </c>
      <c r="BX48"/>
      <c r="BY48" s="597">
        <v>5.2</v>
      </c>
      <c r="BZ48" s="598">
        <v>2.3703670999999999E-9</v>
      </c>
      <c r="CA48" s="599">
        <v>3.8142503000000001E-2</v>
      </c>
      <c r="CB48" s="598">
        <f t="shared" si="4"/>
        <v>2.0377331331949047E-9</v>
      </c>
      <c r="CC48" s="598">
        <f t="shared" si="5"/>
        <v>2.1456925044899995E-9</v>
      </c>
      <c r="CD48" s="599">
        <f t="shared" si="6"/>
        <v>7.6285006000000002E-2</v>
      </c>
      <c r="CE48"/>
      <c r="CF48"/>
      <c r="CG48"/>
      <c r="CH48"/>
      <c r="CI48"/>
    </row>
    <row r="49" spans="1:87" s="36" customFormat="1" ht="15.6">
      <c r="B49" s="69"/>
      <c r="C49" s="402" t="s">
        <v>400</v>
      </c>
      <c r="D49" s="380">
        <v>3.6357768940266556E-4</v>
      </c>
      <c r="E49" s="383">
        <v>3.6357768940266558E-2</v>
      </c>
      <c r="F49" s="408">
        <v>0.4036647982544232</v>
      </c>
      <c r="G49" s="379">
        <v>5.4916948407629625E-2</v>
      </c>
      <c r="H49" s="379">
        <v>0.16630719558807144</v>
      </c>
      <c r="I49" s="379">
        <v>0.3394475780325335</v>
      </c>
      <c r="J49" s="387">
        <v>3.5663479717342128E-2</v>
      </c>
      <c r="K49" s="378"/>
      <c r="L49" s="381"/>
      <c r="M49" s="54"/>
      <c r="N49" s="54"/>
      <c r="O49" s="73"/>
      <c r="P49" s="461"/>
      <c r="Q49" s="461"/>
      <c r="R49" s="461" t="s">
        <v>551</v>
      </c>
      <c r="S49" s="461"/>
      <c r="T49" s="461"/>
      <c r="U49" s="461"/>
      <c r="V49" s="461"/>
      <c r="W49" s="461"/>
      <c r="X49" s="461"/>
      <c r="Y49" s="461"/>
      <c r="Z49" s="461"/>
      <c r="AA49" s="461"/>
      <c r="AB49" s="461"/>
      <c r="AC49" s="461"/>
      <c r="AD49" s="73"/>
      <c r="AE49" s="69"/>
      <c r="AF49" s="366"/>
      <c r="AG49" s="69" t="s">
        <v>420</v>
      </c>
      <c r="AH49" s="91">
        <f ca="1">planetWA*lam_over_D</f>
        <v>254.00439737108309</v>
      </c>
      <c r="AI49" s="71" t="s">
        <v>11</v>
      </c>
      <c r="AJ49" s="155" t="s">
        <v>467</v>
      </c>
      <c r="AK49" s="69"/>
      <c r="AL49" s="66"/>
      <c r="AM49" s="69"/>
      <c r="AN49" s="69"/>
      <c r="AR49" s="71"/>
      <c r="AS49" s="212"/>
      <c r="AT49" s="69"/>
      <c r="AU49" s="73"/>
      <c r="AV49" s="270">
        <v>590</v>
      </c>
      <c r="AW49" s="264">
        <v>0.90665589689465664</v>
      </c>
      <c r="AX49" s="264">
        <v>0.8974786713827726</v>
      </c>
      <c r="AY49" s="264">
        <v>0.88700813877346907</v>
      </c>
      <c r="AZ49" s="424">
        <v>0.89607829718498733</v>
      </c>
      <c r="BA49" s="264">
        <v>0.9247110851542315</v>
      </c>
      <c r="BB49" s="264">
        <v>0.74393439174688358</v>
      </c>
      <c r="BC49" s="273">
        <v>0.92656768595473826</v>
      </c>
      <c r="BD49"/>
      <c r="BE49" s="66"/>
      <c r="BF49"/>
      <c r="BG49" s="113"/>
      <c r="BP49" s="122">
        <v>8.4</v>
      </c>
      <c r="BQ49" s="119">
        <v>0.58485200000000004</v>
      </c>
      <c r="BR49" s="120">
        <v>6.1716808999999999E-12</v>
      </c>
      <c r="BS49" s="120">
        <v>4.6088999999999997E-9</v>
      </c>
      <c r="BT49" s="121">
        <v>2.5047234000000002E-2</v>
      </c>
      <c r="BU49" s="121">
        <v>1.3390788999999999E-3</v>
      </c>
      <c r="BV49" s="121">
        <v>4.8690581000000004E-3</v>
      </c>
      <c r="BW49" s="121">
        <v>0.17728569</v>
      </c>
      <c r="BX49"/>
      <c r="BY49" s="597">
        <v>5.4</v>
      </c>
      <c r="BZ49" s="598">
        <v>2.2222902999999999E-9</v>
      </c>
      <c r="CA49" s="599">
        <v>3.7886064999999997E-2</v>
      </c>
      <c r="CB49" s="598">
        <f t="shared" si="4"/>
        <v>1.9104359725072311E-9</v>
      </c>
      <c r="CC49" s="598">
        <f t="shared" si="5"/>
        <v>2.0116511233685419E-9</v>
      </c>
      <c r="CD49" s="599">
        <f t="shared" si="6"/>
        <v>7.5772129999999993E-2</v>
      </c>
      <c r="CE49"/>
      <c r="CF49"/>
      <c r="CG49"/>
      <c r="CH49"/>
      <c r="CI49"/>
    </row>
    <row r="50" spans="1:87" s="36" customFormat="1" ht="15.6">
      <c r="B50" s="69"/>
      <c r="C50" s="402" t="s">
        <v>402</v>
      </c>
      <c r="D50" s="380">
        <v>1.1617301984046297E-4</v>
      </c>
      <c r="E50" s="383">
        <v>1.1617301984046298E-2</v>
      </c>
      <c r="F50" s="408">
        <v>0.20636934465612444</v>
      </c>
      <c r="G50" s="379">
        <v>5.9334407775887006E-2</v>
      </c>
      <c r="H50" s="379">
        <v>8.1679689939519948E-2</v>
      </c>
      <c r="I50" s="379">
        <v>0.59056939350113424</v>
      </c>
      <c r="J50" s="387">
        <v>6.2047164127334353E-2</v>
      </c>
      <c r="K50" s="378"/>
      <c r="L50" s="381"/>
      <c r="M50" s="54"/>
      <c r="N50" s="54"/>
      <c r="O50" s="73"/>
      <c r="P50" s="461"/>
      <c r="Q50" s="461"/>
      <c r="R50" s="462" t="str">
        <f>I4</f>
        <v>47 UMa c</v>
      </c>
      <c r="S50" s="463" t="s">
        <v>554</v>
      </c>
      <c r="T50" s="461"/>
      <c r="U50" s="461"/>
      <c r="V50" s="506" t="s">
        <v>590</v>
      </c>
      <c r="W50" s="543" t="s">
        <v>598</v>
      </c>
      <c r="X50" s="466" t="s">
        <v>625</v>
      </c>
      <c r="Y50" s="461"/>
      <c r="Z50" s="506" t="s">
        <v>591</v>
      </c>
      <c r="AA50" s="543" t="s">
        <v>598</v>
      </c>
      <c r="AB50" s="466" t="s">
        <v>625</v>
      </c>
      <c r="AC50" s="461"/>
      <c r="AD50" s="73"/>
      <c r="AE50" s="69"/>
      <c r="AF50" s="50"/>
      <c r="AJ50" s="155"/>
      <c r="AK50" s="69"/>
      <c r="AL50" s="66"/>
      <c r="AM50" s="69"/>
      <c r="AN50" s="69"/>
      <c r="AR50" s="71"/>
      <c r="AS50" s="212"/>
      <c r="AT50" s="69"/>
      <c r="AU50" s="73"/>
      <c r="AV50" s="270">
        <v>600</v>
      </c>
      <c r="AW50" s="264">
        <v>0.91152082772456611</v>
      </c>
      <c r="AX50" s="264">
        <v>0.90229435909025957</v>
      </c>
      <c r="AY50" s="264">
        <v>0.88856202205280843</v>
      </c>
      <c r="AZ50" s="424">
        <v>0.89764806979710809</v>
      </c>
      <c r="BA50" s="264">
        <v>0.92741351343291212</v>
      </c>
      <c r="BB50" s="264">
        <v>0.76103597627394848</v>
      </c>
      <c r="BC50" s="273">
        <v>0.92329635842072066</v>
      </c>
      <c r="BD50"/>
      <c r="BE50" s="66"/>
      <c r="BF50"/>
      <c r="BG50" s="113"/>
      <c r="BP50" s="122">
        <v>8.6</v>
      </c>
      <c r="BQ50" s="119">
        <v>0.598777</v>
      </c>
      <c r="BR50" s="120">
        <v>9.2761410999999995E-12</v>
      </c>
      <c r="BS50" s="120">
        <v>8.3426315000000007E-9</v>
      </c>
      <c r="BT50" s="121">
        <v>2.0952740000000001E-2</v>
      </c>
      <c r="BU50" s="121">
        <v>1.1118962999999999E-3</v>
      </c>
      <c r="BV50" s="121">
        <v>4.7479228000000002E-3</v>
      </c>
      <c r="BW50" s="121">
        <v>0.14830463999999999</v>
      </c>
      <c r="BX50"/>
      <c r="BY50" s="597">
        <v>5.6</v>
      </c>
      <c r="BZ50" s="598">
        <v>2.3097161000000002E-9</v>
      </c>
      <c r="CA50" s="599">
        <v>3.7376763E-2</v>
      </c>
      <c r="CB50" s="598">
        <f t="shared" si="4"/>
        <v>1.9855932970229449E-9</v>
      </c>
      <c r="CC50" s="598">
        <f t="shared" si="5"/>
        <v>2.0907902928917107E-9</v>
      </c>
      <c r="CD50" s="599">
        <f t="shared" si="6"/>
        <v>7.4753526000000001E-2</v>
      </c>
      <c r="CE50"/>
      <c r="CF50"/>
      <c r="CG50"/>
      <c r="CH50"/>
      <c r="CI50"/>
    </row>
    <row r="51" spans="1:87" s="36" customFormat="1" ht="15.6">
      <c r="B51" s="69"/>
      <c r="C51" s="375" t="s">
        <v>403</v>
      </c>
      <c r="D51" s="388">
        <v>3.0350491910978936E-5</v>
      </c>
      <c r="E51" s="392">
        <v>3.0350491910978938E-3</v>
      </c>
      <c r="F51" s="409">
        <v>6.6269600836289744E-2</v>
      </c>
      <c r="G51" s="389">
        <v>3.0838648501410628E-2</v>
      </c>
      <c r="H51" s="389">
        <v>2.4977156357502799E-2</v>
      </c>
      <c r="I51" s="389">
        <v>0.79444734192530309</v>
      </c>
      <c r="J51" s="390">
        <v>8.3467252379493873E-2</v>
      </c>
      <c r="K51" s="378"/>
      <c r="L51" s="381"/>
      <c r="M51" s="54"/>
      <c r="N51" s="54"/>
      <c r="O51" s="73"/>
      <c r="P51" s="461"/>
      <c r="Q51" s="461"/>
      <c r="R51" s="464" t="str">
        <f>ScenarioSelected</f>
        <v>Imaging 2</v>
      </c>
      <c r="S51" s="465" t="s">
        <v>552</v>
      </c>
      <c r="T51" s="466"/>
      <c r="U51" s="461"/>
      <c r="V51" s="548" t="s">
        <v>599</v>
      </c>
      <c r="W51" s="549">
        <v>4</v>
      </c>
      <c r="X51" s="542" t="s">
        <v>597</v>
      </c>
      <c r="Y51" s="461"/>
      <c r="Z51" s="447" t="s">
        <v>599</v>
      </c>
      <c r="AA51" s="544">
        <v>17</v>
      </c>
      <c r="AB51" s="546" t="s">
        <v>597</v>
      </c>
      <c r="AC51" s="461"/>
      <c r="AD51" s="73"/>
      <c r="AE51" s="69"/>
      <c r="AF51" s="366" t="s">
        <v>379</v>
      </c>
      <c r="AH51" s="105"/>
      <c r="AI51" s="71"/>
      <c r="AJ51" s="155"/>
      <c r="AK51" s="69"/>
      <c r="AL51" s="66"/>
      <c r="AM51" s="69"/>
      <c r="AN51" s="69"/>
      <c r="AR51" s="71"/>
      <c r="AS51" s="212"/>
      <c r="AT51" s="69"/>
      <c r="AU51" s="73"/>
      <c r="AV51" s="270">
        <v>610</v>
      </c>
      <c r="AW51" s="264">
        <v>0.91401629464757861</v>
      </c>
      <c r="AX51" s="264">
        <v>0.90476456674700756</v>
      </c>
      <c r="AY51" s="264">
        <v>0.88706687507652238</v>
      </c>
      <c r="AZ51" s="424">
        <v>0.89613763409986125</v>
      </c>
      <c r="BA51" s="264">
        <v>0.92883666696160205</v>
      </c>
      <c r="BB51" s="264">
        <v>0.77466864933145207</v>
      </c>
      <c r="BC51" s="273">
        <v>0.91832904282662275</v>
      </c>
      <c r="BD51"/>
      <c r="BE51" s="66"/>
      <c r="BF51"/>
      <c r="BG51" s="113"/>
      <c r="BP51" s="122">
        <v>8.8000000000000007</v>
      </c>
      <c r="BQ51" s="119">
        <v>0.61270199999999997</v>
      </c>
      <c r="BR51" s="120">
        <v>1.2595295E-11</v>
      </c>
      <c r="BS51" s="120">
        <v>1.5453628000000001E-8</v>
      </c>
      <c r="BT51" s="121">
        <v>1.6233356000000001E-2</v>
      </c>
      <c r="BU51" s="121">
        <v>8.1503806999999996E-4</v>
      </c>
      <c r="BV51" s="121">
        <v>4.6326965000000001E-3</v>
      </c>
      <c r="BW51" s="121">
        <v>0.11490058</v>
      </c>
      <c r="BX51"/>
      <c r="BY51" s="597">
        <v>5.8</v>
      </c>
      <c r="BZ51" s="598">
        <v>2.4016781000000001E-9</v>
      </c>
      <c r="CA51" s="599">
        <v>3.6614594E-2</v>
      </c>
      <c r="CB51" s="598">
        <f t="shared" si="4"/>
        <v>2.0646502559196787E-9</v>
      </c>
      <c r="CC51" s="598">
        <f t="shared" si="5"/>
        <v>2.1740356999419137E-9</v>
      </c>
      <c r="CD51" s="599">
        <f t="shared" si="6"/>
        <v>7.3229188000000001E-2</v>
      </c>
      <c r="CE51"/>
      <c r="CF51"/>
      <c r="CG51"/>
      <c r="CH51"/>
      <c r="CI51"/>
    </row>
    <row r="52" spans="1:87" s="36" customFormat="1" ht="15.6">
      <c r="B52" s="69"/>
      <c r="C52" s="403" t="s">
        <v>590</v>
      </c>
      <c r="D52" s="384">
        <v>5.8165022058619823E-3</v>
      </c>
      <c r="E52" s="369">
        <v>0.5816502205861982</v>
      </c>
      <c r="F52" s="407">
        <v>0.57922295451631389</v>
      </c>
      <c r="G52" s="385">
        <v>0.17673868966860756</v>
      </c>
      <c r="H52" s="385">
        <v>0.13347948187633971</v>
      </c>
      <c r="I52" s="385">
        <v>0.10704178666267945</v>
      </c>
      <c r="J52" s="386">
        <v>3.5170872760594673E-3</v>
      </c>
      <c r="K52" s="372"/>
      <c r="L52" s="381"/>
      <c r="M52" s="54"/>
      <c r="N52" s="54"/>
      <c r="O52" s="73"/>
      <c r="P52" s="461"/>
      <c r="Q52" s="461"/>
      <c r="R52" s="467" t="s">
        <v>546</v>
      </c>
      <c r="S52" s="486">
        <f ca="1">timeToSNR</f>
        <v>0.85578960823972305</v>
      </c>
      <c r="T52" s="485" t="s">
        <v>456</v>
      </c>
      <c r="U52" s="461"/>
      <c r="V52" s="506" t="s">
        <v>593</v>
      </c>
      <c r="W52" s="543">
        <v>4</v>
      </c>
      <c r="X52" s="544">
        <f>W52-$W$51</f>
        <v>0</v>
      </c>
      <c r="Y52" s="461"/>
      <c r="Z52" s="506" t="s">
        <v>593</v>
      </c>
      <c r="AA52" s="543">
        <v>18</v>
      </c>
      <c r="AB52" s="544">
        <f>AA52-AA$51</f>
        <v>1</v>
      </c>
      <c r="AC52" s="461"/>
      <c r="AD52" s="73"/>
      <c r="AE52" s="69"/>
      <c r="AF52" s="366"/>
      <c r="AG52" s="36" t="s">
        <v>212</v>
      </c>
      <c r="AH52" s="143">
        <f>inBWflux0*10^(-0.4*(AH47-Msun+AH15))/(AH11^2)</f>
        <v>1.2871467332422613</v>
      </c>
      <c r="AI52" s="71" t="s">
        <v>213</v>
      </c>
      <c r="AJ52" s="157" t="s">
        <v>201</v>
      </c>
      <c r="AK52" s="69"/>
      <c r="AL52" s="66"/>
      <c r="AM52" s="69"/>
      <c r="AN52" s="69"/>
      <c r="AR52" s="71"/>
      <c r="AS52" s="212"/>
      <c r="AT52" s="69"/>
      <c r="AU52" s="73"/>
      <c r="AV52" s="270">
        <v>620</v>
      </c>
      <c r="AW52" s="264">
        <v>0.91865325591456382</v>
      </c>
      <c r="AX52" s="264">
        <v>0.90976085656468342</v>
      </c>
      <c r="AY52" s="264">
        <v>0.88718963068070278</v>
      </c>
      <c r="AZ52" s="424">
        <v>0.8958614090257021</v>
      </c>
      <c r="BA52" s="264">
        <v>0.92973113817839537</v>
      </c>
      <c r="BB52" s="264">
        <v>0.79039630641035763</v>
      </c>
      <c r="BC52" s="273">
        <v>0.91214288583172509</v>
      </c>
      <c r="BD52"/>
      <c r="BE52" s="66"/>
      <c r="BF52"/>
      <c r="BG52" s="113"/>
      <c r="BP52" s="122">
        <v>9</v>
      </c>
      <c r="BQ52" s="119">
        <v>0.62662700000000005</v>
      </c>
      <c r="BR52" s="120">
        <v>1.5781341999999999E-11</v>
      </c>
      <c r="BS52" s="120">
        <v>3.0038766E-8</v>
      </c>
      <c r="BT52" s="121">
        <v>1.1962502999999999E-2</v>
      </c>
      <c r="BU52" s="121">
        <v>5.2536586E-4</v>
      </c>
      <c r="BV52" s="121">
        <v>4.6090604999999996E-3</v>
      </c>
      <c r="BW52" s="121">
        <v>8.4671251000000003E-2</v>
      </c>
      <c r="BX52"/>
      <c r="BY52" s="597">
        <v>6</v>
      </c>
      <c r="BZ52" s="598">
        <v>2.6987635000000002E-9</v>
      </c>
      <c r="CA52" s="599">
        <v>3.5599563000000001E-2</v>
      </c>
      <c r="CB52" s="598">
        <f t="shared" si="4"/>
        <v>2.3200456176627863E-9</v>
      </c>
      <c r="CC52" s="598">
        <f t="shared" si="5"/>
        <v>2.4429619417773716E-9</v>
      </c>
      <c r="CD52" s="599">
        <f t="shared" si="6"/>
        <v>7.1199126000000001E-2</v>
      </c>
      <c r="CE52"/>
      <c r="CF52"/>
      <c r="CG52"/>
      <c r="CH52"/>
      <c r="CI52"/>
    </row>
    <row r="53" spans="1:87" s="36" customFormat="1" ht="23.4">
      <c r="B53" s="69"/>
      <c r="C53" s="404" t="s">
        <v>591</v>
      </c>
      <c r="D53" s="380">
        <v>9.0264404691328039E-3</v>
      </c>
      <c r="E53" s="372">
        <v>0.90264404691328037</v>
      </c>
      <c r="F53" s="408">
        <v>0.82728991278795061</v>
      </c>
      <c r="G53" s="379">
        <v>6.3107881870935439E-2</v>
      </c>
      <c r="H53" s="379">
        <v>9.5322731997621243E-2</v>
      </c>
      <c r="I53" s="379">
        <v>1.2056086395851828E-2</v>
      </c>
      <c r="J53" s="387">
        <v>2.22338694764079E-3</v>
      </c>
      <c r="K53" s="372"/>
      <c r="L53" s="381"/>
      <c r="M53" s="54"/>
      <c r="N53" s="54"/>
      <c r="O53" s="73"/>
      <c r="P53" s="461"/>
      <c r="Q53" s="461"/>
      <c r="R53" s="467"/>
      <c r="S53" s="554">
        <f>mpix</f>
        <v>4.9524687152701317</v>
      </c>
      <c r="T53" s="468" t="s">
        <v>553</v>
      </c>
      <c r="U53" s="461"/>
      <c r="V53" s="467" t="s">
        <v>594</v>
      </c>
      <c r="W53" s="545">
        <v>8</v>
      </c>
      <c r="X53" s="546">
        <f>W53-$W$51</f>
        <v>4</v>
      </c>
      <c r="Y53" s="461"/>
      <c r="Z53" s="467" t="s">
        <v>594</v>
      </c>
      <c r="AA53" s="545">
        <v>18</v>
      </c>
      <c r="AB53" s="546">
        <f t="shared" ref="AB53:AB54" si="7">AA53-AA$51</f>
        <v>1</v>
      </c>
      <c r="AC53" s="461"/>
      <c r="AD53" s="73"/>
      <c r="AE53" s="69"/>
      <c r="AF53" s="366"/>
      <c r="AG53" s="36" t="s">
        <v>219</v>
      </c>
      <c r="AH53" s="143">
        <f>inBWflux0*10^(-0.4*AH14)</f>
        <v>3.9747172546172136</v>
      </c>
      <c r="AI53" s="71" t="s">
        <v>213</v>
      </c>
      <c r="AJ53" s="155"/>
      <c r="AK53" s="69"/>
      <c r="AL53" s="66"/>
      <c r="AM53" s="69"/>
      <c r="AN53" s="69"/>
      <c r="AR53" s="71"/>
      <c r="AS53" s="212"/>
      <c r="AT53" s="69"/>
      <c r="AU53" s="73"/>
      <c r="AV53" s="270">
        <v>630</v>
      </c>
      <c r="AW53" s="264">
        <v>0.92269629832549793</v>
      </c>
      <c r="AX53" s="264">
        <v>0.91376476304758913</v>
      </c>
      <c r="AY53" s="264">
        <v>0.88536534982322335</v>
      </c>
      <c r="AZ53" s="424">
        <v>0.89401929685157078</v>
      </c>
      <c r="BA53" s="264">
        <v>0.92975945456878428</v>
      </c>
      <c r="BB53" s="264">
        <v>0.80471585682762214</v>
      </c>
      <c r="BC53" s="273">
        <v>0.90492503934309698</v>
      </c>
      <c r="BD53"/>
      <c r="BE53" s="66"/>
      <c r="BF53"/>
      <c r="BG53" s="634" t="s">
        <v>635</v>
      </c>
      <c r="BH53" s="633"/>
      <c r="BI53" s="633"/>
      <c r="BJ53" s="633"/>
      <c r="BK53" s="633"/>
      <c r="BL53" s="633"/>
      <c r="BM53" s="633"/>
      <c r="BN53" s="633"/>
      <c r="BO53" s="633"/>
      <c r="BP53" s="633"/>
      <c r="BQ53" s="633"/>
      <c r="BR53" s="633"/>
      <c r="BS53" s="633"/>
      <c r="BT53" s="633"/>
      <c r="BU53" s="633"/>
      <c r="BV53" s="633"/>
      <c r="BW53" s="633"/>
      <c r="BX53"/>
      <c r="BY53" s="597">
        <v>6.2</v>
      </c>
      <c r="BZ53" s="598">
        <v>3.0374616000000001E-9</v>
      </c>
      <c r="CA53" s="599">
        <v>3.5502841E-2</v>
      </c>
      <c r="CB53" s="598">
        <f t="shared" si="4"/>
        <v>2.6112141630413322E-9</v>
      </c>
      <c r="CC53" s="598">
        <f t="shared" si="5"/>
        <v>2.7495566352554426E-9</v>
      </c>
      <c r="CD53" s="599">
        <f t="shared" si="6"/>
        <v>7.1005682000000001E-2</v>
      </c>
      <c r="CE53"/>
      <c r="CF53"/>
      <c r="CG53"/>
      <c r="CH53"/>
      <c r="CI53"/>
    </row>
    <row r="54" spans="1:87" s="36" customFormat="1" ht="18">
      <c r="B54" s="69"/>
      <c r="C54" s="630" t="s">
        <v>631</v>
      </c>
      <c r="D54" s="388">
        <v>6.8332776089853327E-4</v>
      </c>
      <c r="E54" s="376">
        <v>6.8332776089853331E-2</v>
      </c>
      <c r="F54" s="409">
        <v>0.57699763623110722</v>
      </c>
      <c r="G54" s="389">
        <v>0.14352127798408537</v>
      </c>
      <c r="H54" s="389">
        <v>0.1188595824524441</v>
      </c>
      <c r="I54" s="389">
        <v>0.13561191471316089</v>
      </c>
      <c r="J54" s="390">
        <v>2.5009588619202498E-2</v>
      </c>
      <c r="K54" s="372"/>
      <c r="L54" s="381"/>
      <c r="M54" s="54"/>
      <c r="N54" s="54"/>
      <c r="O54" s="73"/>
      <c r="P54" s="461"/>
      <c r="Q54" s="461"/>
      <c r="R54" s="470" t="s">
        <v>547</v>
      </c>
      <c r="S54" s="471">
        <f ca="1">S55/S56</f>
        <v>5</v>
      </c>
      <c r="T54" s="472"/>
      <c r="U54" s="461"/>
      <c r="V54" s="467" t="s">
        <v>595</v>
      </c>
      <c r="W54" s="547">
        <v>5</v>
      </c>
      <c r="X54" s="546">
        <f>W54-$W$51</f>
        <v>1</v>
      </c>
      <c r="Y54" s="461"/>
      <c r="Z54" s="467" t="s">
        <v>659</v>
      </c>
      <c r="AA54" s="547">
        <v>17</v>
      </c>
      <c r="AB54" s="546">
        <f t="shared" si="7"/>
        <v>0</v>
      </c>
      <c r="AC54" s="461"/>
      <c r="AD54" s="73"/>
      <c r="AE54" s="69"/>
      <c r="AF54" s="366"/>
      <c r="AG54" s="36" t="s">
        <v>423</v>
      </c>
      <c r="AH54" s="143">
        <f>SUM(AH52:AH53)*Acol</f>
        <v>23.212728473301919</v>
      </c>
      <c r="AI54" s="71" t="s">
        <v>424</v>
      </c>
      <c r="AJ54" s="155"/>
      <c r="AK54" s="69"/>
      <c r="AL54" s="66"/>
      <c r="AM54" s="69"/>
      <c r="AN54" s="69"/>
      <c r="AR54" s="71"/>
      <c r="AS54" s="212"/>
      <c r="AT54" s="69"/>
      <c r="AU54" s="73"/>
      <c r="AV54" s="270">
        <v>640</v>
      </c>
      <c r="AW54" s="264">
        <v>0.92649261848807629</v>
      </c>
      <c r="AX54" s="264">
        <v>0.91725114082860015</v>
      </c>
      <c r="AY54" s="264">
        <v>0.88194825445745106</v>
      </c>
      <c r="AZ54" s="424">
        <v>0.89083404890085693</v>
      </c>
      <c r="BA54" s="264">
        <v>0.92908190157891113</v>
      </c>
      <c r="BB54" s="264">
        <v>0.81814648485609853</v>
      </c>
      <c r="BC54" s="273">
        <v>0.89658659898330262</v>
      </c>
      <c r="BD54"/>
      <c r="BE54" s="66"/>
      <c r="BF54"/>
      <c r="BG54" s="618" t="s">
        <v>638</v>
      </c>
      <c r="BH54" s="618"/>
      <c r="BI54" s="588"/>
      <c r="BJ54" s="588"/>
      <c r="BK54" s="588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139"/>
      <c r="BX54"/>
      <c r="BY54" s="597">
        <v>6.4</v>
      </c>
      <c r="BZ54" s="598">
        <v>2.6770230000000001E-9</v>
      </c>
      <c r="CA54" s="599">
        <v>3.5333435000000003E-2</v>
      </c>
      <c r="CB54" s="598">
        <f t="shared" si="4"/>
        <v>2.3013559652531559E-9</v>
      </c>
      <c r="CC54" s="598">
        <f t="shared" si="5"/>
        <v>2.4232821091076285E-9</v>
      </c>
      <c r="CD54" s="599">
        <f t="shared" si="6"/>
        <v>7.0666870000000007E-2</v>
      </c>
      <c r="CE54"/>
      <c r="CF54"/>
      <c r="CG54"/>
      <c r="CH54"/>
      <c r="CI54"/>
    </row>
    <row r="55" spans="1:87" s="36" customFormat="1">
      <c r="B55" s="69"/>
      <c r="C55" s="69"/>
      <c r="D55" s="72"/>
      <c r="E55" s="69"/>
      <c r="F55" s="72"/>
      <c r="G55" s="69"/>
      <c r="H55" s="69"/>
      <c r="I55" s="90"/>
      <c r="J55" s="69"/>
      <c r="K55" s="362"/>
      <c r="L55" s="54"/>
      <c r="M55" s="54"/>
      <c r="N55" s="54"/>
      <c r="O55" s="73"/>
      <c r="P55" s="461"/>
      <c r="Q55" s="461"/>
      <c r="R55" s="473" t="s">
        <v>543</v>
      </c>
      <c r="S55" s="474">
        <f ca="1">pl_signalRate*timeToSNR*3600</f>
        <v>44.518691498166234</v>
      </c>
      <c r="T55" s="475" t="s">
        <v>544</v>
      </c>
      <c r="U55" s="461"/>
      <c r="V55" s="508" t="s">
        <v>596</v>
      </c>
      <c r="W55" s="541">
        <v>14</v>
      </c>
      <c r="X55" s="542">
        <f>W55-$W$51</f>
        <v>10</v>
      </c>
      <c r="Y55" s="461"/>
      <c r="Z55" s="508"/>
      <c r="AA55" s="541"/>
      <c r="AB55" s="542"/>
      <c r="AC55" s="461"/>
      <c r="AD55" s="73"/>
      <c r="AE55" s="69"/>
      <c r="AF55" s="366"/>
      <c r="AG55" s="36" t="s">
        <v>203</v>
      </c>
      <c r="AH55" s="105">
        <f ca="1" xml:space="preserve"> AH52*AP13*Acol*t_zodi*QE</f>
        <v>1.0574732359012497E-3</v>
      </c>
      <c r="AI55" s="71" t="s">
        <v>157</v>
      </c>
      <c r="AJ55" s="155"/>
      <c r="AK55" s="69"/>
      <c r="AL55" s="66"/>
      <c r="AM55" s="69"/>
      <c r="AN55" s="69"/>
      <c r="AR55" s="71"/>
      <c r="AS55" s="212"/>
      <c r="AT55" s="69"/>
      <c r="AU55" s="73"/>
      <c r="AV55" s="270">
        <v>650</v>
      </c>
      <c r="AW55" s="264">
        <v>0.92906070362307758</v>
      </c>
      <c r="AX55" s="264">
        <v>0.91979361010770666</v>
      </c>
      <c r="AY55" s="264">
        <v>0.87642884507918961</v>
      </c>
      <c r="AZ55" s="424">
        <v>0.88525903043562659</v>
      </c>
      <c r="BA55" s="264">
        <v>0.92770492480362243</v>
      </c>
      <c r="BB55" s="264">
        <v>0.82981225126748259</v>
      </c>
      <c r="BC55" s="273">
        <v>0.88640724680471261</v>
      </c>
      <c r="BD55"/>
      <c r="BE55" s="66"/>
      <c r="BF55"/>
      <c r="BG55"/>
      <c r="BH55"/>
      <c r="BI55"/>
      <c r="BJ55"/>
      <c r="BK55"/>
      <c r="BM55"/>
      <c r="BN55"/>
      <c r="BO55"/>
      <c r="BP55"/>
      <c r="BQ55"/>
      <c r="BR55"/>
      <c r="BS55"/>
      <c r="BT55"/>
      <c r="BU55"/>
      <c r="BV55"/>
      <c r="BW55"/>
      <c r="BX55"/>
      <c r="BY55" s="597">
        <v>6.6</v>
      </c>
      <c r="BZ55" s="598">
        <v>2.6305677E-9</v>
      </c>
      <c r="CA55" s="599">
        <v>3.5091346000000002E-2</v>
      </c>
      <c r="CB55" s="598">
        <f t="shared" si="4"/>
        <v>2.261419744394155E-9</v>
      </c>
      <c r="CC55" s="598">
        <f t="shared" si="5"/>
        <v>2.3812300619779517E-9</v>
      </c>
      <c r="CD55" s="599">
        <f t="shared" si="6"/>
        <v>7.0182692000000005E-2</v>
      </c>
      <c r="CE55"/>
      <c r="CF55"/>
      <c r="CG55"/>
      <c r="CH55"/>
      <c r="CI55"/>
    </row>
    <row r="56" spans="1:87" s="36" customFormat="1" ht="15.6">
      <c r="A56" s="73"/>
      <c r="B56" s="73"/>
      <c r="C56" s="73"/>
      <c r="D56" s="201"/>
      <c r="E56" s="202"/>
      <c r="F56" s="206"/>
      <c r="G56" s="202"/>
      <c r="H56" s="73"/>
      <c r="I56" s="207"/>
      <c r="J56" s="202"/>
      <c r="K56" s="202"/>
      <c r="L56" s="65"/>
      <c r="M56" s="65"/>
      <c r="N56" s="65"/>
      <c r="O56" s="73"/>
      <c r="P56" s="461"/>
      <c r="Q56" s="461"/>
      <c r="R56" s="476" t="s">
        <v>550</v>
      </c>
      <c r="S56" s="477">
        <f ca="1">SQRT(SUMSQ(S57:S59))</f>
        <v>8.9037382996332468</v>
      </c>
      <c r="T56" s="478" t="s">
        <v>544</v>
      </c>
      <c r="U56" s="461"/>
      <c r="V56" s="461"/>
      <c r="W56" s="461"/>
      <c r="X56" s="461"/>
      <c r="Y56" s="461"/>
      <c r="Z56" s="461"/>
      <c r="AA56" s="461"/>
      <c r="AB56" s="461"/>
      <c r="AC56" s="461"/>
      <c r="AD56" s="73"/>
      <c r="AE56" s="69"/>
      <c r="AF56" s="366"/>
      <c r="AG56" s="36" t="s">
        <v>202</v>
      </c>
      <c r="AH56" s="105">
        <f ca="1" xml:space="preserve"> AH53*AP13*Acol*t_zodi*QE</f>
        <v>3.265484041935952E-3</v>
      </c>
      <c r="AI56" s="71" t="s">
        <v>157</v>
      </c>
      <c r="AJ56" s="155"/>
      <c r="AK56" s="69"/>
      <c r="AL56" s="66"/>
      <c r="AM56" s="69"/>
      <c r="AN56" s="69"/>
      <c r="AR56" s="60"/>
      <c r="AS56" s="69"/>
      <c r="AT56" s="69"/>
      <c r="AU56" s="73"/>
      <c r="AV56" s="435">
        <v>660</v>
      </c>
      <c r="AW56" s="436">
        <v>0.93230479415755074</v>
      </c>
      <c r="AX56" s="436">
        <v>0.92300534184125549</v>
      </c>
      <c r="AY56" s="436">
        <v>0.87023028026027327</v>
      </c>
      <c r="AZ56" s="443">
        <v>0.87899801391101573</v>
      </c>
      <c r="BA56" s="436">
        <v>0.9254513116073706</v>
      </c>
      <c r="BB56" s="436">
        <v>0.84131163926132224</v>
      </c>
      <c r="BC56" s="437">
        <v>0.87465468113338318</v>
      </c>
      <c r="BD56"/>
      <c r="BE56" s="66"/>
      <c r="BF56"/>
      <c r="BG56" s="113" t="s">
        <v>637</v>
      </c>
      <c r="BH56"/>
      <c r="BI56"/>
      <c r="BJ56"/>
      <c r="BK56"/>
      <c r="BL56"/>
      <c r="BM56"/>
      <c r="BN56"/>
      <c r="BO56"/>
      <c r="BP56" s="113"/>
      <c r="BX56"/>
      <c r="BY56" s="597">
        <v>6.8</v>
      </c>
      <c r="BZ56" s="598">
        <v>2.5476428000000002E-9</v>
      </c>
      <c r="CA56" s="599">
        <v>3.4776570999999999E-2</v>
      </c>
      <c r="CB56" s="598">
        <f t="shared" si="4"/>
        <v>2.1901317079136988E-9</v>
      </c>
      <c r="CC56" s="598">
        <f t="shared" si="5"/>
        <v>2.3061651758826367E-9</v>
      </c>
      <c r="CD56" s="599">
        <f t="shared" si="6"/>
        <v>6.9553141999999998E-2</v>
      </c>
      <c r="CE56"/>
      <c r="CF56"/>
      <c r="CG56"/>
      <c r="CH56"/>
      <c r="CI56"/>
    </row>
    <row r="57" spans="1:87" s="36" customFormat="1" ht="15.6">
      <c r="B57" s="69"/>
      <c r="C57" s="69"/>
      <c r="D57" s="80" t="s">
        <v>524</v>
      </c>
      <c r="E57" s="372"/>
      <c r="F57" s="80"/>
      <c r="G57" s="80"/>
      <c r="H57" s="371"/>
      <c r="I57" s="80"/>
      <c r="J57" s="80"/>
      <c r="K57" s="54"/>
      <c r="L57" s="54"/>
      <c r="M57" s="54"/>
      <c r="N57" s="54"/>
      <c r="O57" s="73"/>
      <c r="P57" s="461"/>
      <c r="Q57" s="461"/>
      <c r="R57" s="479" t="s">
        <v>545</v>
      </c>
      <c r="S57" s="480">
        <f ca="1">SQRT(ENF^2*(pl_convertRate+sp_bkgRate+zo_bkgRate)*timeToSNR*3600)</f>
        <v>8.7024724442066059</v>
      </c>
      <c r="T57" s="481" t="s">
        <v>544</v>
      </c>
      <c r="U57" s="461"/>
      <c r="V57" s="461"/>
      <c r="W57" s="461"/>
      <c r="X57" s="461"/>
      <c r="Y57" s="461"/>
      <c r="Z57" s="461"/>
      <c r="AA57" s="461"/>
      <c r="AB57" s="461"/>
      <c r="AC57" s="461"/>
      <c r="AD57" s="73"/>
      <c r="AE57" s="69"/>
      <c r="AF57" s="366"/>
      <c r="AH57" s="105"/>
      <c r="AI57" s="71"/>
      <c r="AJ57" s="155"/>
      <c r="AK57" s="69"/>
      <c r="AL57" s="66"/>
      <c r="AM57" s="69"/>
      <c r="AN57" s="69"/>
      <c r="AR57" s="60"/>
      <c r="AS57" s="69"/>
      <c r="AT57" s="69"/>
      <c r="AU57" s="73"/>
      <c r="AV57" s="270">
        <v>670</v>
      </c>
      <c r="AW57" s="264">
        <v>0.93448920613307829</v>
      </c>
      <c r="AX57" s="264">
        <v>0.9255813554937401</v>
      </c>
      <c r="AY57" s="264">
        <v>0.86202173751085875</v>
      </c>
      <c r="AZ57" s="424">
        <v>0.87031788656359466</v>
      </c>
      <c r="BA57" s="264">
        <v>0.92267441948866935</v>
      </c>
      <c r="BB57" s="264">
        <v>0.85131707783642341</v>
      </c>
      <c r="BC57" s="273">
        <v>0.86100837781338502</v>
      </c>
      <c r="BD57"/>
      <c r="BE57" s="66"/>
      <c r="BF57"/>
      <c r="BG57" s="593" t="s">
        <v>647</v>
      </c>
      <c r="BK57"/>
      <c r="BL57"/>
      <c r="BM57"/>
      <c r="BN57"/>
      <c r="BO57"/>
      <c r="BP57" s="593" t="s">
        <v>649</v>
      </c>
      <c r="BQ57"/>
      <c r="BR57"/>
      <c r="BS57"/>
      <c r="BT57"/>
      <c r="BU57"/>
      <c r="BV57"/>
      <c r="BW57"/>
      <c r="BX57"/>
      <c r="BY57" s="597">
        <v>7</v>
      </c>
      <c r="BZ57" s="598">
        <v>2.8068757E-9</v>
      </c>
      <c r="CA57" s="599">
        <v>3.4389113999999998E-2</v>
      </c>
      <c r="CB57" s="598">
        <f t="shared" si="4"/>
        <v>2.4129864165975143E-9</v>
      </c>
      <c r="CC57" s="598">
        <f t="shared" si="5"/>
        <v>2.5408267565497009E-9</v>
      </c>
      <c r="CD57" s="599">
        <f t="shared" si="6"/>
        <v>6.8778227999999997E-2</v>
      </c>
      <c r="CE57"/>
      <c r="CF57"/>
      <c r="CG57"/>
      <c r="CH57"/>
      <c r="CI57"/>
    </row>
    <row r="58" spans="1:87" s="36" customFormat="1">
      <c r="B58" s="69"/>
      <c r="C58" s="50" t="s">
        <v>519</v>
      </c>
      <c r="D58" s="414" t="s">
        <v>488</v>
      </c>
      <c r="E58" s="415">
        <v>0</v>
      </c>
      <c r="F58" s="415">
        <v>3</v>
      </c>
      <c r="G58" s="415">
        <v>6</v>
      </c>
      <c r="H58" s="371" t="s">
        <v>525</v>
      </c>
      <c r="I58" s="90"/>
      <c r="J58" s="80" t="s">
        <v>489</v>
      </c>
      <c r="K58" s="54"/>
      <c r="L58" s="54"/>
      <c r="M58" s="54"/>
      <c r="N58" s="54"/>
      <c r="O58" s="73"/>
      <c r="P58" s="461"/>
      <c r="Q58" s="461"/>
      <c r="R58" s="479" t="s">
        <v>548</v>
      </c>
      <c r="S58" s="480">
        <f ca="1">SQRT((darkNoiseRate+CICnoiseRate+readNoiseRate)*timeToSNR*3600)</f>
        <v>1.8248314251696409</v>
      </c>
      <c r="T58" s="481" t="s">
        <v>544</v>
      </c>
      <c r="U58" s="461"/>
      <c r="V58" s="506" t="s">
        <v>631</v>
      </c>
      <c r="W58" s="543" t="s">
        <v>598</v>
      </c>
      <c r="X58" s="466" t="s">
        <v>623</v>
      </c>
      <c r="Y58" s="461"/>
      <c r="Z58" s="506" t="s">
        <v>632</v>
      </c>
      <c r="AA58" s="543" t="s">
        <v>598</v>
      </c>
      <c r="AB58" s="466" t="s">
        <v>624</v>
      </c>
      <c r="AC58" s="461"/>
      <c r="AD58" s="73"/>
      <c r="AE58" s="69"/>
      <c r="AF58" s="366" t="s">
        <v>227</v>
      </c>
      <c r="AH58" s="143"/>
      <c r="AI58" s="158"/>
      <c r="AJ58" s="155"/>
      <c r="AK58" s="69"/>
      <c r="AL58" s="66"/>
      <c r="AM58" s="69"/>
      <c r="AN58" s="69"/>
      <c r="AR58" s="60"/>
      <c r="AS58" s="69"/>
      <c r="AT58" s="69"/>
      <c r="AU58" s="73"/>
      <c r="AV58" s="270">
        <v>680</v>
      </c>
      <c r="AW58" s="264">
        <v>0.93686511212116141</v>
      </c>
      <c r="AX58" s="264">
        <v>0.92793461358440921</v>
      </c>
      <c r="AY58" s="264">
        <v>0.85211282242023367</v>
      </c>
      <c r="AZ58" s="424">
        <v>0.86031360747811259</v>
      </c>
      <c r="BA58" s="264">
        <v>0.91946412440963177</v>
      </c>
      <c r="BB58" s="264">
        <v>0.86103010394896573</v>
      </c>
      <c r="BC58" s="273">
        <v>0.8463539713004935</v>
      </c>
      <c r="BD58"/>
      <c r="BE58" s="66"/>
      <c r="BF58"/>
      <c r="BG58" s="116" t="s">
        <v>164</v>
      </c>
      <c r="BH58" s="116" t="s">
        <v>165</v>
      </c>
      <c r="BI58" s="116" t="s">
        <v>52</v>
      </c>
      <c r="BJ58" s="116" t="s">
        <v>166</v>
      </c>
      <c r="BK58" s="116" t="s">
        <v>167</v>
      </c>
      <c r="BL58" s="116" t="s">
        <v>168</v>
      </c>
      <c r="BM58" s="116" t="s">
        <v>666</v>
      </c>
      <c r="BN58" s="116" t="s">
        <v>169</v>
      </c>
      <c r="BO58"/>
      <c r="BP58" s="580" t="s">
        <v>164</v>
      </c>
      <c r="BQ58" s="580" t="s">
        <v>165</v>
      </c>
      <c r="BR58" s="580" t="s">
        <v>52</v>
      </c>
      <c r="BS58" s="580" t="s">
        <v>166</v>
      </c>
      <c r="BT58" s="580" t="s">
        <v>167</v>
      </c>
      <c r="BU58" s="580" t="s">
        <v>168</v>
      </c>
      <c r="BV58" s="580" t="s">
        <v>666</v>
      </c>
      <c r="BW58" s="580" t="s">
        <v>169</v>
      </c>
      <c r="BX58"/>
      <c r="BY58" s="597">
        <v>7.2</v>
      </c>
      <c r="BZ58" s="598">
        <v>3.1685701E-9</v>
      </c>
      <c r="CA58" s="599">
        <v>3.3928971000000002E-2</v>
      </c>
      <c r="CB58" s="598">
        <f t="shared" si="4"/>
        <v>2.7239241877853828E-9</v>
      </c>
      <c r="CC58" s="598">
        <f t="shared" si="5"/>
        <v>2.8682380520389132E-9</v>
      </c>
      <c r="CD58" s="599">
        <f t="shared" si="6"/>
        <v>6.7857942000000004E-2</v>
      </c>
      <c r="CE58"/>
      <c r="CF58"/>
      <c r="CG58"/>
      <c r="CH58"/>
      <c r="CI58"/>
    </row>
    <row r="59" spans="1:87" s="36" customFormat="1">
      <c r="B59" s="69"/>
      <c r="C59" s="69"/>
      <c r="D59" s="416" t="s">
        <v>400</v>
      </c>
      <c r="E59" s="370">
        <v>3</v>
      </c>
      <c r="F59" s="370">
        <v>2</v>
      </c>
      <c r="G59" s="370">
        <v>1</v>
      </c>
      <c r="H59" s="417">
        <v>200</v>
      </c>
      <c r="I59" s="90"/>
      <c r="J59" s="80" t="s">
        <v>490</v>
      </c>
      <c r="K59" s="54"/>
      <c r="L59" s="54"/>
      <c r="M59" s="54"/>
      <c r="N59" s="54"/>
      <c r="O59" s="73"/>
      <c r="P59" s="461"/>
      <c r="Q59" s="461"/>
      <c r="R59" s="482" t="s">
        <v>549</v>
      </c>
      <c r="S59" s="483">
        <f ca="1">(f_pp*sp_bkgRate)*timeToSNR*3600</f>
        <v>0.46208152515974593</v>
      </c>
      <c r="T59" s="484" t="s">
        <v>544</v>
      </c>
      <c r="U59" s="461"/>
      <c r="V59" s="447" t="s">
        <v>599</v>
      </c>
      <c r="W59" s="544">
        <v>3</v>
      </c>
      <c r="X59" s="546" t="s">
        <v>597</v>
      </c>
      <c r="Y59" s="461"/>
      <c r="Z59" s="447" t="s">
        <v>599</v>
      </c>
      <c r="AA59" s="544">
        <v>1</v>
      </c>
      <c r="AB59" s="546" t="s">
        <v>597</v>
      </c>
      <c r="AC59" s="461"/>
      <c r="AD59" s="73"/>
      <c r="AE59" s="69"/>
      <c r="AF59" s="366"/>
      <c r="AG59" s="36" t="s">
        <v>224</v>
      </c>
      <c r="AH59" s="105">
        <f ca="1">AP10</f>
        <v>5.2406002000000004E-10</v>
      </c>
      <c r="AI59" s="71">
        <f>AP5</f>
        <v>0</v>
      </c>
      <c r="AJ59" s="155"/>
      <c r="AK59" s="69"/>
      <c r="AL59" s="66"/>
      <c r="AM59" s="69"/>
      <c r="AN59" s="69"/>
      <c r="AR59" s="60"/>
      <c r="AS59" s="69"/>
      <c r="AT59" s="69"/>
      <c r="AU59" s="73"/>
      <c r="AV59" s="270">
        <v>690</v>
      </c>
      <c r="AW59" s="264">
        <v>0.9392621104520732</v>
      </c>
      <c r="AX59" s="264">
        <v>0.92989326105497794</v>
      </c>
      <c r="AY59" s="264">
        <v>0.84029215767641363</v>
      </c>
      <c r="AZ59" s="424">
        <v>0.84875825911465719</v>
      </c>
      <c r="BA59" s="264">
        <v>0.91580320386156044</v>
      </c>
      <c r="BB59" s="264">
        <v>0.87029757727838841</v>
      </c>
      <c r="BC59" s="273">
        <v>0.83059897247880021</v>
      </c>
      <c r="BD59"/>
      <c r="BE59" s="66"/>
      <c r="BF59"/>
      <c r="BG59" s="612">
        <v>3</v>
      </c>
      <c r="BH59" s="215">
        <v>0.14299899999999999</v>
      </c>
      <c r="BI59" s="602">
        <v>3.8144394999999998E-12</v>
      </c>
      <c r="BJ59" s="613">
        <v>6E-9</v>
      </c>
      <c r="BK59" s="614">
        <v>1.0177500000000001E-2</v>
      </c>
      <c r="BL59" s="603">
        <v>1.3721821E-3</v>
      </c>
      <c r="BM59" s="603">
        <v>2.0481634000000001E-3</v>
      </c>
      <c r="BN59" s="603">
        <v>0.26489564999999998</v>
      </c>
      <c r="BO59"/>
      <c r="BP59" s="118">
        <v>3</v>
      </c>
      <c r="BQ59" s="119">
        <v>0.14299899999999999</v>
      </c>
      <c r="BR59" s="120">
        <v>3.8144394999999998E-12</v>
      </c>
      <c r="BS59" s="488">
        <v>7.2472260160145984E-9</v>
      </c>
      <c r="BT59" s="121">
        <v>1.0177500000000001E-2</v>
      </c>
      <c r="BU59" s="121">
        <v>1.3721821E-3</v>
      </c>
      <c r="BV59" s="121">
        <v>2.0481634000000001E-3</v>
      </c>
      <c r="BW59" s="121">
        <v>0.26489564999999998</v>
      </c>
      <c r="BX59"/>
      <c r="BY59" s="597">
        <v>7.4</v>
      </c>
      <c r="BZ59" s="598">
        <v>3.3123959999999998E-9</v>
      </c>
      <c r="CA59" s="599">
        <v>3.3396146000000002E-2</v>
      </c>
      <c r="CB59" s="598">
        <f t="shared" si="4"/>
        <v>2.8475669779007104E-9</v>
      </c>
      <c r="CC59" s="598">
        <f t="shared" si="5"/>
        <v>2.9984314535510789E-9</v>
      </c>
      <c r="CD59" s="599">
        <f t="shared" si="6"/>
        <v>6.6792292000000003E-2</v>
      </c>
      <c r="CE59"/>
      <c r="CF59"/>
      <c r="CG59"/>
      <c r="CH59"/>
      <c r="CI59"/>
    </row>
    <row r="60" spans="1:87" s="36" customFormat="1">
      <c r="B60" s="69"/>
      <c r="C60" s="69"/>
      <c r="D60" s="416" t="s">
        <v>402</v>
      </c>
      <c r="E60" s="370">
        <v>2</v>
      </c>
      <c r="F60" s="370">
        <v>1</v>
      </c>
      <c r="G60" s="370">
        <v>0</v>
      </c>
      <c r="H60" s="417">
        <v>200</v>
      </c>
      <c r="I60" s="90"/>
      <c r="J60" s="80" t="s">
        <v>491</v>
      </c>
      <c r="K60" s="54"/>
      <c r="L60" s="54"/>
      <c r="M60" s="54"/>
      <c r="N60" s="54"/>
      <c r="O60" s="73"/>
      <c r="P60" s="461"/>
      <c r="Q60" s="461"/>
      <c r="R60" s="461"/>
      <c r="S60" s="461"/>
      <c r="T60" s="461"/>
      <c r="U60" s="461"/>
      <c r="V60" s="506" t="s">
        <v>660</v>
      </c>
      <c r="W60" s="543">
        <v>3</v>
      </c>
      <c r="X60" s="544">
        <f>W60-W$59</f>
        <v>0</v>
      </c>
      <c r="Y60" s="461"/>
      <c r="Z60" s="506" t="s">
        <v>660</v>
      </c>
      <c r="AA60" s="543">
        <v>1</v>
      </c>
      <c r="AB60" s="544">
        <f>AA60-AA$59</f>
        <v>0</v>
      </c>
      <c r="AC60" s="461"/>
      <c r="AD60" s="73"/>
      <c r="AE60" s="69"/>
      <c r="AF60" s="366"/>
      <c r="AG60" s="36" t="s">
        <v>225</v>
      </c>
      <c r="AH60" s="105">
        <f ca="1">AP12</f>
        <v>6.1652683999999999E-3</v>
      </c>
      <c r="AI60" s="71"/>
      <c r="AJ60" s="155"/>
      <c r="AK60" s="69"/>
      <c r="AL60" s="66"/>
      <c r="AM60" s="69"/>
      <c r="AN60" s="69"/>
      <c r="AR60" s="60"/>
      <c r="AS60" s="69"/>
      <c r="AT60" s="69"/>
      <c r="AU60" s="73"/>
      <c r="AV60" s="270">
        <v>700</v>
      </c>
      <c r="AW60" s="264">
        <v>0.94073681993483382</v>
      </c>
      <c r="AX60" s="264">
        <v>0.93135326076621194</v>
      </c>
      <c r="AY60" s="264">
        <v>0.82644664609070939</v>
      </c>
      <c r="AZ60" s="424">
        <v>0.83477325139718717</v>
      </c>
      <c r="BA60" s="264">
        <v>0.91166686269965724</v>
      </c>
      <c r="BB60" s="264">
        <v>0.87825355126767424</v>
      </c>
      <c r="BC60" s="273">
        <v>0.81295419287805726</v>
      </c>
      <c r="BD60"/>
      <c r="BE60" s="66"/>
      <c r="BF60"/>
      <c r="BG60" s="612">
        <v>3.3</v>
      </c>
      <c r="BH60" s="215">
        <v>0.15729899999999999</v>
      </c>
      <c r="BI60" s="602">
        <v>1.8536469000000001E-12</v>
      </c>
      <c r="BJ60" s="613">
        <v>6E-9</v>
      </c>
      <c r="BK60" s="614">
        <v>1.5567096000000001E-2</v>
      </c>
      <c r="BL60" s="603">
        <v>2.0924100999999999E-3</v>
      </c>
      <c r="BM60" s="603">
        <v>2.0556111999999998E-3</v>
      </c>
      <c r="BN60" s="603">
        <v>0.23484168999999999</v>
      </c>
      <c r="BO60"/>
      <c r="BP60" s="118">
        <v>3.3</v>
      </c>
      <c r="BQ60" s="119">
        <v>0.15729899999999999</v>
      </c>
      <c r="BR60" s="120">
        <v>1.8536469000000001E-12</v>
      </c>
      <c r="BS60" s="488">
        <v>2.3095799984617735E-9</v>
      </c>
      <c r="BT60" s="121">
        <v>1.5567096000000001E-2</v>
      </c>
      <c r="BU60" s="121">
        <v>2.0924100999999999E-3</v>
      </c>
      <c r="BV60" s="121">
        <v>2.0556111999999998E-3</v>
      </c>
      <c r="BW60" s="121">
        <v>0.23484168999999999</v>
      </c>
      <c r="BX60"/>
      <c r="BY60" s="597">
        <v>7.6</v>
      </c>
      <c r="BZ60" s="598">
        <v>3.0853417000000001E-9</v>
      </c>
      <c r="CA60" s="599">
        <v>3.2790636999999997E-2</v>
      </c>
      <c r="CB60" s="598">
        <f t="shared" si="4"/>
        <v>2.6523752415049532E-9</v>
      </c>
      <c r="CC60" s="598">
        <f t="shared" si="5"/>
        <v>2.7928984331078648E-9</v>
      </c>
      <c r="CD60" s="599">
        <f t="shared" si="6"/>
        <v>6.5581273999999995E-2</v>
      </c>
      <c r="CE60"/>
      <c r="CF60"/>
      <c r="CG60"/>
      <c r="CH60"/>
      <c r="CI60"/>
    </row>
    <row r="61" spans="1:87" s="36" customFormat="1">
      <c r="B61" s="69"/>
      <c r="C61" s="69"/>
      <c r="D61" s="418" t="s">
        <v>523</v>
      </c>
      <c r="E61" s="371"/>
      <c r="F61" s="418"/>
      <c r="G61" s="419">
        <f>S7</f>
        <v>0</v>
      </c>
      <c r="H61" s="371"/>
      <c r="I61" s="90"/>
      <c r="J61" s="80" t="s">
        <v>492</v>
      </c>
      <c r="K61" s="54"/>
      <c r="L61" s="54"/>
      <c r="M61" s="54"/>
      <c r="N61" s="54"/>
      <c r="O61" s="73"/>
      <c r="P61" s="461"/>
      <c r="Q61" s="461"/>
      <c r="R61" s="461"/>
      <c r="S61" s="461"/>
      <c r="T61" s="461"/>
      <c r="U61" s="461"/>
      <c r="V61" s="467" t="s">
        <v>662</v>
      </c>
      <c r="W61" s="545">
        <v>5</v>
      </c>
      <c r="X61" s="546">
        <f>W61-W$59</f>
        <v>2</v>
      </c>
      <c r="Y61" s="461"/>
      <c r="Z61" s="467" t="s">
        <v>662</v>
      </c>
      <c r="AA61" s="545">
        <v>2</v>
      </c>
      <c r="AB61" s="546">
        <f>AA61-AA$59</f>
        <v>1</v>
      </c>
      <c r="AC61" s="461"/>
      <c r="AD61" s="73"/>
      <c r="AE61" s="69"/>
      <c r="AF61" s="50"/>
      <c r="AJ61" s="155"/>
      <c r="AK61" s="69"/>
      <c r="AL61" s="66"/>
      <c r="AM61" s="69"/>
      <c r="AN61" s="69"/>
      <c r="AR61" s="60"/>
      <c r="AS61" s="69"/>
      <c r="AT61" s="69"/>
      <c r="AU61" s="73"/>
      <c r="AV61" s="270">
        <v>710</v>
      </c>
      <c r="AW61" s="264">
        <v>0.94162248033510887</v>
      </c>
      <c r="AX61" s="264">
        <v>0.93223008697759024</v>
      </c>
      <c r="AY61" s="264">
        <v>0.81052027119328673</v>
      </c>
      <c r="AZ61" s="424">
        <v>0.81868641527899355</v>
      </c>
      <c r="BA61" s="264">
        <v>0.90701992057085301</v>
      </c>
      <c r="BB61" s="264">
        <v>0.88520601036760671</v>
      </c>
      <c r="BC61" s="273">
        <v>0.7937875644297081</v>
      </c>
      <c r="BD61"/>
      <c r="BE61" s="66"/>
      <c r="BF61"/>
      <c r="BG61" s="612">
        <v>3.6</v>
      </c>
      <c r="BH61" s="215">
        <v>0.171598</v>
      </c>
      <c r="BI61" s="602">
        <v>1.5890446000000001E-12</v>
      </c>
      <c r="BJ61" s="613">
        <v>6E-9</v>
      </c>
      <c r="BK61" s="614">
        <v>1.8421678E-2</v>
      </c>
      <c r="BL61" s="603">
        <v>2.4863297E-3</v>
      </c>
      <c r="BM61" s="603">
        <v>2.0556111999999998E-3</v>
      </c>
      <c r="BN61" s="603">
        <v>0.23055136000000001</v>
      </c>
      <c r="BO61"/>
      <c r="BP61" s="118">
        <v>3.6</v>
      </c>
      <c r="BQ61" s="119">
        <v>0.171598</v>
      </c>
      <c r="BR61" s="120">
        <v>1.5890446000000001E-12</v>
      </c>
      <c r="BS61" s="488">
        <v>1.6662117437376031E-9</v>
      </c>
      <c r="BT61" s="121">
        <v>1.8421678E-2</v>
      </c>
      <c r="BU61" s="121">
        <v>2.4863297E-3</v>
      </c>
      <c r="BV61" s="121">
        <v>2.0556111999999998E-3</v>
      </c>
      <c r="BW61" s="121">
        <v>0.23055136000000001</v>
      </c>
      <c r="BX61"/>
      <c r="BY61" s="597">
        <v>7.8</v>
      </c>
      <c r="BZ61" s="598">
        <v>2.9139084999999999E-9</v>
      </c>
      <c r="CA61" s="599">
        <v>3.2112441999999998E-2</v>
      </c>
      <c r="CB61" s="598">
        <f t="shared" si="4"/>
        <v>2.5049992878943798E-9</v>
      </c>
      <c r="CC61" s="598">
        <f t="shared" si="5"/>
        <v>2.6377144819550092E-9</v>
      </c>
      <c r="CD61" s="599">
        <f t="shared" si="6"/>
        <v>6.4224883999999996E-2</v>
      </c>
      <c r="CE61"/>
      <c r="CF61"/>
      <c r="CG61"/>
      <c r="CH61"/>
      <c r="CI61"/>
    </row>
    <row r="62" spans="1:87" s="36" customFormat="1">
      <c r="B62" s="69"/>
      <c r="C62" s="69"/>
      <c r="D62" s="418"/>
      <c r="E62" s="371"/>
      <c r="F62" s="418"/>
      <c r="G62" s="419"/>
      <c r="H62" s="371"/>
      <c r="I62" s="90"/>
      <c r="J62" s="80"/>
      <c r="K62" s="54"/>
      <c r="L62" s="54"/>
      <c r="M62" s="54"/>
      <c r="N62" s="54"/>
      <c r="O62" s="73"/>
      <c r="P62" s="461"/>
      <c r="Q62" s="461"/>
      <c r="R62" s="461"/>
      <c r="S62" s="461"/>
      <c r="T62" s="461"/>
      <c r="U62" s="461"/>
      <c r="V62" s="467" t="s">
        <v>659</v>
      </c>
      <c r="W62" s="547">
        <v>3</v>
      </c>
      <c r="X62" s="546">
        <f>W62-W$59</f>
        <v>0</v>
      </c>
      <c r="Y62" s="461"/>
      <c r="Z62" s="467" t="s">
        <v>659</v>
      </c>
      <c r="AA62" s="547">
        <v>1</v>
      </c>
      <c r="AB62" s="546">
        <f>AA62-AA$59</f>
        <v>0</v>
      </c>
      <c r="AC62" s="461"/>
      <c r="AD62" s="73"/>
      <c r="AE62" s="69"/>
      <c r="AF62" s="366" t="s">
        <v>137</v>
      </c>
      <c r="AJ62" s="155"/>
      <c r="AK62" s="69"/>
      <c r="AL62" s="66"/>
      <c r="AM62" s="69"/>
      <c r="AN62" s="69"/>
      <c r="AR62" s="60"/>
      <c r="AS62" s="69"/>
      <c r="AT62" s="69"/>
      <c r="AU62" s="73"/>
      <c r="AV62" s="270">
        <v>720</v>
      </c>
      <c r="AW62" s="264">
        <v>0.94135079926295029</v>
      </c>
      <c r="AX62" s="264">
        <v>0.932377541718591</v>
      </c>
      <c r="AY62" s="264">
        <v>0.79245050147273144</v>
      </c>
      <c r="AZ62" s="424">
        <v>0.80007709276510053</v>
      </c>
      <c r="BA62" s="264">
        <v>0.90178985727076211</v>
      </c>
      <c r="BB62" s="264">
        <v>0.89063152632463705</v>
      </c>
      <c r="BC62" s="273">
        <v>0.77273267882897734</v>
      </c>
      <c r="BD62"/>
      <c r="BE62" s="66"/>
      <c r="BF62"/>
      <c r="BG62" s="612">
        <v>3.9</v>
      </c>
      <c r="BH62" s="215">
        <v>0.18589800000000001</v>
      </c>
      <c r="BI62" s="602">
        <v>2.1866609E-12</v>
      </c>
      <c r="BJ62" s="613">
        <v>6E-9</v>
      </c>
      <c r="BK62" s="614">
        <v>1.9613994999999999E-2</v>
      </c>
      <c r="BL62" s="603">
        <v>2.6421833999999999E-3</v>
      </c>
      <c r="BM62" s="603">
        <v>2.0556111999999998E-3</v>
      </c>
      <c r="BN62" s="603">
        <v>0.23373368</v>
      </c>
      <c r="BO62"/>
      <c r="BP62" s="118">
        <v>3.9</v>
      </c>
      <c r="BQ62" s="119">
        <v>0.18589800000000001</v>
      </c>
      <c r="BR62" s="120">
        <v>2.1866609E-12</v>
      </c>
      <c r="BS62" s="488">
        <v>2.1576017733061114E-9</v>
      </c>
      <c r="BT62" s="121">
        <v>1.9613994999999999E-2</v>
      </c>
      <c r="BU62" s="121">
        <v>2.6421833999999999E-3</v>
      </c>
      <c r="BV62" s="121">
        <v>2.0556111999999998E-3</v>
      </c>
      <c r="BW62" s="121">
        <v>0.23373368</v>
      </c>
      <c r="BX62"/>
      <c r="BY62" s="597">
        <v>8</v>
      </c>
      <c r="BZ62" s="598">
        <v>2.6977739999999999E-9</v>
      </c>
      <c r="CA62" s="599">
        <v>3.1361565000000001E-2</v>
      </c>
      <c r="CB62" s="598">
        <f t="shared" si="4"/>
        <v>2.3191949743445864E-9</v>
      </c>
      <c r="CC62" s="598">
        <f t="shared" si="5"/>
        <v>2.4420662312635051E-9</v>
      </c>
      <c r="CD62" s="599">
        <f t="shared" si="6"/>
        <v>6.2723130000000002E-2</v>
      </c>
      <c r="CE62"/>
      <c r="CF62"/>
      <c r="CG62"/>
      <c r="CH62"/>
      <c r="CI62"/>
    </row>
    <row r="63" spans="1:87" s="36" customFormat="1">
      <c r="B63" s="69"/>
      <c r="C63" s="69"/>
      <c r="D63" s="110" t="s">
        <v>527</v>
      </c>
      <c r="E63" s="72"/>
      <c r="F63" s="72"/>
      <c r="G63" s="69"/>
      <c r="H63" s="69"/>
      <c r="I63" s="90"/>
      <c r="J63" s="80"/>
      <c r="K63" s="54"/>
      <c r="L63" s="54"/>
      <c r="M63" s="54"/>
      <c r="N63" s="54"/>
      <c r="O63" s="73"/>
      <c r="P63" s="461"/>
      <c r="Q63" s="461"/>
      <c r="R63" s="461"/>
      <c r="S63" s="461"/>
      <c r="T63" s="461"/>
      <c r="U63" s="461"/>
      <c r="V63" s="467" t="s">
        <v>663</v>
      </c>
      <c r="W63" s="547">
        <v>1</v>
      </c>
      <c r="X63" s="546">
        <f>W63-W$59</f>
        <v>-2</v>
      </c>
      <c r="Y63" s="461"/>
      <c r="Z63" s="467" t="s">
        <v>663</v>
      </c>
      <c r="AA63" s="547">
        <v>0</v>
      </c>
      <c r="AB63" s="546">
        <f>AA63-AA$59</f>
        <v>-1</v>
      </c>
      <c r="AC63" s="461"/>
      <c r="AD63" s="73"/>
      <c r="AE63" s="69"/>
      <c r="AF63" s="366"/>
      <c r="AG63" s="69" t="s">
        <v>207</v>
      </c>
      <c r="AH63" s="76">
        <f>h_planck*c_light/lambda</f>
        <v>3.5158332958939118E-19</v>
      </c>
      <c r="AI63" s="71" t="s">
        <v>43</v>
      </c>
      <c r="AJ63" s="155" t="s">
        <v>208</v>
      </c>
      <c r="AK63" s="69"/>
      <c r="AL63" s="66"/>
      <c r="AM63" s="69"/>
      <c r="AN63" s="69"/>
      <c r="AR63" s="60"/>
      <c r="AS63" s="69"/>
      <c r="AT63" s="69"/>
      <c r="AU63" s="73"/>
      <c r="AV63" s="270">
        <v>730</v>
      </c>
      <c r="AW63" s="264">
        <v>0.94066126506723813</v>
      </c>
      <c r="AX63" s="264">
        <v>0.93169458038384478</v>
      </c>
      <c r="AY63" s="264">
        <v>0.77226245118780235</v>
      </c>
      <c r="AZ63" s="424">
        <v>0.77969475146991052</v>
      </c>
      <c r="BA63" s="264">
        <v>0.89590708663314489</v>
      </c>
      <c r="BB63" s="264">
        <v>0.89522829036382445</v>
      </c>
      <c r="BC63" s="273">
        <v>0.75052611937720126</v>
      </c>
      <c r="BD63"/>
      <c r="BE63" s="66"/>
      <c r="BF63"/>
      <c r="BG63" s="612">
        <v>4.2</v>
      </c>
      <c r="BH63" s="215">
        <v>0.20019799999999999</v>
      </c>
      <c r="BI63" s="602">
        <v>2.4631614999999998E-12</v>
      </c>
      <c r="BJ63" s="613">
        <v>3E-9</v>
      </c>
      <c r="BK63" s="614">
        <v>2.0714155000000001E-2</v>
      </c>
      <c r="BL63" s="603">
        <v>2.7836088000000002E-3</v>
      </c>
      <c r="BM63" s="603">
        <v>2.0630590999999999E-3</v>
      </c>
      <c r="BN63" s="603">
        <v>0.23469693</v>
      </c>
      <c r="BO63"/>
      <c r="BP63" s="118">
        <v>4.2</v>
      </c>
      <c r="BQ63" s="119">
        <v>0.20019799999999999</v>
      </c>
      <c r="BR63" s="120">
        <v>2.4631614999999998E-12</v>
      </c>
      <c r="BS63" s="488">
        <v>2.306946387724597E-9</v>
      </c>
      <c r="BT63" s="121">
        <v>2.0714155000000001E-2</v>
      </c>
      <c r="BU63" s="121">
        <v>2.7836088000000002E-3</v>
      </c>
      <c r="BV63" s="121">
        <v>2.0630590999999999E-3</v>
      </c>
      <c r="BW63" s="121">
        <v>0.23469693</v>
      </c>
      <c r="BX63"/>
      <c r="BY63" s="597">
        <v>8.1999999999999993</v>
      </c>
      <c r="BZ63" s="598">
        <v>3.1020396000000001E-9</v>
      </c>
      <c r="CA63" s="599">
        <v>2.8432188000000001E-2</v>
      </c>
      <c r="CB63" s="598">
        <f t="shared" si="4"/>
        <v>2.6667299227206913E-9</v>
      </c>
      <c r="CC63" s="598">
        <f t="shared" si="5"/>
        <v>2.8080136272356955E-9</v>
      </c>
      <c r="CD63" s="599">
        <f t="shared" si="6"/>
        <v>5.6864376000000001E-2</v>
      </c>
      <c r="CE63"/>
      <c r="CF63"/>
      <c r="CG63"/>
      <c r="CH63"/>
      <c r="CI63"/>
    </row>
    <row r="64" spans="1:87" s="36" customFormat="1">
      <c r="B64" s="69"/>
      <c r="C64" s="69"/>
      <c r="D64" s="414" t="s">
        <v>488</v>
      </c>
      <c r="E64" s="415">
        <v>5</v>
      </c>
      <c r="F64" s="415">
        <v>10</v>
      </c>
      <c r="G64" s="415">
        <v>15</v>
      </c>
      <c r="H64" s="371" t="s">
        <v>404</v>
      </c>
      <c r="I64" s="90"/>
      <c r="J64" s="80"/>
      <c r="K64" s="54"/>
      <c r="L64" s="54"/>
      <c r="M64" s="54"/>
      <c r="N64" s="54"/>
      <c r="O64" s="73"/>
      <c r="P64" s="461"/>
      <c r="Q64" s="461"/>
      <c r="R64" s="461"/>
      <c r="S64" s="461"/>
      <c r="T64" s="461"/>
      <c r="U64" s="461"/>
      <c r="V64" s="508" t="s">
        <v>661</v>
      </c>
      <c r="W64" s="541">
        <v>5</v>
      </c>
      <c r="X64" s="542">
        <f>W64-W$59</f>
        <v>2</v>
      </c>
      <c r="Y64" s="461"/>
      <c r="Z64" s="508" t="s">
        <v>661</v>
      </c>
      <c r="AA64" s="541">
        <v>2</v>
      </c>
      <c r="AB64" s="542">
        <f>AA64-AA$59</f>
        <v>1</v>
      </c>
      <c r="AC64" s="461"/>
      <c r="AD64" s="73"/>
      <c r="AE64" s="69"/>
      <c r="AF64" s="366"/>
      <c r="AG64" s="69" t="s">
        <v>95</v>
      </c>
      <c r="AH64" s="317">
        <v>1</v>
      </c>
      <c r="AI64" s="71" t="s">
        <v>95</v>
      </c>
      <c r="AJ64" s="54" t="s">
        <v>460</v>
      </c>
      <c r="AK64" s="69"/>
      <c r="AL64" s="66"/>
      <c r="AM64" s="69"/>
      <c r="AN64" s="69"/>
      <c r="AR64" s="60"/>
      <c r="AS64" s="69"/>
      <c r="AT64" s="69"/>
      <c r="AU64" s="73"/>
      <c r="AV64" s="270">
        <v>740</v>
      </c>
      <c r="AW64" s="264">
        <v>0.9393852166989064</v>
      </c>
      <c r="AX64" s="264">
        <v>0.93001513935502866</v>
      </c>
      <c r="AY64" s="264">
        <v>0.74998139035872136</v>
      </c>
      <c r="AZ64" s="424">
        <v>0.7575375938405311</v>
      </c>
      <c r="BA64" s="264">
        <v>0.88926161508929724</v>
      </c>
      <c r="BB64" s="264">
        <v>0.8988557034780803</v>
      </c>
      <c r="BC64" s="273">
        <v>0.72716661444709541</v>
      </c>
      <c r="BD64"/>
      <c r="BE64" s="66"/>
      <c r="BF64"/>
      <c r="BG64" s="612">
        <v>4.5</v>
      </c>
      <c r="BH64" s="215">
        <v>0.21449799999999999</v>
      </c>
      <c r="BI64" s="602">
        <v>2.1464797000000002E-12</v>
      </c>
      <c r="BJ64" s="613">
        <v>3E-9</v>
      </c>
      <c r="BK64" s="614">
        <v>2.1722156999999999E-2</v>
      </c>
      <c r="BL64" s="603">
        <v>2.9106054999999999E-3</v>
      </c>
      <c r="BM64" s="603">
        <v>2.0779548000000002E-3</v>
      </c>
      <c r="BN64" s="603">
        <v>0.23323099</v>
      </c>
      <c r="BO64"/>
      <c r="BP64" s="118">
        <v>4.5</v>
      </c>
      <c r="BQ64" s="119">
        <v>0.21449799999999999</v>
      </c>
      <c r="BR64" s="120">
        <v>2.1464797000000002E-12</v>
      </c>
      <c r="BS64" s="488">
        <v>1.9226324040398731E-9</v>
      </c>
      <c r="BT64" s="121">
        <v>2.1722156999999999E-2</v>
      </c>
      <c r="BU64" s="121">
        <v>2.9106054999999999E-3</v>
      </c>
      <c r="BV64" s="121">
        <v>2.0779548000000002E-3</v>
      </c>
      <c r="BW64" s="121">
        <v>0.23323099</v>
      </c>
      <c r="BX64"/>
      <c r="BY64" s="597">
        <v>8.4</v>
      </c>
      <c r="BZ64" s="598">
        <v>4.6088999999999997E-9</v>
      </c>
      <c r="CA64" s="599">
        <v>2.5047234000000002E-2</v>
      </c>
      <c r="CB64" s="598">
        <f t="shared" si="4"/>
        <v>3.9621323792344217E-9</v>
      </c>
      <c r="CC64" s="598">
        <f t="shared" si="5"/>
        <v>4.1720466774720082E-9</v>
      </c>
      <c r="CD64" s="599">
        <f t="shared" si="6"/>
        <v>5.0094468000000003E-2</v>
      </c>
      <c r="CE64"/>
      <c r="CF64"/>
      <c r="CG64"/>
      <c r="CH64"/>
      <c r="CI64"/>
    </row>
    <row r="65" spans="1:87" s="36" customFormat="1">
      <c r="B65" s="69"/>
      <c r="C65" s="69"/>
      <c r="D65" s="416" t="s">
        <v>400</v>
      </c>
      <c r="E65" s="370">
        <v>11</v>
      </c>
      <c r="F65" s="370">
        <v>7</v>
      </c>
      <c r="G65" s="370">
        <v>3</v>
      </c>
      <c r="H65" s="422">
        <v>0</v>
      </c>
      <c r="I65" s="90"/>
      <c r="J65" s="80"/>
      <c r="K65" s="54"/>
      <c r="L65" s="54"/>
      <c r="M65" s="54"/>
      <c r="N65" s="54"/>
      <c r="O65" s="73"/>
      <c r="P65" s="461"/>
      <c r="Q65" s="461"/>
      <c r="R65" s="461"/>
      <c r="S65" s="461"/>
      <c r="T65" s="461"/>
      <c r="U65" s="461"/>
      <c r="V65" s="461"/>
      <c r="W65" s="461"/>
      <c r="X65" s="461"/>
      <c r="Y65" s="461"/>
      <c r="Z65" s="461"/>
      <c r="AA65" s="461"/>
      <c r="AB65" s="461"/>
      <c r="AC65" s="461"/>
      <c r="AD65" s="73"/>
      <c r="AE65" s="69"/>
      <c r="AF65" s="50"/>
      <c r="AG65" s="36" t="s">
        <v>395</v>
      </c>
      <c r="AH65" s="79" t="str">
        <f>INDEX(scenarioTable,MATCH(ScenarioSelected,scenarios,0),8)</f>
        <v>Imaging</v>
      </c>
      <c r="AI65" s="71"/>
      <c r="AJ65" s="155"/>
      <c r="AK65" s="69"/>
      <c r="AL65" s="66"/>
      <c r="AM65" s="69"/>
      <c r="AN65" s="69"/>
      <c r="AR65" s="60"/>
      <c r="AS65" s="69"/>
      <c r="AT65" s="69"/>
      <c r="AU65" s="73"/>
      <c r="AV65" s="270">
        <v>750</v>
      </c>
      <c r="AW65" s="264">
        <v>0.93652254819405167</v>
      </c>
      <c r="AX65" s="264">
        <v>0.92718102508418099</v>
      </c>
      <c r="AY65" s="264">
        <v>0.72569367289573339</v>
      </c>
      <c r="AZ65" s="424">
        <v>0.73300517305874302</v>
      </c>
      <c r="BA65" s="264">
        <v>0.88173546853139506</v>
      </c>
      <c r="BB65" s="264">
        <v>0.9005604183846716</v>
      </c>
      <c r="BC65" s="273">
        <v>0.70206397151833877</v>
      </c>
      <c r="BD65"/>
      <c r="BE65" s="66"/>
      <c r="BF65"/>
      <c r="BG65" s="612">
        <v>4.8</v>
      </c>
      <c r="BH65" s="215">
        <v>0.228798</v>
      </c>
      <c r="BI65" s="602">
        <v>1.7036882E-12</v>
      </c>
      <c r="BJ65" s="613">
        <v>3E-9</v>
      </c>
      <c r="BK65" s="614">
        <v>2.2431438000000001E-2</v>
      </c>
      <c r="BL65" s="603">
        <v>3.0266531999999999E-3</v>
      </c>
      <c r="BM65" s="603">
        <v>2.0556111999999998E-3</v>
      </c>
      <c r="BN65" s="603">
        <v>0.23128235999999999</v>
      </c>
      <c r="BO65"/>
      <c r="BP65" s="118">
        <v>4.8</v>
      </c>
      <c r="BQ65" s="119">
        <v>0.228798</v>
      </c>
      <c r="BR65" s="120">
        <v>1.7036882E-12</v>
      </c>
      <c r="BS65" s="488">
        <v>1.4675072501136031E-9</v>
      </c>
      <c r="BT65" s="121">
        <v>2.2431438000000001E-2</v>
      </c>
      <c r="BU65" s="121">
        <v>3.0266531999999999E-3</v>
      </c>
      <c r="BV65" s="121">
        <v>2.0556111999999998E-3</v>
      </c>
      <c r="BW65" s="121">
        <v>0.23128235999999999</v>
      </c>
      <c r="BX65"/>
      <c r="BY65" s="597">
        <v>8.6</v>
      </c>
      <c r="BZ65" s="598">
        <v>8.3426315000000007E-9</v>
      </c>
      <c r="CA65" s="599">
        <v>2.0952740000000001E-2</v>
      </c>
      <c r="CB65" s="598">
        <f t="shared" si="4"/>
        <v>7.1719087839117882E-9</v>
      </c>
      <c r="CC65" s="598">
        <f t="shared" si="5"/>
        <v>7.5518774612051294E-9</v>
      </c>
      <c r="CD65" s="599">
        <f t="shared" si="6"/>
        <v>4.1905480000000002E-2</v>
      </c>
      <c r="CE65"/>
      <c r="CF65"/>
      <c r="CG65"/>
      <c r="CH65"/>
      <c r="CI65"/>
    </row>
    <row r="66" spans="1:87" s="36" customFormat="1">
      <c r="B66" s="69"/>
      <c r="C66" s="69"/>
      <c r="D66" s="416" t="s">
        <v>402</v>
      </c>
      <c r="E66" s="370">
        <v>5</v>
      </c>
      <c r="F66" s="370">
        <v>3</v>
      </c>
      <c r="G66" s="370">
        <v>2</v>
      </c>
      <c r="H66" s="422">
        <v>0</v>
      </c>
      <c r="I66" s="90"/>
      <c r="J66" s="80"/>
      <c r="K66" s="54"/>
      <c r="L66" s="54"/>
      <c r="M66" s="54"/>
      <c r="N66" s="54"/>
      <c r="O66" s="73"/>
      <c r="P66" s="461"/>
      <c r="Q66" s="461"/>
      <c r="R66" s="461"/>
      <c r="S66" s="461"/>
      <c r="T66" s="461"/>
      <c r="U66" s="461"/>
      <c r="V66" s="461"/>
      <c r="W66" s="461"/>
      <c r="X66" s="461"/>
      <c r="Y66" s="461"/>
      <c r="Z66" s="461"/>
      <c r="AA66" s="461"/>
      <c r="AB66" s="461"/>
      <c r="AC66" s="461"/>
      <c r="AD66" s="73"/>
      <c r="AE66" s="69"/>
      <c r="AF66" s="50"/>
      <c r="AG66" s="36" t="s">
        <v>90</v>
      </c>
      <c r="AH66" s="317">
        <f>HLOOKUP(AH65,FPattributes,2)</f>
        <v>1</v>
      </c>
      <c r="AI66" s="71" t="s">
        <v>90</v>
      </c>
      <c r="AJ66" s="54" t="s">
        <v>91</v>
      </c>
      <c r="AK66" s="69"/>
      <c r="AL66" s="66"/>
      <c r="AM66" s="69"/>
      <c r="AN66" s="69"/>
      <c r="AR66" s="60"/>
      <c r="AS66" s="69"/>
      <c r="AT66" s="69"/>
      <c r="AU66" s="73"/>
      <c r="AV66" s="270">
        <v>760</v>
      </c>
      <c r="AW66" s="264">
        <v>0.93222844897163659</v>
      </c>
      <c r="AX66" s="264">
        <v>0.92292975817498635</v>
      </c>
      <c r="AY66" s="264">
        <v>0.69946663170785195</v>
      </c>
      <c r="AZ66" s="424">
        <v>0.70651388950099869</v>
      </c>
      <c r="BA66" s="264">
        <v>0.87312410460541134</v>
      </c>
      <c r="BB66" s="264">
        <v>0.90053005358009031</v>
      </c>
      <c r="BC66" s="273">
        <v>0.67557184374402779</v>
      </c>
      <c r="BD66"/>
      <c r="BE66" s="66"/>
      <c r="BF66"/>
      <c r="BG66" s="612">
        <v>5.0999999999999996</v>
      </c>
      <c r="BH66" s="215">
        <v>0.24309800000000001</v>
      </c>
      <c r="BI66" s="602">
        <v>1.6154852999999999E-12</v>
      </c>
      <c r="BJ66" s="613">
        <v>2.0000000000000001E-9</v>
      </c>
      <c r="BK66" s="614">
        <v>2.2807502E-2</v>
      </c>
      <c r="BL66" s="603">
        <v>3.0826342E-3</v>
      </c>
      <c r="BM66" s="603">
        <v>2.0481634000000001E-3</v>
      </c>
      <c r="BN66" s="603">
        <v>0.23103845000000001</v>
      </c>
      <c r="BO66"/>
      <c r="BP66" s="118">
        <v>5.0999999999999996</v>
      </c>
      <c r="BQ66" s="119">
        <v>0.24309800000000001</v>
      </c>
      <c r="BR66" s="120">
        <v>1.6154852999999999E-12</v>
      </c>
      <c r="BS66" s="488">
        <v>1.3662615529876561E-9</v>
      </c>
      <c r="BT66" s="121">
        <v>2.2807502E-2</v>
      </c>
      <c r="BU66" s="121">
        <v>3.0826342E-3</v>
      </c>
      <c r="BV66" s="121">
        <v>2.0481634000000001E-3</v>
      </c>
      <c r="BW66" s="121">
        <v>0.23103845000000001</v>
      </c>
      <c r="BX66"/>
      <c r="BY66" s="597">
        <v>8.8000000000000007</v>
      </c>
      <c r="BZ66" s="598">
        <v>1.5453628000000001E-8</v>
      </c>
      <c r="CA66" s="599">
        <v>1.6233356000000001E-2</v>
      </c>
      <c r="CB66" s="598">
        <f t="shared" si="4"/>
        <v>1.3285018090096049E-8</v>
      </c>
      <c r="CC66" s="598">
        <f t="shared" si="5"/>
        <v>1.3988860108114388E-8</v>
      </c>
      <c r="CD66" s="599">
        <f t="shared" si="6"/>
        <v>3.2466712000000002E-2</v>
      </c>
      <c r="CE66"/>
      <c r="CF66"/>
      <c r="CG66"/>
      <c r="CH66"/>
      <c r="CI66"/>
    </row>
    <row r="67" spans="1:87" s="36" customFormat="1">
      <c r="B67" s="69"/>
      <c r="C67" s="69"/>
      <c r="D67" s="72"/>
      <c r="E67" s="69"/>
      <c r="F67" s="72"/>
      <c r="G67" s="69"/>
      <c r="H67" s="69"/>
      <c r="I67" s="90"/>
      <c r="J67" s="69"/>
      <c r="K67" s="69"/>
      <c r="L67" s="54"/>
      <c r="M67" s="54"/>
      <c r="N67" s="54"/>
      <c r="O67" s="73"/>
      <c r="P67" s="461"/>
      <c r="Q67" s="461"/>
      <c r="R67" s="461"/>
      <c r="S67" s="461"/>
      <c r="T67" s="461"/>
      <c r="U67" s="461"/>
      <c r="V67" s="461"/>
      <c r="W67" s="461"/>
      <c r="X67" s="461"/>
      <c r="Y67" s="461"/>
      <c r="Z67" s="461"/>
      <c r="AA67" s="461"/>
      <c r="AB67" s="461"/>
      <c r="AC67" s="461"/>
      <c r="AD67" s="73"/>
      <c r="AE67" s="69"/>
      <c r="AF67" s="50"/>
      <c r="AG67" s="69" t="s">
        <v>407</v>
      </c>
      <c r="AH67" s="222">
        <f>HLOOKUP(AH65,FPattributes,3)</f>
        <v>4.9524687152701317</v>
      </c>
      <c r="AI67" s="71" t="s">
        <v>89</v>
      </c>
      <c r="AJ67" s="54" t="s">
        <v>416</v>
      </c>
      <c r="AK67" s="69"/>
      <c r="AL67" s="66"/>
      <c r="AM67" s="69"/>
      <c r="AN67" s="69"/>
      <c r="AR67" s="60"/>
      <c r="AS67" s="69"/>
      <c r="AT67" s="69"/>
      <c r="AU67" s="73"/>
      <c r="AV67" s="438">
        <v>770</v>
      </c>
      <c r="AW67" s="439">
        <v>0.92593703594351762</v>
      </c>
      <c r="AX67" s="439">
        <v>0.91711070733160449</v>
      </c>
      <c r="AY67" s="439">
        <v>0.67149932254964129</v>
      </c>
      <c r="AZ67" s="444">
        <v>0.67796187242079575</v>
      </c>
      <c r="BA67" s="439">
        <v>0.86330099843895902</v>
      </c>
      <c r="BB67" s="439">
        <v>0.89819146229681668</v>
      </c>
      <c r="BC67" s="440">
        <v>0.6475638441502467</v>
      </c>
      <c r="BD67"/>
      <c r="BE67" s="66"/>
      <c r="BF67"/>
      <c r="BG67" s="612">
        <v>5.4</v>
      </c>
      <c r="BH67" s="215">
        <v>0.25739800000000002</v>
      </c>
      <c r="BI67" s="602">
        <v>1.9128573E-12</v>
      </c>
      <c r="BJ67" s="613">
        <v>2.0000000000000001E-9</v>
      </c>
      <c r="BK67" s="614">
        <v>2.2850349999999998E-2</v>
      </c>
      <c r="BL67" s="603">
        <v>3.0785483000000001E-3</v>
      </c>
      <c r="BM67" s="603">
        <v>2.0556111999999998E-3</v>
      </c>
      <c r="BN67" s="603">
        <v>0.23285935999999999</v>
      </c>
      <c r="BO67"/>
      <c r="BP67" s="118">
        <v>5.4</v>
      </c>
      <c r="BQ67" s="119">
        <v>0.25739800000000002</v>
      </c>
      <c r="BR67" s="120">
        <v>1.9128573E-12</v>
      </c>
      <c r="BS67" s="488">
        <v>1.6199045358227248E-9</v>
      </c>
      <c r="BT67" s="121">
        <v>2.2850349999999998E-2</v>
      </c>
      <c r="BU67" s="121">
        <v>3.0785483000000001E-3</v>
      </c>
      <c r="BV67" s="121">
        <v>2.0556111999999998E-3</v>
      </c>
      <c r="BW67" s="121">
        <v>0.23285935999999999</v>
      </c>
      <c r="BX67"/>
      <c r="BY67" s="597">
        <v>9</v>
      </c>
      <c r="BZ67" s="598">
        <v>3.0038766E-8</v>
      </c>
      <c r="CA67" s="599">
        <v>1.1962502999999999E-2</v>
      </c>
      <c r="CB67" s="598">
        <f t="shared" si="4"/>
        <v>2.5823421510739239E-8</v>
      </c>
      <c r="CC67" s="598">
        <f t="shared" si="5"/>
        <v>2.7191549802698936E-8</v>
      </c>
      <c r="CD67" s="599">
        <f t="shared" si="6"/>
        <v>2.3925005999999999E-2</v>
      </c>
      <c r="CE67"/>
      <c r="CF67"/>
      <c r="CG67"/>
      <c r="CH67"/>
      <c r="CI67"/>
    </row>
    <row r="68" spans="1:87" s="36" customFormat="1" ht="15">
      <c r="B68" s="69"/>
      <c r="C68" s="204" t="s">
        <v>393</v>
      </c>
      <c r="D68" s="204" t="s">
        <v>504</v>
      </c>
      <c r="E68" s="205" t="s">
        <v>394</v>
      </c>
      <c r="F68" s="205" t="s">
        <v>57</v>
      </c>
      <c r="G68" s="204" t="s">
        <v>425</v>
      </c>
      <c r="H68" s="204" t="s">
        <v>404</v>
      </c>
      <c r="I68" s="205" t="s">
        <v>229</v>
      </c>
      <c r="J68" s="204" t="s">
        <v>405</v>
      </c>
      <c r="K68" s="205" t="s">
        <v>457</v>
      </c>
      <c r="L68" s="205" t="s">
        <v>22</v>
      </c>
      <c r="M68" s="205" t="s">
        <v>258</v>
      </c>
      <c r="N68" s="54"/>
      <c r="O68" s="73"/>
      <c r="P68" s="461"/>
      <c r="Q68" s="461"/>
      <c r="R68" s="461"/>
      <c r="S68" s="461"/>
      <c r="T68" s="461"/>
      <c r="U68" s="461"/>
      <c r="V68" s="461"/>
      <c r="W68" s="461"/>
      <c r="X68" s="461"/>
      <c r="Y68" s="461"/>
      <c r="Z68" s="461"/>
      <c r="AA68" s="461"/>
      <c r="AB68" s="461"/>
      <c r="AC68" s="461"/>
      <c r="AD68" s="73"/>
      <c r="AE68" s="69"/>
      <c r="AF68" s="50"/>
      <c r="AG68" s="69" t="s">
        <v>101</v>
      </c>
      <c r="AH68" s="91">
        <v>2</v>
      </c>
      <c r="AI68" s="71" t="s">
        <v>102</v>
      </c>
      <c r="AJ68" s="54" t="s">
        <v>103</v>
      </c>
      <c r="AK68" s="69"/>
      <c r="AL68" s="66"/>
      <c r="AM68" s="69"/>
      <c r="AN68" s="69"/>
      <c r="AR68" s="60"/>
      <c r="AS68" s="69"/>
      <c r="AT68" s="69"/>
      <c r="AU68" s="73"/>
      <c r="AV68" s="270">
        <v>780</v>
      </c>
      <c r="AW68" s="264">
        <v>0.91823766626858672</v>
      </c>
      <c r="AX68" s="264">
        <v>0.9094847305162499</v>
      </c>
      <c r="AY68" s="264">
        <v>0.64197364767068466</v>
      </c>
      <c r="AZ68" s="424">
        <v>0.64815204067082355</v>
      </c>
      <c r="BA68" s="264">
        <v>0.85208200390174105</v>
      </c>
      <c r="BB68" s="264">
        <v>0.89411436067124561</v>
      </c>
      <c r="BC68" s="273">
        <v>0.61876405069374318</v>
      </c>
      <c r="BD68"/>
      <c r="BE68" s="66"/>
      <c r="BF68"/>
      <c r="BG68" s="612">
        <v>5.7</v>
      </c>
      <c r="BH68" s="215">
        <v>0.271698</v>
      </c>
      <c r="BI68" s="602">
        <v>2.2035513000000002E-12</v>
      </c>
      <c r="BJ68" s="613">
        <v>2.0000000000000001E-9</v>
      </c>
      <c r="BK68" s="614">
        <v>2.2880924E-2</v>
      </c>
      <c r="BL68" s="603">
        <v>3.0827988000000001E-3</v>
      </c>
      <c r="BM68" s="603">
        <v>2.0556111999999998E-3</v>
      </c>
      <c r="BN68" s="603">
        <v>0.23450229</v>
      </c>
      <c r="BO68"/>
      <c r="BP68" s="118">
        <v>5.7</v>
      </c>
      <c r="BQ68" s="119">
        <v>0.271698</v>
      </c>
      <c r="BR68" s="120">
        <v>2.2035513000000002E-12</v>
      </c>
      <c r="BS68" s="488">
        <v>1.8635060467185033E-9</v>
      </c>
      <c r="BT68" s="121">
        <v>2.2880924E-2</v>
      </c>
      <c r="BU68" s="121">
        <v>3.0827988000000001E-3</v>
      </c>
      <c r="BV68" s="121">
        <v>2.0556111999999998E-3</v>
      </c>
      <c r="BW68" s="121">
        <v>0.23450229</v>
      </c>
      <c r="BX68"/>
      <c r="BY68" s="588"/>
      <c r="BZ68" s="595">
        <f>(2*PI()*0.2*SUMPRODUCT($BY37:$BY67,BZ37:BZ67))/(2*PI()*0.2*SUM($BY37:$BY67))</f>
        <v>4.8791340494623648E-9</v>
      </c>
      <c r="CA68" s="600">
        <f>(2*PI()*0.2*SUMPRODUCT($BY37:$BY67,CA37:CA67))/(2*PI()*0.2*SUM($BY37:$BY67))</f>
        <v>3.1112205377419343E-2</v>
      </c>
      <c r="CB68" s="595">
        <f>(2*PI()*0.2*SUMPRODUCT($BY37:$BY67,CB37:CB67))/(2*PI()*0.2*SUM($BY37:$BY67))</f>
        <v>4.1944444444444445E-9</v>
      </c>
      <c r="CC68" s="595">
        <f>(2*PI()*0.2*SUMPRODUCT($BY37:$BY67,CC37:CC67))/(2*PI()*0.2*SUM($BY37:$BY67))</f>
        <v>4.4166666666666682E-9</v>
      </c>
      <c r="CD68" s="600">
        <f>(2*PI()*0.2*SUMPRODUCT($BY37:$BY67,CD37:CD67))/(2*PI()*0.2*SUM($BY37:$BY67))</f>
        <v>6.2224410754838685E-2</v>
      </c>
      <c r="CE68"/>
      <c r="CF68"/>
      <c r="CG68"/>
      <c r="CH68"/>
      <c r="CI68"/>
    </row>
    <row r="69" spans="1:87" s="36" customFormat="1">
      <c r="B69" s="69"/>
      <c r="C69" s="306" t="s">
        <v>400</v>
      </c>
      <c r="D69" s="304">
        <v>660</v>
      </c>
      <c r="E69" s="305">
        <v>0.18</v>
      </c>
      <c r="F69" s="304">
        <v>50</v>
      </c>
      <c r="G69" s="203" t="s">
        <v>158</v>
      </c>
      <c r="H69" s="305">
        <v>0.5</v>
      </c>
      <c r="I69" s="305">
        <v>0.1</v>
      </c>
      <c r="J69" s="203" t="s">
        <v>401</v>
      </c>
      <c r="K69" s="304">
        <v>200</v>
      </c>
      <c r="L69" s="304">
        <v>15</v>
      </c>
      <c r="M69" s="203" t="s">
        <v>159</v>
      </c>
      <c r="N69" s="54"/>
      <c r="O69" s="73"/>
      <c r="P69" s="461"/>
      <c r="Q69" s="461"/>
      <c r="R69" s="461"/>
      <c r="S69" s="461"/>
      <c r="T69" s="461"/>
      <c r="U69" s="461"/>
      <c r="V69" s="461"/>
      <c r="W69" s="461"/>
      <c r="X69" s="461"/>
      <c r="Y69" s="461"/>
      <c r="Z69" s="461"/>
      <c r="AA69" s="461"/>
      <c r="AB69" s="461"/>
      <c r="AC69" s="461"/>
      <c r="AD69" s="73"/>
      <c r="AE69" s="69"/>
      <c r="AF69" s="50"/>
      <c r="AG69" s="69" t="s">
        <v>104</v>
      </c>
      <c r="AH69" s="91">
        <v>2</v>
      </c>
      <c r="AI69" s="71" t="s">
        <v>105</v>
      </c>
      <c r="AJ69" s="54" t="s">
        <v>106</v>
      </c>
      <c r="AK69" s="69"/>
      <c r="AL69" s="66"/>
      <c r="AM69" s="69"/>
      <c r="AN69" s="69"/>
      <c r="AR69" s="60"/>
      <c r="AS69" s="69"/>
      <c r="AT69" s="69"/>
      <c r="AU69" s="73"/>
      <c r="AV69" s="270">
        <v>790</v>
      </c>
      <c r="AW69" s="264">
        <v>0.90884753960144216</v>
      </c>
      <c r="AX69" s="264">
        <v>0.89978206615298351</v>
      </c>
      <c r="AY69" s="264">
        <v>0.6110923320020194</v>
      </c>
      <c r="AZ69" s="424">
        <v>0.61724920211391943</v>
      </c>
      <c r="BA69" s="264">
        <v>0.83925311689070692</v>
      </c>
      <c r="BB69" s="264">
        <v>0.88803000529922671</v>
      </c>
      <c r="BC69" s="273">
        <v>0.58927076281297608</v>
      </c>
      <c r="BD69"/>
      <c r="BE69" s="66"/>
      <c r="BF69"/>
      <c r="BG69" s="612">
        <v>6</v>
      </c>
      <c r="BH69" s="215">
        <v>0.285997</v>
      </c>
      <c r="BI69" s="602">
        <v>2.4651674999999999E-12</v>
      </c>
      <c r="BJ69" s="613">
        <v>2.0000000000000001E-9</v>
      </c>
      <c r="BK69" s="614">
        <v>2.2792243E-2</v>
      </c>
      <c r="BL69" s="603">
        <v>3.0725844999999999E-3</v>
      </c>
      <c r="BM69" s="603">
        <v>2.0556111999999998E-3</v>
      </c>
      <c r="BN69" s="603">
        <v>0.23428544000000001</v>
      </c>
      <c r="BO69"/>
      <c r="BP69" s="118">
        <v>6</v>
      </c>
      <c r="BQ69" s="119">
        <v>0.285997</v>
      </c>
      <c r="BR69" s="120">
        <v>2.4651674999999999E-12</v>
      </c>
      <c r="BS69" s="488">
        <v>2.0916808160367671E-9</v>
      </c>
      <c r="BT69" s="121">
        <v>2.2792243E-2</v>
      </c>
      <c r="BU69" s="121">
        <v>3.0725844999999999E-3</v>
      </c>
      <c r="BV69" s="121">
        <v>2.0556111999999998E-3</v>
      </c>
      <c r="BW69" s="121">
        <v>0.23428544000000001</v>
      </c>
      <c r="BX69"/>
      <c r="BY69"/>
      <c r="BZ69"/>
      <c r="CA69"/>
      <c r="CB69">
        <f>SUMPRODUCT($BY37:$BY67,CB37:CB67)/SUM($BY37:$BY67)</f>
        <v>4.1944444444444453E-9</v>
      </c>
      <c r="CC69">
        <f>SUMPRODUCT($BY37:$BY67,CC37:CC67)/SUM($BY37:$BY67)</f>
        <v>4.4166666666666682E-9</v>
      </c>
      <c r="CD69"/>
      <c r="CE69"/>
      <c r="CF69"/>
      <c r="CG69"/>
      <c r="CH69"/>
      <c r="CI69"/>
    </row>
    <row r="70" spans="1:87" s="36" customFormat="1">
      <c r="B70" s="69"/>
      <c r="C70" s="306" t="s">
        <v>402</v>
      </c>
      <c r="D70" s="304">
        <v>770</v>
      </c>
      <c r="E70" s="305">
        <v>0.18</v>
      </c>
      <c r="F70" s="304">
        <v>50</v>
      </c>
      <c r="G70" s="203" t="s">
        <v>158</v>
      </c>
      <c r="H70" s="305">
        <v>0.5</v>
      </c>
      <c r="I70" s="305">
        <v>0.1</v>
      </c>
      <c r="J70" s="203" t="s">
        <v>401</v>
      </c>
      <c r="K70" s="304">
        <v>200</v>
      </c>
      <c r="L70" s="304">
        <v>15</v>
      </c>
      <c r="M70" s="203" t="s">
        <v>159</v>
      </c>
      <c r="N70" s="54"/>
      <c r="O70" s="73"/>
      <c r="P70" s="461"/>
      <c r="Q70" s="461"/>
      <c r="R70" s="461"/>
      <c r="S70" s="461"/>
      <c r="T70" s="461"/>
      <c r="U70" s="461"/>
      <c r="V70" s="461"/>
      <c r="W70" s="461"/>
      <c r="X70" s="461"/>
      <c r="Y70" s="461"/>
      <c r="Z70" s="461"/>
      <c r="AA70" s="461"/>
      <c r="AB70" s="461"/>
      <c r="AC70" s="461"/>
      <c r="AD70" s="73"/>
      <c r="AE70" s="69"/>
      <c r="AF70" s="50"/>
      <c r="AG70" s="69" t="s">
        <v>107</v>
      </c>
      <c r="AH70" s="91">
        <v>2</v>
      </c>
      <c r="AI70" s="71" t="s">
        <v>108</v>
      </c>
      <c r="AJ70" s="54" t="s">
        <v>109</v>
      </c>
      <c r="AK70" s="69"/>
      <c r="AL70" s="66"/>
      <c r="AM70" s="69"/>
      <c r="AN70" s="69"/>
      <c r="AR70" s="60"/>
      <c r="AS70" s="69"/>
      <c r="AT70" s="69"/>
      <c r="AU70" s="73"/>
      <c r="AV70" s="270">
        <v>800</v>
      </c>
      <c r="AW70" s="264">
        <v>0.89673653650056639</v>
      </c>
      <c r="AX70" s="264">
        <v>0.88779186656673614</v>
      </c>
      <c r="AY70" s="264">
        <v>0.5791197875629005</v>
      </c>
      <c r="AZ70" s="424">
        <v>0.58495452827969963</v>
      </c>
      <c r="BA70" s="264">
        <v>0.82469209630159135</v>
      </c>
      <c r="BB70" s="264">
        <v>0.87887256927562951</v>
      </c>
      <c r="BC70" s="273">
        <v>0.55878410634771414</v>
      </c>
      <c r="BD70"/>
      <c r="BE70" s="66"/>
      <c r="BF70"/>
      <c r="BG70" s="612">
        <v>6.3</v>
      </c>
      <c r="BH70" s="215">
        <v>0.30029699999999998</v>
      </c>
      <c r="BI70" s="602">
        <v>2.7023055999999999E-12</v>
      </c>
      <c r="BJ70" s="613">
        <v>2.0000000000000001E-9</v>
      </c>
      <c r="BK70" s="614">
        <v>2.2734497999999999E-2</v>
      </c>
      <c r="BL70" s="603">
        <v>3.0682315E-3</v>
      </c>
      <c r="BM70" s="603">
        <v>2.0528183000000002E-3</v>
      </c>
      <c r="BN70" s="603">
        <v>0.23311818000000001</v>
      </c>
      <c r="BO70"/>
      <c r="BP70" s="118">
        <v>6.3</v>
      </c>
      <c r="BQ70" s="119">
        <v>0.30029699999999998</v>
      </c>
      <c r="BR70" s="120">
        <v>2.7023055999999999E-12</v>
      </c>
      <c r="BS70" s="488">
        <v>2.2961441464677435E-9</v>
      </c>
      <c r="BT70" s="121">
        <v>2.2734497999999999E-2</v>
      </c>
      <c r="BU70" s="121">
        <v>3.0682315E-3</v>
      </c>
      <c r="BV70" s="121">
        <v>2.0528183000000002E-3</v>
      </c>
      <c r="BW70" s="121">
        <v>0.23311818000000001</v>
      </c>
      <c r="BX70"/>
      <c r="BY70"/>
      <c r="BZ70"/>
      <c r="CA70"/>
      <c r="CB70"/>
      <c r="CC70"/>
      <c r="CD70"/>
      <c r="CE70"/>
      <c r="CF70"/>
      <c r="CG70"/>
      <c r="CH70"/>
      <c r="CI70"/>
    </row>
    <row r="71" spans="1:87" s="36" customFormat="1">
      <c r="B71" s="69"/>
      <c r="C71" s="69"/>
      <c r="D71" s="72"/>
      <c r="E71" s="69"/>
      <c r="F71" s="72"/>
      <c r="G71" s="69"/>
      <c r="H71" s="69"/>
      <c r="I71" s="90"/>
      <c r="J71" s="69"/>
      <c r="K71" s="69"/>
      <c r="L71" s="54"/>
      <c r="M71" s="54"/>
      <c r="N71" s="54"/>
      <c r="O71" s="73"/>
      <c r="P71" s="461"/>
      <c r="Q71" s="461"/>
      <c r="R71" s="461"/>
      <c r="S71" s="461"/>
      <c r="T71" s="461"/>
      <c r="U71" s="461"/>
      <c r="V71" s="461"/>
      <c r="W71" s="461"/>
      <c r="X71" s="461"/>
      <c r="Y71" s="461"/>
      <c r="Z71" s="461"/>
      <c r="AA71" s="461"/>
      <c r="AB71" s="461"/>
      <c r="AC71" s="461"/>
      <c r="AD71" s="73"/>
      <c r="AE71" s="69"/>
      <c r="AF71" s="50"/>
      <c r="AG71" s="36" t="s">
        <v>375</v>
      </c>
      <c r="AH71" s="109">
        <f>AH20*(3600)</f>
        <v>86400</v>
      </c>
      <c r="AI71" s="71" t="s">
        <v>2</v>
      </c>
      <c r="AJ71" s="155" t="s">
        <v>376</v>
      </c>
      <c r="AK71" s="69"/>
      <c r="AL71" s="66"/>
      <c r="AM71" s="69"/>
      <c r="AN71" s="69"/>
      <c r="AR71" s="60"/>
      <c r="AS71" s="69"/>
      <c r="AT71" s="69"/>
      <c r="AU71" s="73"/>
      <c r="AV71" s="270">
        <v>810</v>
      </c>
      <c r="AW71" s="264">
        <v>0.88187412411573429</v>
      </c>
      <c r="AX71" s="264">
        <v>0.8730777021541809</v>
      </c>
      <c r="AY71" s="264">
        <v>0.54621720753888603</v>
      </c>
      <c r="AZ71" s="424">
        <v>0.55172044857724767</v>
      </c>
      <c r="BA71" s="264">
        <v>0.80797434376283361</v>
      </c>
      <c r="BB71" s="264">
        <v>0.86672979624890845</v>
      </c>
      <c r="BC71" s="273">
        <v>0.52757732571430616</v>
      </c>
      <c r="BD71"/>
      <c r="BE71" s="66"/>
      <c r="BF71"/>
      <c r="BG71" s="612">
        <v>6.6</v>
      </c>
      <c r="BH71" s="215">
        <v>0.31459700000000002</v>
      </c>
      <c r="BI71" s="602">
        <v>2.7617551000000001E-12</v>
      </c>
      <c r="BJ71" s="613">
        <v>2.0000000000000001E-9</v>
      </c>
      <c r="BK71" s="614">
        <v>2.2657623000000002E-2</v>
      </c>
      <c r="BL71" s="603">
        <v>3.0629644000000002E-3</v>
      </c>
      <c r="BM71" s="603">
        <v>2.0481634000000001E-3</v>
      </c>
      <c r="BN71" s="603">
        <v>0.23314329</v>
      </c>
      <c r="BO71"/>
      <c r="BP71" s="118">
        <v>6.6</v>
      </c>
      <c r="BQ71" s="119">
        <v>0.31459700000000002</v>
      </c>
      <c r="BR71" s="120">
        <v>2.7617551000000001E-12</v>
      </c>
      <c r="BS71" s="488">
        <v>2.3506936867925952E-9</v>
      </c>
      <c r="BT71" s="121">
        <v>2.2657623000000002E-2</v>
      </c>
      <c r="BU71" s="121">
        <v>3.0629644000000002E-3</v>
      </c>
      <c r="BV71" s="121">
        <v>2.0481634000000001E-3</v>
      </c>
      <c r="BW71" s="121">
        <v>0.23314329</v>
      </c>
      <c r="BX71"/>
      <c r="BY71"/>
      <c r="BZ71"/>
      <c r="CA71"/>
      <c r="CB71"/>
      <c r="CC71"/>
      <c r="CD71"/>
      <c r="CE71"/>
      <c r="CF71"/>
      <c r="CG71"/>
      <c r="CH71"/>
      <c r="CI71"/>
    </row>
    <row r="72" spans="1:87" s="36" customFormat="1">
      <c r="A72" s="73"/>
      <c r="B72" s="73"/>
      <c r="C72" s="73"/>
      <c r="D72" s="201"/>
      <c r="E72" s="202"/>
      <c r="F72" s="206"/>
      <c r="G72" s="202"/>
      <c r="H72" s="73"/>
      <c r="I72" s="207"/>
      <c r="J72" s="202"/>
      <c r="K72" s="202"/>
      <c r="L72" s="65"/>
      <c r="M72" s="65"/>
      <c r="N72" s="65"/>
      <c r="O72" s="73"/>
      <c r="P72" s="461"/>
      <c r="Q72" s="461"/>
      <c r="R72" s="461"/>
      <c r="S72" s="461"/>
      <c r="T72" s="461"/>
      <c r="U72" s="461"/>
      <c r="V72" s="461"/>
      <c r="W72" s="461"/>
      <c r="X72" s="461"/>
      <c r="Y72" s="461"/>
      <c r="Z72" s="461"/>
      <c r="AA72" s="461"/>
      <c r="AB72" s="461"/>
      <c r="AC72" s="461"/>
      <c r="AD72" s="73"/>
      <c r="AE72" s="69"/>
      <c r="AF72" s="366"/>
      <c r="AG72" s="69" t="s">
        <v>565</v>
      </c>
      <c r="AH72" s="70">
        <v>1</v>
      </c>
      <c r="AI72" s="71" t="s">
        <v>22</v>
      </c>
      <c r="AJ72" s="155" t="s">
        <v>566</v>
      </c>
      <c r="AK72" s="69"/>
      <c r="AL72" s="66"/>
      <c r="AM72" s="69"/>
      <c r="AN72" s="69"/>
      <c r="AR72" s="60"/>
      <c r="AS72" s="69"/>
      <c r="AT72" s="69"/>
      <c r="AU72" s="73"/>
      <c r="AV72" s="270">
        <v>820</v>
      </c>
      <c r="AW72" s="264">
        <v>0.86365247568034298</v>
      </c>
      <c r="AX72" s="264">
        <v>0.85541986346057208</v>
      </c>
      <c r="AY72" s="264">
        <v>0.5126732952255233</v>
      </c>
      <c r="AZ72" s="424">
        <v>0.51760729385626514</v>
      </c>
      <c r="BA72" s="264">
        <v>0.7889489683938945</v>
      </c>
      <c r="BB72" s="264">
        <v>0.85095741797879165</v>
      </c>
      <c r="BC72" s="273">
        <v>0.49567503583166111</v>
      </c>
      <c r="BD72"/>
      <c r="BE72" s="66"/>
      <c r="BF72"/>
      <c r="BG72" s="612">
        <v>6.9</v>
      </c>
      <c r="BH72" s="215">
        <v>0.32889699999999999</v>
      </c>
      <c r="BI72" s="602">
        <v>2.5268985E-12</v>
      </c>
      <c r="BJ72" s="613">
        <v>2.0000000000000001E-9</v>
      </c>
      <c r="BK72" s="614">
        <v>2.2561621E-2</v>
      </c>
      <c r="BL72" s="603">
        <v>3.0567832000000001E-3</v>
      </c>
      <c r="BM72" s="603">
        <v>2.0416465E-3</v>
      </c>
      <c r="BN72" s="603">
        <v>0.23396890000000001</v>
      </c>
      <c r="BO72"/>
      <c r="BP72" s="118">
        <v>6.9</v>
      </c>
      <c r="BQ72" s="119">
        <v>0.32889699999999999</v>
      </c>
      <c r="BR72" s="120">
        <v>2.5268985E-12</v>
      </c>
      <c r="BS72" s="488">
        <v>2.1551424713197391E-9</v>
      </c>
      <c r="BT72" s="121">
        <v>2.2561621E-2</v>
      </c>
      <c r="BU72" s="121">
        <v>3.0567832000000001E-3</v>
      </c>
      <c r="BV72" s="121">
        <v>2.0416465E-3</v>
      </c>
      <c r="BW72" s="121">
        <v>0.23396890000000001</v>
      </c>
      <c r="BX72"/>
      <c r="BY72"/>
      <c r="BZ72"/>
      <c r="CA72"/>
      <c r="CB72"/>
      <c r="CC72"/>
      <c r="CD72"/>
      <c r="CE72"/>
      <c r="CF72"/>
      <c r="CG72"/>
      <c r="CH72"/>
      <c r="CI72"/>
    </row>
    <row r="73" spans="1:87" s="36" customFormat="1">
      <c r="B73" s="69"/>
      <c r="C73" s="69"/>
      <c r="D73" s="72"/>
      <c r="E73" s="69"/>
      <c r="F73" s="72"/>
      <c r="G73" s="69"/>
      <c r="H73" s="69"/>
      <c r="I73" s="90"/>
      <c r="J73" s="69"/>
      <c r="K73" s="69"/>
      <c r="L73" s="54"/>
      <c r="M73" s="54"/>
      <c r="N73" s="54"/>
      <c r="O73" s="73"/>
      <c r="P73" s="461"/>
      <c r="Q73" s="461"/>
      <c r="R73" s="461"/>
      <c r="S73" s="461"/>
      <c r="T73" s="461"/>
      <c r="U73" s="461"/>
      <c r="V73" s="461"/>
      <c r="W73" s="461"/>
      <c r="X73" s="461"/>
      <c r="Y73" s="461"/>
      <c r="Z73" s="461"/>
      <c r="AA73" s="461"/>
      <c r="AB73" s="461"/>
      <c r="AC73" s="461"/>
      <c r="AD73" s="73"/>
      <c r="AE73" s="69"/>
      <c r="AF73" s="50"/>
      <c r="AI73" s="71"/>
      <c r="AJ73" s="155"/>
      <c r="AK73" s="69"/>
      <c r="AL73" s="66"/>
      <c r="AM73" s="69"/>
      <c r="AN73" s="69"/>
      <c r="AR73" s="60"/>
      <c r="AS73" s="69"/>
      <c r="AT73" s="69"/>
      <c r="AU73" s="73"/>
      <c r="AV73" s="270">
        <v>830</v>
      </c>
      <c r="AW73" s="264">
        <v>0.84262734604586187</v>
      </c>
      <c r="AX73" s="264">
        <v>0.83459515210083135</v>
      </c>
      <c r="AY73" s="264">
        <v>0.47876105315775064</v>
      </c>
      <c r="AZ73" s="424">
        <v>0.48336867833099811</v>
      </c>
      <c r="BA73" s="264">
        <v>0.76746410482985339</v>
      </c>
      <c r="BB73" s="264">
        <v>0.83207080064844452</v>
      </c>
      <c r="BC73" s="273">
        <v>0.46375681443688338</v>
      </c>
      <c r="BD73"/>
      <c r="BE73" s="66"/>
      <c r="BF73"/>
      <c r="BG73" s="612">
        <v>7.2</v>
      </c>
      <c r="BH73" s="215">
        <v>0.34319699999999997</v>
      </c>
      <c r="BI73" s="602">
        <v>2.4194534000000001E-12</v>
      </c>
      <c r="BJ73" s="613">
        <v>2.0000000000000001E-9</v>
      </c>
      <c r="BK73" s="614">
        <v>2.2446489999999999E-2</v>
      </c>
      <c r="BL73" s="603">
        <v>3.0496879E-3</v>
      </c>
      <c r="BM73" s="603">
        <v>2.0332675999999998E-3</v>
      </c>
      <c r="BN73" s="603">
        <v>0.23446711000000001</v>
      </c>
      <c r="BO73"/>
      <c r="BP73" s="118">
        <v>7.2</v>
      </c>
      <c r="BQ73" s="119">
        <v>0.34319699999999997</v>
      </c>
      <c r="BR73" s="120">
        <v>2.4194534000000001E-12</v>
      </c>
      <c r="BS73" s="488">
        <v>2.0683055067821635E-9</v>
      </c>
      <c r="BT73" s="121">
        <v>2.2446489999999999E-2</v>
      </c>
      <c r="BU73" s="121">
        <v>3.0496879E-3</v>
      </c>
      <c r="BV73" s="121">
        <v>2.0332675999999998E-3</v>
      </c>
      <c r="BW73" s="121">
        <v>0.23446711000000001</v>
      </c>
      <c r="BX73"/>
      <c r="BY73"/>
      <c r="BZ73"/>
      <c r="CA73"/>
      <c r="CB73"/>
      <c r="CC73"/>
      <c r="CD73"/>
      <c r="CE73"/>
      <c r="CF73"/>
      <c r="CG73"/>
      <c r="CH73"/>
      <c r="CI73"/>
    </row>
    <row r="74" spans="1:87" s="36" customFormat="1">
      <c r="B74" s="69"/>
      <c r="C74" s="69"/>
      <c r="D74" s="72"/>
      <c r="E74" s="69"/>
      <c r="F74" s="72"/>
      <c r="G74" s="69"/>
      <c r="H74" s="69"/>
      <c r="I74" s="90"/>
      <c r="J74" s="69"/>
      <c r="K74" s="69"/>
      <c r="L74" s="54"/>
      <c r="M74" s="54"/>
      <c r="N74" s="54"/>
      <c r="O74" s="73"/>
      <c r="P74" s="461"/>
      <c r="Q74" s="461"/>
      <c r="R74" s="461"/>
      <c r="S74" s="69"/>
      <c r="T74" s="461"/>
      <c r="U74" s="461"/>
      <c r="V74" s="461"/>
      <c r="W74" s="461"/>
      <c r="X74" s="461"/>
      <c r="Y74" s="461"/>
      <c r="Z74" s="461"/>
      <c r="AA74" s="461"/>
      <c r="AB74" s="461"/>
      <c r="AC74" s="461"/>
      <c r="AD74" s="73"/>
      <c r="AE74" s="69"/>
      <c r="AF74" s="86" t="s">
        <v>100</v>
      </c>
      <c r="AG74" s="87"/>
      <c r="AH74" s="87"/>
      <c r="AI74" s="88"/>
      <c r="AJ74" s="156"/>
      <c r="AK74" s="69"/>
      <c r="AL74" s="66"/>
      <c r="AM74" s="69"/>
      <c r="AN74" s="69"/>
      <c r="AR74" s="60"/>
      <c r="AS74" s="69"/>
      <c r="AT74" s="69"/>
      <c r="AU74" s="73"/>
      <c r="AV74" s="270">
        <v>840</v>
      </c>
      <c r="AW74" s="264">
        <v>0.81852732969846165</v>
      </c>
      <c r="AX74" s="264">
        <v>0.81036277244227628</v>
      </c>
      <c r="AY74" s="264">
        <v>0.44472400552761032</v>
      </c>
      <c r="AZ74" s="424">
        <v>0.44920468347803888</v>
      </c>
      <c r="BA74" s="264">
        <v>0.74329879227484474</v>
      </c>
      <c r="BB74" s="264">
        <v>0.80983459362116195</v>
      </c>
      <c r="BC74" s="273">
        <v>0.43193274322644709</v>
      </c>
      <c r="BD74"/>
      <c r="BE74" s="66"/>
      <c r="BF74"/>
      <c r="BG74" s="612">
        <v>7.5</v>
      </c>
      <c r="BH74" s="215">
        <v>0.35749700000000001</v>
      </c>
      <c r="BI74" s="602">
        <v>2.6104838999999998E-12</v>
      </c>
      <c r="BJ74" s="613">
        <v>2.0000000000000001E-9</v>
      </c>
      <c r="BK74" s="614">
        <v>2.2441623000000001E-2</v>
      </c>
      <c r="BL74" s="603">
        <v>3.0451227000000002E-3</v>
      </c>
      <c r="BM74" s="603">
        <v>2.0369915999999999E-3</v>
      </c>
      <c r="BN74" s="603">
        <v>0.23391036000000001</v>
      </c>
      <c r="BO74"/>
      <c r="BP74" s="118">
        <v>7.5</v>
      </c>
      <c r="BQ74" s="119">
        <v>0.35749700000000001</v>
      </c>
      <c r="BR74" s="120">
        <v>2.6104838999999998E-12</v>
      </c>
      <c r="BS74" s="488">
        <v>2.2349563000867927E-9</v>
      </c>
      <c r="BT74" s="121">
        <v>2.2441623000000001E-2</v>
      </c>
      <c r="BU74" s="121">
        <v>3.0451227000000002E-3</v>
      </c>
      <c r="BV74" s="121">
        <v>2.0369915999999999E-3</v>
      </c>
      <c r="BW74" s="121">
        <v>0.23391036000000001</v>
      </c>
      <c r="BX74"/>
      <c r="BY74"/>
      <c r="BZ74"/>
      <c r="CA74"/>
      <c r="CB74"/>
      <c r="CC74"/>
      <c r="CD74"/>
      <c r="CE74"/>
      <c r="CF74"/>
      <c r="CG74"/>
      <c r="CH74"/>
      <c r="CI74"/>
    </row>
    <row r="75" spans="1:87" s="36" customFormat="1">
      <c r="B75" s="69"/>
      <c r="C75" s="69"/>
      <c r="D75" s="72"/>
      <c r="E75" s="69"/>
      <c r="F75" s="72"/>
      <c r="G75" s="69"/>
      <c r="H75" s="69"/>
      <c r="I75" s="90"/>
      <c r="J75" s="69"/>
      <c r="K75" s="69"/>
      <c r="L75" s="54"/>
      <c r="M75" s="54"/>
      <c r="N75" s="54"/>
      <c r="O75" s="73"/>
      <c r="P75" s="461"/>
      <c r="Q75" s="461"/>
      <c r="R75" s="461" t="s">
        <v>582</v>
      </c>
      <c r="S75" s="461"/>
      <c r="T75" s="461"/>
      <c r="U75" s="461"/>
      <c r="V75" s="529" t="str">
        <f>I4</f>
        <v>47 UMa c</v>
      </c>
      <c r="W75" s="461"/>
      <c r="X75" s="461"/>
      <c r="Y75" s="461"/>
      <c r="Z75" s="461"/>
      <c r="AA75" s="461"/>
      <c r="AB75" s="461"/>
      <c r="AC75" s="461"/>
      <c r="AD75" s="73"/>
      <c r="AE75" s="69"/>
      <c r="AF75" s="366" t="s">
        <v>53</v>
      </c>
      <c r="AG75" s="69"/>
      <c r="AH75" s="69"/>
      <c r="AI75" s="71"/>
      <c r="AJ75" s="155"/>
      <c r="AK75" s="69"/>
      <c r="AL75" s="66"/>
      <c r="AM75" s="69"/>
      <c r="AN75" s="69"/>
      <c r="AR75" s="60"/>
      <c r="AS75" s="69"/>
      <c r="AT75" s="69"/>
      <c r="AU75" s="73"/>
      <c r="AV75" s="270">
        <v>850</v>
      </c>
      <c r="AW75" s="264">
        <v>0.79047487307291331</v>
      </c>
      <c r="AX75" s="264">
        <v>0.78259013040566827</v>
      </c>
      <c r="AY75" s="264">
        <v>0.41082059154125827</v>
      </c>
      <c r="AZ75" s="424">
        <v>0.41495968622295215</v>
      </c>
      <c r="BA75" s="264">
        <v>0.71635661332427747</v>
      </c>
      <c r="BB75" s="264">
        <v>0.78337070567635969</v>
      </c>
      <c r="BC75" s="273">
        <v>0.40001104371924695</v>
      </c>
      <c r="BD75"/>
      <c r="BE75" s="66"/>
      <c r="BF75"/>
      <c r="BG75" s="612">
        <v>7.8</v>
      </c>
      <c r="BH75" s="215">
        <v>0.37179699999999999</v>
      </c>
      <c r="BI75" s="602">
        <v>2.7052620000000001E-12</v>
      </c>
      <c r="BJ75" s="613">
        <v>2.0000000000000001E-9</v>
      </c>
      <c r="BK75" s="614">
        <v>2.2469386000000001E-2</v>
      </c>
      <c r="BL75" s="603">
        <v>3.0410210000000001E-3</v>
      </c>
      <c r="BM75" s="603">
        <v>2.0444394E-3</v>
      </c>
      <c r="BN75" s="603">
        <v>0.23296341000000001</v>
      </c>
      <c r="BO75"/>
      <c r="BP75" s="118">
        <v>7.8</v>
      </c>
      <c r="BQ75" s="119">
        <v>0.37179699999999999</v>
      </c>
      <c r="BR75" s="120">
        <v>2.7052620000000001E-12</v>
      </c>
      <c r="BS75" s="488">
        <v>2.319224126747009E-9</v>
      </c>
      <c r="BT75" s="121">
        <v>2.2469386000000001E-2</v>
      </c>
      <c r="BU75" s="121">
        <v>3.0410210000000001E-3</v>
      </c>
      <c r="BV75" s="121">
        <v>2.0444394E-3</v>
      </c>
      <c r="BW75" s="121">
        <v>0.23296341000000001</v>
      </c>
      <c r="BX75"/>
      <c r="BY75"/>
      <c r="BZ75"/>
      <c r="CA75"/>
      <c r="CB75"/>
      <c r="CC75"/>
      <c r="CD75"/>
      <c r="CE75"/>
      <c r="CF75"/>
      <c r="CG75"/>
      <c r="CH75"/>
      <c r="CI75"/>
    </row>
    <row r="76" spans="1:87" s="36" customFormat="1">
      <c r="B76" s="69"/>
      <c r="C76" s="69"/>
      <c r="D76" s="72"/>
      <c r="E76" s="69"/>
      <c r="F76" s="72"/>
      <c r="G76" s="70"/>
      <c r="H76" s="70"/>
      <c r="I76" s="70"/>
      <c r="J76" s="70"/>
      <c r="K76" s="70"/>
      <c r="L76" s="70"/>
      <c r="M76" s="70"/>
      <c r="N76" s="54"/>
      <c r="O76" s="73"/>
      <c r="P76" s="461"/>
      <c r="Q76" s="461"/>
      <c r="R76" s="461" t="s">
        <v>583</v>
      </c>
      <c r="S76" s="461"/>
      <c r="T76" s="461"/>
      <c r="U76" s="461"/>
      <c r="V76" s="461"/>
      <c r="W76" s="461"/>
      <c r="X76" s="461"/>
      <c r="Y76" s="461"/>
      <c r="Z76" s="461"/>
      <c r="AA76" s="461"/>
      <c r="AB76" s="461"/>
      <c r="AC76" s="461"/>
      <c r="AD76" s="73"/>
      <c r="AE76" s="69"/>
      <c r="AF76" s="366"/>
      <c r="AG76" s="69" t="s">
        <v>50</v>
      </c>
      <c r="AH76" s="69" t="s">
        <v>49</v>
      </c>
      <c r="AI76" s="71" t="s">
        <v>48</v>
      </c>
      <c r="AJ76" s="155" t="s">
        <v>47</v>
      </c>
      <c r="AK76" s="69"/>
      <c r="AL76" s="66"/>
      <c r="AM76" s="69"/>
      <c r="AN76" s="69"/>
      <c r="AR76" s="60"/>
      <c r="AS76" s="69"/>
      <c r="AT76" s="69"/>
      <c r="AU76" s="73"/>
      <c r="AV76" s="270">
        <v>860</v>
      </c>
      <c r="AW76" s="264">
        <v>0.75878048496250061</v>
      </c>
      <c r="AX76" s="264">
        <v>0.75121188402570027</v>
      </c>
      <c r="AY76" s="264">
        <v>0.37729269240456464</v>
      </c>
      <c r="AZ76" s="424">
        <v>0.38109398720021964</v>
      </c>
      <c r="BA76" s="264">
        <v>0.68657604934557215</v>
      </c>
      <c r="BB76" s="264">
        <v>0.75299499894370903</v>
      </c>
      <c r="BC76" s="273">
        <v>0.36838758012037903</v>
      </c>
      <c r="BD76"/>
      <c r="BE76" s="66"/>
      <c r="BF76"/>
      <c r="BG76" s="612">
        <v>8.1</v>
      </c>
      <c r="BH76" s="215">
        <v>0.38609700000000002</v>
      </c>
      <c r="BI76" s="602">
        <v>2.6360607E-12</v>
      </c>
      <c r="BJ76" s="613">
        <v>2.0000000000000001E-9</v>
      </c>
      <c r="BK76" s="614">
        <v>2.2529777000000001E-2</v>
      </c>
      <c r="BL76" s="603">
        <v>3.0373830999999999E-3</v>
      </c>
      <c r="BM76" s="603">
        <v>2.0556111999999998E-3</v>
      </c>
      <c r="BN76" s="603">
        <v>0.23301899000000001</v>
      </c>
      <c r="BO76"/>
      <c r="BP76" s="118">
        <v>8.1</v>
      </c>
      <c r="BQ76" s="119">
        <v>0.38609700000000002</v>
      </c>
      <c r="BR76" s="120">
        <v>2.6360607E-12</v>
      </c>
      <c r="BS76" s="488">
        <v>2.2626045200997864E-9</v>
      </c>
      <c r="BT76" s="121">
        <v>2.2529777000000001E-2</v>
      </c>
      <c r="BU76" s="121">
        <v>3.0373830999999999E-3</v>
      </c>
      <c r="BV76" s="121">
        <v>2.0556111999999998E-3</v>
      </c>
      <c r="BW76" s="121">
        <v>0.23301899000000001</v>
      </c>
      <c r="BX76"/>
      <c r="BY76"/>
      <c r="BZ76"/>
      <c r="CA76"/>
      <c r="CB76"/>
      <c r="CC76"/>
      <c r="CD76"/>
      <c r="CE76"/>
      <c r="CF76"/>
      <c r="CG76"/>
      <c r="CH76"/>
      <c r="CI76"/>
    </row>
    <row r="77" spans="1:87" s="36" customFormat="1">
      <c r="B77" s="69"/>
      <c r="C77" t="s">
        <v>528</v>
      </c>
      <c r="D77" s="72"/>
      <c r="E77" s="69"/>
      <c r="F77" s="72"/>
      <c r="G77" s="70"/>
      <c r="H77" s="70"/>
      <c r="I77" s="70"/>
      <c r="J77" s="70"/>
      <c r="K77" s="70"/>
      <c r="L77" s="70"/>
      <c r="M77" s="70"/>
      <c r="N77" s="54"/>
      <c r="O77" s="73"/>
      <c r="P77" s="461"/>
      <c r="Q77" s="461"/>
      <c r="R77" s="521" t="s">
        <v>393</v>
      </c>
      <c r="S77" s="523" t="str">
        <f>ScenarioSelected</f>
        <v>Imaging 2</v>
      </c>
      <c r="T77" s="499"/>
      <c r="U77" s="461"/>
      <c r="V77" s="461" t="s">
        <v>589</v>
      </c>
      <c r="W77" s="461"/>
      <c r="X77" s="461"/>
      <c r="Y77" s="461"/>
      <c r="Z77" s="461"/>
      <c r="AA77" s="530" t="s">
        <v>592</v>
      </c>
      <c r="AB77" s="530">
        <v>37</v>
      </c>
      <c r="AC77" s="461"/>
      <c r="AD77" s="73"/>
      <c r="AE77" s="69"/>
      <c r="AF77" s="366"/>
      <c r="AG77" s="69" t="s">
        <v>45</v>
      </c>
      <c r="AH77" s="85">
        <f>0.93*(1-AH95^2)</f>
        <v>0.83476799999999995</v>
      </c>
      <c r="AI77" s="71" t="s">
        <v>30</v>
      </c>
      <c r="AJ77" s="155" t="s">
        <v>44</v>
      </c>
      <c r="AK77" s="69"/>
      <c r="AL77" s="66"/>
      <c r="AM77" s="69"/>
      <c r="AN77" s="69"/>
      <c r="AR77" s="60"/>
      <c r="AS77" s="69"/>
      <c r="AT77" s="69"/>
      <c r="AU77" s="73"/>
      <c r="AV77" s="270">
        <v>870</v>
      </c>
      <c r="AW77" s="264">
        <v>0.72316567994292003</v>
      </c>
      <c r="AX77" s="264">
        <v>0.716272232889547</v>
      </c>
      <c r="AY77" s="264">
        <v>0.34437305715294131</v>
      </c>
      <c r="AZ77" s="424">
        <v>0.34768732416915005</v>
      </c>
      <c r="BA77" s="264">
        <v>0.65399312572426604</v>
      </c>
      <c r="BB77" s="264">
        <v>0.71843385174638297</v>
      </c>
      <c r="BC77" s="273">
        <v>0.33710941488454332</v>
      </c>
      <c r="BD77"/>
      <c r="BE77" s="66"/>
      <c r="BF77"/>
      <c r="BG77" s="612">
        <v>8.4</v>
      </c>
      <c r="BH77" s="215">
        <v>0.40039599999999997</v>
      </c>
      <c r="BI77" s="602">
        <v>2.8009274E-12</v>
      </c>
      <c r="BJ77" s="613">
        <v>2.0000000000000001E-9</v>
      </c>
      <c r="BK77" s="614">
        <v>2.1943265E-2</v>
      </c>
      <c r="BL77" s="603">
        <v>3.0368172999999999E-3</v>
      </c>
      <c r="BM77" s="603">
        <v>1.9885794E-3</v>
      </c>
      <c r="BN77" s="603">
        <v>0.23387306999999999</v>
      </c>
      <c r="BO77"/>
      <c r="BP77" s="118">
        <v>8.4</v>
      </c>
      <c r="BQ77" s="119">
        <v>0.40039599999999997</v>
      </c>
      <c r="BR77" s="120">
        <v>2.8009274E-12</v>
      </c>
      <c r="BS77" s="488">
        <v>2.4045621298822136E-9</v>
      </c>
      <c r="BT77" s="121">
        <v>2.1943265E-2</v>
      </c>
      <c r="BU77" s="121">
        <v>3.0368172999999999E-3</v>
      </c>
      <c r="BV77" s="121">
        <v>1.9885794E-3</v>
      </c>
      <c r="BW77" s="121">
        <v>0.23387306999999999</v>
      </c>
      <c r="BX77"/>
      <c r="BY77"/>
      <c r="BZ77"/>
      <c r="CA77"/>
      <c r="CB77"/>
      <c r="CC77"/>
      <c r="CD77"/>
      <c r="CE77"/>
      <c r="CF77"/>
      <c r="CG77"/>
      <c r="CH77"/>
      <c r="CI77"/>
    </row>
    <row r="78" spans="1:87" s="36" customFormat="1">
      <c r="B78" s="69"/>
      <c r="C78" s="447"/>
      <c r="D78" s="448" t="s">
        <v>386</v>
      </c>
      <c r="E78" s="449">
        <v>100</v>
      </c>
      <c r="F78" s="454" t="s">
        <v>530</v>
      </c>
      <c r="G78" s="70"/>
      <c r="H78" s="70"/>
      <c r="I78" s="70"/>
      <c r="J78" s="70"/>
      <c r="K78" s="70"/>
      <c r="L78" s="70"/>
      <c r="M78" s="70"/>
      <c r="N78" s="54"/>
      <c r="O78" s="73"/>
      <c r="P78" s="461"/>
      <c r="Q78" s="461"/>
      <c r="R78" s="506" t="s">
        <v>578</v>
      </c>
      <c r="S78" s="465">
        <f>AH10</f>
        <v>5.03</v>
      </c>
      <c r="T78" s="515" t="s">
        <v>13</v>
      </c>
      <c r="U78" s="461"/>
      <c r="V78" s="521" t="s">
        <v>393</v>
      </c>
      <c r="W78" s="523" t="str">
        <f>ScenarioSelected</f>
        <v>Imaging 2</v>
      </c>
      <c r="X78" s="553"/>
      <c r="Y78" s="499"/>
      <c r="Z78" s="461"/>
      <c r="AA78" s="461"/>
      <c r="AB78" s="461"/>
      <c r="AC78" s="461"/>
      <c r="AD78" s="73"/>
      <c r="AE78" s="69"/>
      <c r="AF78" s="366"/>
      <c r="AG78" s="69" t="s">
        <v>39</v>
      </c>
      <c r="AH78" s="85">
        <f ca="1">AP11</f>
        <v>4.5615004000000001E-2</v>
      </c>
      <c r="AI78" s="71" t="s">
        <v>30</v>
      </c>
      <c r="AJ78" s="155" t="s">
        <v>38</v>
      </c>
      <c r="AK78" s="69"/>
      <c r="AL78" s="66"/>
      <c r="AM78" s="69"/>
      <c r="AN78" s="69"/>
      <c r="AR78" s="60"/>
      <c r="AS78" s="69"/>
      <c r="AT78" s="69"/>
      <c r="AU78" s="73"/>
      <c r="AV78" s="270">
        <v>880</v>
      </c>
      <c r="AW78" s="264">
        <v>0.68441564129298271</v>
      </c>
      <c r="AX78" s="264">
        <v>0.67789157202834893</v>
      </c>
      <c r="AY78" s="264">
        <v>0.31226713040367288</v>
      </c>
      <c r="AZ78" s="424">
        <v>0.31527240804966311</v>
      </c>
      <c r="BA78" s="264">
        <v>0.61864795993264576</v>
      </c>
      <c r="BB78" s="264">
        <v>0.68051434718952419</v>
      </c>
      <c r="BC78" s="273">
        <v>0.30664364568614305</v>
      </c>
      <c r="BD78"/>
      <c r="BE78" s="66"/>
      <c r="BF78"/>
      <c r="BG78" s="612">
        <v>8.6999999999999993</v>
      </c>
      <c r="BH78" s="215">
        <v>0.41469600000000001</v>
      </c>
      <c r="BI78" s="602">
        <v>4.2215078999999999E-12</v>
      </c>
      <c r="BJ78" s="613">
        <v>2.0000000000000001E-9</v>
      </c>
      <c r="BK78" s="614">
        <v>1.5616425999999999E-2</v>
      </c>
      <c r="BL78" s="603">
        <v>3.0471131000000002E-3</v>
      </c>
      <c r="BM78" s="603">
        <v>1.3853015E-3</v>
      </c>
      <c r="BN78" s="603">
        <v>0.23462332999999999</v>
      </c>
      <c r="BO78"/>
      <c r="BP78" s="118">
        <v>8.6999999999999993</v>
      </c>
      <c r="BQ78" s="119">
        <v>0.41469600000000001</v>
      </c>
      <c r="BR78" s="120">
        <v>4.2215078999999999E-12</v>
      </c>
      <c r="BS78" s="488">
        <v>3.6118678935405156E-9</v>
      </c>
      <c r="BT78" s="121">
        <v>1.5616425999999999E-2</v>
      </c>
      <c r="BU78" s="121">
        <v>3.0471131000000002E-3</v>
      </c>
      <c r="BV78" s="121">
        <v>1.3853015E-3</v>
      </c>
      <c r="BW78" s="121">
        <v>0.23462332999999999</v>
      </c>
      <c r="BX78"/>
      <c r="BY78"/>
      <c r="BZ78"/>
      <c r="CA78"/>
      <c r="CB78"/>
      <c r="CC78"/>
      <c r="CD78"/>
      <c r="CE78"/>
      <c r="CF78"/>
      <c r="CG78"/>
      <c r="CH78"/>
      <c r="CI78"/>
    </row>
    <row r="79" spans="1:87" s="36" customFormat="1">
      <c r="B79" s="69"/>
      <c r="C79" s="285" t="s">
        <v>529</v>
      </c>
      <c r="D79" s="120">
        <f>AQ27</f>
        <v>0</v>
      </c>
      <c r="E79" s="211" t="s">
        <v>87</v>
      </c>
      <c r="F79" s="450"/>
      <c r="G79" s="70"/>
      <c r="H79" s="70"/>
      <c r="I79" s="70"/>
      <c r="J79" s="70"/>
      <c r="K79" s="70"/>
      <c r="L79" s="70"/>
      <c r="M79" s="70"/>
      <c r="N79" s="54"/>
      <c r="O79" s="73"/>
      <c r="P79" s="461"/>
      <c r="Q79" s="461"/>
      <c r="R79" s="467" t="s">
        <v>579</v>
      </c>
      <c r="S79" s="507">
        <f ca="1">AH49</f>
        <v>254.00439737108309</v>
      </c>
      <c r="T79" s="516" t="s">
        <v>11</v>
      </c>
      <c r="U79" s="461"/>
      <c r="V79" s="552" t="s">
        <v>588</v>
      </c>
      <c r="W79" s="552">
        <f>(W80*AU)/(AH9*pc)/mas</f>
        <v>106.6656763793158</v>
      </c>
      <c r="X79" s="552">
        <f>(X80*AU)/(AH9*pc)/mas</f>
        <v>284.44180367817546</v>
      </c>
      <c r="Y79" s="552">
        <f>(Y80*AU)/(AH9*pc)/mas</f>
        <v>387.55195751151405</v>
      </c>
      <c r="Z79" s="461"/>
      <c r="AA79" s="461" t="s">
        <v>80</v>
      </c>
      <c r="AB79" s="505">
        <f ca="1">AH4</f>
        <v>6.1922594974574445E-12</v>
      </c>
      <c r="AC79" s="461"/>
      <c r="AD79" s="73"/>
      <c r="AE79" s="69"/>
      <c r="AF79" s="366"/>
      <c r="AG79" s="69" t="s">
        <v>220</v>
      </c>
      <c r="AH79" s="85">
        <f ca="1">AH78/AH82</f>
        <v>9.8717343368603799E-2</v>
      </c>
      <c r="AI79" s="71"/>
      <c r="AJ79" s="155" t="s">
        <v>221</v>
      </c>
      <c r="AK79" s="69"/>
      <c r="AL79" s="66"/>
      <c r="AM79" s="69"/>
      <c r="AN79" s="69"/>
      <c r="AR79" s="60"/>
      <c r="AS79" s="69"/>
      <c r="AT79" s="69"/>
      <c r="AU79" s="73"/>
      <c r="AV79" s="429">
        <v>890</v>
      </c>
      <c r="AW79" s="430">
        <v>0.64275035855190055</v>
      </c>
      <c r="AX79" s="430">
        <v>0.6363391222822895</v>
      </c>
      <c r="AY79" s="430">
        <v>0.28117427945787515</v>
      </c>
      <c r="AZ79" s="445">
        <v>0.28400716317572144</v>
      </c>
      <c r="BA79" s="430">
        <v>0.58074556805531585</v>
      </c>
      <c r="BB79" s="430">
        <v>0.63947228766186737</v>
      </c>
      <c r="BC79" s="431">
        <v>0.27713450384806265</v>
      </c>
      <c r="BD79"/>
      <c r="BE79" s="66"/>
      <c r="BF79"/>
      <c r="BG79" s="612">
        <v>9</v>
      </c>
      <c r="BH79" s="215">
        <v>0.42899599999999999</v>
      </c>
      <c r="BI79" s="602">
        <v>3.2181705000000001E-12</v>
      </c>
      <c r="BJ79" s="613">
        <v>2.0000000000000001E-9</v>
      </c>
      <c r="BK79" s="614">
        <v>8.7064133000000002E-3</v>
      </c>
      <c r="BL79" s="603">
        <v>2.5971239000000001E-3</v>
      </c>
      <c r="BM79" s="603">
        <v>9.3843118999999999E-4</v>
      </c>
      <c r="BN79" s="603">
        <v>0.23397018</v>
      </c>
      <c r="BO79"/>
      <c r="BP79" s="118">
        <v>9</v>
      </c>
      <c r="BQ79" s="119">
        <v>0.42899599999999999</v>
      </c>
      <c r="BR79" s="120">
        <v>3.2181705000000001E-12</v>
      </c>
      <c r="BS79" s="488">
        <v>3.2304959370635068E-9</v>
      </c>
      <c r="BT79" s="121">
        <v>8.7064133000000002E-3</v>
      </c>
      <c r="BU79" s="121">
        <v>2.5971239000000001E-3</v>
      </c>
      <c r="BV79" s="121">
        <v>9.3843118999999999E-4</v>
      </c>
      <c r="BW79" s="121">
        <v>0.23397018</v>
      </c>
      <c r="BX79"/>
      <c r="BY79"/>
      <c r="BZ79"/>
      <c r="CA79"/>
      <c r="CB79"/>
      <c r="CC79"/>
      <c r="CD79"/>
      <c r="CE79"/>
      <c r="CF79"/>
      <c r="CG79"/>
      <c r="CH79"/>
      <c r="CI79"/>
    </row>
    <row r="80" spans="1:87" s="36" customFormat="1" ht="15.6">
      <c r="B80" s="69"/>
      <c r="C80" s="285" t="s">
        <v>498</v>
      </c>
      <c r="D80" s="120">
        <v>2.3E-3</v>
      </c>
      <c r="E80" s="211" t="s">
        <v>87</v>
      </c>
      <c r="F80" s="450"/>
      <c r="G80" s="70"/>
      <c r="H80" s="70"/>
      <c r="I80" s="70"/>
      <c r="J80" s="70"/>
      <c r="K80" s="70"/>
      <c r="L80" s="70"/>
      <c r="M80" s="70"/>
      <c r="N80" s="54"/>
      <c r="O80" s="73"/>
      <c r="P80" s="461"/>
      <c r="Q80" s="461"/>
      <c r="R80" s="519" t="s">
        <v>586</v>
      </c>
      <c r="S80" s="513">
        <f ca="1">planetWA</f>
        <v>5.1655432278006632</v>
      </c>
      <c r="T80" s="520" t="s">
        <v>127</v>
      </c>
      <c r="U80" s="461"/>
      <c r="V80" s="525">
        <f ca="1">S87</f>
        <v>1.51210190852526E-9</v>
      </c>
      <c r="W80" s="526">
        <v>1.5</v>
      </c>
      <c r="X80" s="527">
        <v>4</v>
      </c>
      <c r="Y80" s="527">
        <v>5.45</v>
      </c>
      <c r="Z80" s="461"/>
      <c r="AA80" s="461"/>
      <c r="AB80" s="461"/>
      <c r="AC80" s="461"/>
      <c r="AD80" s="73"/>
      <c r="AE80" s="69"/>
      <c r="AF80" s="366"/>
      <c r="AG80" s="69" t="s">
        <v>146</v>
      </c>
      <c r="AH80" s="85">
        <v>0.34</v>
      </c>
      <c r="AI80" s="71" t="s">
        <v>30</v>
      </c>
      <c r="AJ80" s="155" t="s">
        <v>150</v>
      </c>
      <c r="AK80" s="69"/>
      <c r="AL80" s="66"/>
      <c r="AM80" s="69"/>
      <c r="AN80" s="69"/>
      <c r="AR80" s="60"/>
      <c r="AS80" s="69"/>
      <c r="AT80" s="69"/>
      <c r="AU80" s="73"/>
      <c r="AV80" s="270">
        <v>900</v>
      </c>
      <c r="AW80" s="264">
        <v>0.59796118366798157</v>
      </c>
      <c r="AX80" s="264">
        <v>0.59199670558167006</v>
      </c>
      <c r="AY80" s="264">
        <v>0.25127313338262353</v>
      </c>
      <c r="AZ80" s="424">
        <v>0.25380475743324543</v>
      </c>
      <c r="BA80" s="264">
        <v>0.54057628961713033</v>
      </c>
      <c r="BB80" s="264">
        <v>0.59512471687595225</v>
      </c>
      <c r="BC80" s="273">
        <v>0.24849211521937986</v>
      </c>
      <c r="BD80"/>
      <c r="BE80" s="66"/>
      <c r="BF80"/>
      <c r="BG80" s="113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</row>
    <row r="81" spans="2:87" s="36" customFormat="1" ht="15.6">
      <c r="B81" s="69"/>
      <c r="C81" s="285" t="s">
        <v>51</v>
      </c>
      <c r="D81" s="120">
        <f>AQ28</f>
        <v>6.9999999999999999E-4</v>
      </c>
      <c r="E81" s="211" t="s">
        <v>93</v>
      </c>
      <c r="F81" s="450"/>
      <c r="G81" s="70"/>
      <c r="H81" s="70"/>
      <c r="I81" s="70"/>
      <c r="J81" s="70"/>
      <c r="K81" s="70"/>
      <c r="L81" s="70"/>
      <c r="M81" s="70"/>
      <c r="N81" s="54"/>
      <c r="O81" s="73"/>
      <c r="P81" s="461"/>
      <c r="Q81" s="461"/>
      <c r="R81" s="508" t="s">
        <v>22</v>
      </c>
      <c r="S81" s="509">
        <f>AH21</f>
        <v>5</v>
      </c>
      <c r="T81" s="517"/>
      <c r="U81" s="461"/>
      <c r="V81" s="495">
        <v>4</v>
      </c>
      <c r="W81" s="524">
        <f t="dataTable" ref="W81:X83" dt2D="1" dtr="1" r1="AB82" r2="AB81" ca="1"/>
        <v>1.51210190852526E-9</v>
      </c>
      <c r="X81" s="524">
        <v>1.51210190852526E-9</v>
      </c>
      <c r="Y81" s="524">
        <v>3.3126181249059176E-9</v>
      </c>
      <c r="Z81" s="469"/>
      <c r="AA81" s="461"/>
      <c r="AB81" s="522">
        <v>5</v>
      </c>
      <c r="AC81" s="461"/>
      <c r="AD81" s="73"/>
      <c r="AE81" s="69"/>
      <c r="AF81" s="366"/>
      <c r="AG81" s="69" t="s">
        <v>147</v>
      </c>
      <c r="AH81" s="85">
        <f ca="1">AH80/AH79</f>
        <v>3.4441769642287001</v>
      </c>
      <c r="AI81" s="71" t="s">
        <v>149</v>
      </c>
      <c r="AJ81" s="155" t="s">
        <v>148</v>
      </c>
      <c r="AK81" s="69"/>
      <c r="AL81" s="66"/>
      <c r="AM81" s="69"/>
      <c r="AN81" s="69"/>
      <c r="AR81" s="60"/>
      <c r="AS81" s="69"/>
      <c r="AT81" s="69"/>
      <c r="AU81" s="73"/>
      <c r="AV81" s="270">
        <v>910</v>
      </c>
      <c r="AW81" s="264">
        <v>0.55082169590670516</v>
      </c>
      <c r="AX81" s="264">
        <v>0.54532741964859155</v>
      </c>
      <c r="AY81" s="264">
        <v>0.22271411836099661</v>
      </c>
      <c r="AZ81" s="424">
        <v>0.22495800496703972</v>
      </c>
      <c r="BA81" s="264">
        <v>0.49845153682762655</v>
      </c>
      <c r="BB81" s="264">
        <v>0.54829919194170462</v>
      </c>
      <c r="BC81" s="273">
        <v>0.22098402244128942</v>
      </c>
      <c r="BD81"/>
      <c r="BE81" s="66"/>
      <c r="BF81"/>
      <c r="BG81" s="113"/>
      <c r="BL81"/>
      <c r="BM81"/>
      <c r="BN81"/>
      <c r="BO81"/>
      <c r="BX81"/>
      <c r="BY81"/>
      <c r="BZ81"/>
      <c r="CA81"/>
      <c r="CB81"/>
      <c r="CC81"/>
      <c r="CD81"/>
      <c r="CE81"/>
      <c r="CF81"/>
      <c r="CG81"/>
      <c r="CH81"/>
      <c r="CI81"/>
    </row>
    <row r="82" spans="2:87" s="36" customFormat="1" ht="15.6">
      <c r="B82" s="69"/>
      <c r="C82" s="451" t="s">
        <v>531</v>
      </c>
      <c r="D82" s="446">
        <f>SQRT(SUM(D79^2,D80,D81*E78))</f>
        <v>0.26888659319497504</v>
      </c>
      <c r="E82" s="452" t="s">
        <v>87</v>
      </c>
      <c r="F82" s="453"/>
      <c r="G82" s="70"/>
      <c r="H82" s="70"/>
      <c r="I82" s="70"/>
      <c r="J82" s="70"/>
      <c r="K82" s="70"/>
      <c r="L82" s="70"/>
      <c r="M82" s="70"/>
      <c r="N82" s="54"/>
      <c r="O82" s="73"/>
      <c r="P82" s="461"/>
      <c r="Q82" s="461"/>
      <c r="R82" s="506" t="s">
        <v>574</v>
      </c>
      <c r="S82" s="465">
        <f>AH20</f>
        <v>24</v>
      </c>
      <c r="T82" s="515" t="s">
        <v>456</v>
      </c>
      <c r="U82" s="461"/>
      <c r="V82" s="495">
        <v>5</v>
      </c>
      <c r="W82" s="524">
        <v>1.51210190852526E-9</v>
      </c>
      <c r="X82" s="524">
        <v>1.51210190852526E-9</v>
      </c>
      <c r="Y82" s="524">
        <v>4.2973795501042708E-9</v>
      </c>
      <c r="Z82" s="469"/>
      <c r="AA82" s="461"/>
      <c r="AB82" s="522">
        <v>1.5</v>
      </c>
      <c r="AC82" s="461"/>
      <c r="AD82" s="73"/>
      <c r="AE82" s="69"/>
      <c r="AF82" s="366"/>
      <c r="AG82" s="69" t="s">
        <v>42</v>
      </c>
      <c r="AH82" s="85">
        <f ca="1">AP14</f>
        <v>0.46207690000000001</v>
      </c>
      <c r="AI82" s="71" t="s">
        <v>30</v>
      </c>
      <c r="AJ82" s="155" t="s">
        <v>41</v>
      </c>
      <c r="AK82" s="69"/>
      <c r="AL82" s="66"/>
      <c r="AM82" s="69"/>
      <c r="AN82" s="69"/>
      <c r="AR82" s="60"/>
      <c r="AS82" s="69"/>
      <c r="AT82" s="69"/>
      <c r="AU82" s="73"/>
      <c r="AV82" s="270">
        <v>920</v>
      </c>
      <c r="AW82" s="264">
        <v>0.5016994251365765</v>
      </c>
      <c r="AX82" s="264">
        <v>0.49691706540932884</v>
      </c>
      <c r="AY82" s="264">
        <v>0.19563517797432589</v>
      </c>
      <c r="AZ82" s="424">
        <v>0.19751798269468029</v>
      </c>
      <c r="BA82" s="264">
        <v>0.45483453127189954</v>
      </c>
      <c r="BB82" s="264">
        <v>0.49939110450452812</v>
      </c>
      <c r="BC82" s="273">
        <v>0.19467097537285061</v>
      </c>
      <c r="BD82"/>
      <c r="BE82" s="66"/>
      <c r="BF82"/>
      <c r="BG82" s="113"/>
      <c r="BL82"/>
      <c r="BM82"/>
      <c r="BN82"/>
      <c r="BO82"/>
      <c r="BX82"/>
      <c r="BY82"/>
      <c r="BZ82"/>
      <c r="CA82"/>
      <c r="CB82"/>
      <c r="CC82"/>
      <c r="CD82"/>
      <c r="CE82"/>
      <c r="CF82"/>
      <c r="CG82"/>
      <c r="CH82"/>
      <c r="CI82"/>
    </row>
    <row r="83" spans="2:87" s="36" customFormat="1" ht="15.6">
      <c r="B83" s="69"/>
      <c r="C83" s="69"/>
      <c r="D83" s="69"/>
      <c r="E83" s="69"/>
      <c r="F83" s="72"/>
      <c r="G83" s="70"/>
      <c r="H83" s="70"/>
      <c r="I83" s="70"/>
      <c r="J83" s="70"/>
      <c r="K83" s="70"/>
      <c r="L83" s="70"/>
      <c r="M83" s="70"/>
      <c r="N83" s="54"/>
      <c r="O83" s="73"/>
      <c r="P83" s="461"/>
      <c r="Q83" s="461"/>
      <c r="R83" s="510" t="s">
        <v>577</v>
      </c>
      <c r="S83" s="511">
        <f>f_pp</f>
        <v>0.1</v>
      </c>
      <c r="T83" s="518" t="s">
        <v>229</v>
      </c>
      <c r="U83" s="461"/>
      <c r="V83" s="495">
        <v>6</v>
      </c>
      <c r="W83" s="524">
        <v>1.51210190852526E-9</v>
      </c>
      <c r="X83" s="524">
        <v>1.51210190852526E-9</v>
      </c>
      <c r="Y83" s="524">
        <v>6.2822956137305227E-9</v>
      </c>
      <c r="Z83" s="469"/>
      <c r="AA83" s="461"/>
      <c r="AB83" s="461"/>
      <c r="AC83" s="461"/>
      <c r="AD83" s="73"/>
      <c r="AE83" s="69"/>
      <c r="AF83" s="366"/>
      <c r="AG83" s="69" t="s">
        <v>152</v>
      </c>
      <c r="AH83" s="85">
        <f ca="1">1/(AH82*AH81)</f>
        <v>0.62834806837285528</v>
      </c>
      <c r="AI83" s="71"/>
      <c r="AJ83" s="155" t="s">
        <v>151</v>
      </c>
      <c r="AK83" s="69"/>
      <c r="AL83" s="66"/>
      <c r="AM83" s="69"/>
      <c r="AN83" s="69"/>
      <c r="AR83" s="60"/>
      <c r="AS83" s="69"/>
      <c r="AT83" s="69"/>
      <c r="AU83" s="73"/>
      <c r="AV83" s="270">
        <v>930</v>
      </c>
      <c r="AW83" s="264">
        <v>0.45172688394986016</v>
      </c>
      <c r="AX83" s="264">
        <v>0.44742087850261691</v>
      </c>
      <c r="AY83" s="264">
        <v>0.17015090895020721</v>
      </c>
      <c r="AZ83" s="424">
        <v>0.17178845153258515</v>
      </c>
      <c r="BA83" s="264">
        <v>0.41023978846242903</v>
      </c>
      <c r="BB83" s="264">
        <v>0.44956660134195275</v>
      </c>
      <c r="BC83" s="273">
        <v>0.16986161753917658</v>
      </c>
      <c r="BD83"/>
      <c r="BE83" s="66"/>
      <c r="BF83"/>
      <c r="BG83" s="113" t="s">
        <v>636</v>
      </c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</row>
    <row r="84" spans="2:87" s="36" customFormat="1" ht="15.6">
      <c r="B84" s="69"/>
      <c r="C84" s="69"/>
      <c r="D84" s="69"/>
      <c r="E84" s="69"/>
      <c r="F84" s="72"/>
      <c r="G84" s="70"/>
      <c r="H84" s="70"/>
      <c r="I84" s="70"/>
      <c r="J84" s="70"/>
      <c r="K84" s="70"/>
      <c r="L84" s="70"/>
      <c r="M84" s="70"/>
      <c r="N84" s="54"/>
      <c r="O84" s="73"/>
      <c r="P84" s="461"/>
      <c r="Q84" s="461"/>
      <c r="R84" s="506" t="s">
        <v>575</v>
      </c>
      <c r="S84" s="512">
        <f ca="1">SQRT(totNoiseVarRate*integTime)</f>
        <v>47.087849983504107</v>
      </c>
      <c r="T84" s="515" t="s">
        <v>581</v>
      </c>
      <c r="U84" s="461"/>
      <c r="V84" s="461"/>
      <c r="W84" s="469"/>
      <c r="X84" s="469"/>
      <c r="Y84" s="469"/>
      <c r="Z84" s="469"/>
      <c r="AA84" s="461"/>
      <c r="AB84" s="461"/>
      <c r="AC84" s="461"/>
      <c r="AD84" s="73"/>
      <c r="AE84" s="69"/>
      <c r="AF84" s="366"/>
      <c r="AG84" s="69" t="s">
        <v>36</v>
      </c>
      <c r="AH84" s="85">
        <f>AP17</f>
        <v>0.58514508983843505</v>
      </c>
      <c r="AI84" s="71" t="s">
        <v>30</v>
      </c>
      <c r="AJ84" s="155" t="s">
        <v>35</v>
      </c>
      <c r="AK84" s="69"/>
      <c r="AL84" s="66"/>
      <c r="AM84" s="69"/>
      <c r="AN84" s="69"/>
      <c r="AR84" s="60"/>
      <c r="AS84" s="69"/>
      <c r="AT84" s="69"/>
      <c r="AU84" s="73"/>
      <c r="AV84" s="270">
        <v>940</v>
      </c>
      <c r="AW84" s="264">
        <v>0.40155736786419333</v>
      </c>
      <c r="AX84" s="264">
        <v>0.39755195716791508</v>
      </c>
      <c r="AY84" s="264">
        <v>0.14635577376007269</v>
      </c>
      <c r="AZ84" s="424">
        <v>0.14783033569118922</v>
      </c>
      <c r="BA84" s="264">
        <v>0.36524439369951284</v>
      </c>
      <c r="BB84" s="264">
        <v>0.39951124331469529</v>
      </c>
      <c r="BC84" s="273">
        <v>0.14663163726298206</v>
      </c>
      <c r="BD84"/>
      <c r="BE84" s="66"/>
      <c r="BF84"/>
      <c r="BG84" s="593" t="s">
        <v>648</v>
      </c>
      <c r="BL84"/>
      <c r="BM84"/>
      <c r="BN84"/>
      <c r="BO84"/>
      <c r="BP84" s="593" t="s">
        <v>650</v>
      </c>
      <c r="BX84"/>
      <c r="BY84"/>
      <c r="BZ84"/>
      <c r="CA84"/>
      <c r="CB84"/>
      <c r="CC84"/>
      <c r="CD84"/>
      <c r="CE84"/>
      <c r="CF84"/>
      <c r="CG84"/>
      <c r="CH84"/>
      <c r="CI84"/>
    </row>
    <row r="85" spans="2:87" s="36" customFormat="1">
      <c r="B85" s="69"/>
      <c r="C85" s="69"/>
      <c r="D85" s="69"/>
      <c r="E85" s="69"/>
      <c r="F85" s="72"/>
      <c r="G85" s="70"/>
      <c r="H85" s="70"/>
      <c r="I85" s="70"/>
      <c r="J85" s="70"/>
      <c r="K85" s="70"/>
      <c r="L85" s="70"/>
      <c r="M85" s="70"/>
      <c r="N85" s="54"/>
      <c r="O85" s="73"/>
      <c r="P85" s="461"/>
      <c r="Q85" s="461"/>
      <c r="R85" s="467" t="s">
        <v>576</v>
      </c>
      <c r="S85" s="513">
        <f ca="1">f_pp*sp_bkgRate*integTime</f>
        <v>12.95874184151976</v>
      </c>
      <c r="T85" s="516" t="s">
        <v>581</v>
      </c>
      <c r="U85" s="461"/>
      <c r="V85" s="461"/>
      <c r="W85" s="469"/>
      <c r="X85" s="469"/>
      <c r="Y85" s="469"/>
      <c r="Z85" s="469"/>
      <c r="AA85" s="461"/>
      <c r="AB85" s="461"/>
      <c r="AC85" s="461"/>
      <c r="AD85" s="73"/>
      <c r="AE85" s="69"/>
      <c r="AF85" s="366"/>
      <c r="AG85" s="69" t="s">
        <v>33</v>
      </c>
      <c r="AH85" s="85">
        <v>0.9</v>
      </c>
      <c r="AI85" s="71" t="s">
        <v>30</v>
      </c>
      <c r="AJ85" s="155" t="s">
        <v>143</v>
      </c>
      <c r="AK85" s="69"/>
      <c r="AL85" s="66"/>
      <c r="AM85" s="69"/>
      <c r="AN85" s="69"/>
      <c r="AR85" s="60"/>
      <c r="AS85" s="69"/>
      <c r="AT85" s="69"/>
      <c r="AU85" s="73"/>
      <c r="AV85" s="270">
        <v>950</v>
      </c>
      <c r="AW85" s="264">
        <v>0.35156475615026078</v>
      </c>
      <c r="AX85" s="264">
        <v>0.34805800631222777</v>
      </c>
      <c r="AY85" s="264">
        <v>0.12432472370329477</v>
      </c>
      <c r="AZ85" s="424">
        <v>0.12557731866391444</v>
      </c>
      <c r="BA85" s="264">
        <v>0.3204729882149725</v>
      </c>
      <c r="BB85" s="264">
        <v>0.34962755043608756</v>
      </c>
      <c r="BC85" s="273">
        <v>0.1249340338554286</v>
      </c>
      <c r="BD85"/>
      <c r="BE85" s="66"/>
      <c r="BF85"/>
      <c r="BG85" s="116" t="s">
        <v>164</v>
      </c>
      <c r="BH85" s="116" t="s">
        <v>165</v>
      </c>
      <c r="BI85" s="116" t="s">
        <v>52</v>
      </c>
      <c r="BJ85" s="116" t="s">
        <v>166</v>
      </c>
      <c r="BK85" s="116" t="s">
        <v>167</v>
      </c>
      <c r="BL85" s="116" t="s">
        <v>168</v>
      </c>
      <c r="BM85" s="116" t="s">
        <v>666</v>
      </c>
      <c r="BN85" s="116" t="s">
        <v>169</v>
      </c>
      <c r="BO85"/>
      <c r="BP85" s="580" t="s">
        <v>164</v>
      </c>
      <c r="BQ85" s="580" t="s">
        <v>165</v>
      </c>
      <c r="BR85" s="580" t="s">
        <v>52</v>
      </c>
      <c r="BS85" s="580" t="s">
        <v>166</v>
      </c>
      <c r="BT85" s="580" t="s">
        <v>167</v>
      </c>
      <c r="BU85" s="580" t="s">
        <v>168</v>
      </c>
      <c r="BV85" s="580" t="s">
        <v>666</v>
      </c>
      <c r="BW85" s="580" t="s">
        <v>169</v>
      </c>
      <c r="BX85"/>
      <c r="BY85"/>
      <c r="BZ85"/>
      <c r="CA85"/>
      <c r="CB85"/>
      <c r="CC85"/>
      <c r="CD85"/>
      <c r="CE85"/>
      <c r="CF85"/>
      <c r="CG85"/>
      <c r="CH85"/>
      <c r="CI85"/>
    </row>
    <row r="86" spans="2:87" s="36" customFormat="1">
      <c r="B86" s="69"/>
      <c r="C86" s="69"/>
      <c r="D86" s="69"/>
      <c r="E86" s="69"/>
      <c r="F86" s="72"/>
      <c r="G86" s="70"/>
      <c r="H86" s="70"/>
      <c r="I86" s="70"/>
      <c r="J86" s="70"/>
      <c r="K86" s="70"/>
      <c r="L86" s="70"/>
      <c r="M86" s="70"/>
      <c r="N86" s="54"/>
      <c r="O86" s="73"/>
      <c r="P86" s="461"/>
      <c r="Q86" s="461"/>
      <c r="R86" s="508" t="s">
        <v>580</v>
      </c>
      <c r="S86" s="514">
        <f ca="1">SQRT(SUMSQ(S84:S85))</f>
        <v>48.838454174801058</v>
      </c>
      <c r="T86" s="517" t="s">
        <v>581</v>
      </c>
      <c r="U86" s="461"/>
      <c r="V86" s="461"/>
      <c r="W86" s="469"/>
      <c r="X86" s="469"/>
      <c r="Y86" s="469"/>
      <c r="Z86" s="469"/>
      <c r="AA86" s="461"/>
      <c r="AB86" s="461"/>
      <c r="AC86" s="461"/>
      <c r="AD86" s="73"/>
      <c r="AE86" s="69"/>
      <c r="AF86" s="366"/>
      <c r="AG86" s="69" t="s">
        <v>31</v>
      </c>
      <c r="AH86" s="85">
        <v>0.5</v>
      </c>
      <c r="AI86" s="71" t="s">
        <v>30</v>
      </c>
      <c r="AJ86" s="155" t="s">
        <v>29</v>
      </c>
      <c r="AK86" s="69"/>
      <c r="AL86" s="66"/>
      <c r="AM86" s="69"/>
      <c r="AN86" s="69"/>
      <c r="AR86" s="60"/>
      <c r="AS86" s="69"/>
      <c r="AT86" s="69"/>
      <c r="AU86" s="73"/>
      <c r="AV86" s="270">
        <v>960</v>
      </c>
      <c r="AW86" s="264">
        <v>0.30271054646275836</v>
      </c>
      <c r="AX86" s="264">
        <v>0.29969110227442952</v>
      </c>
      <c r="AY86" s="264">
        <v>0.10411246154717098</v>
      </c>
      <c r="AZ86" s="424">
        <v>0.10516141416727029</v>
      </c>
      <c r="BA86" s="264">
        <v>0.2765589178539532</v>
      </c>
      <c r="BB86" s="264">
        <v>0.30090203923146713</v>
      </c>
      <c r="BC86" s="273">
        <v>0.10491569932203401</v>
      </c>
      <c r="BD86"/>
      <c r="BE86" s="66"/>
      <c r="BF86"/>
      <c r="BG86" s="118">
        <v>2.7</v>
      </c>
      <c r="BH86" s="119">
        <v>0.12869900000000001</v>
      </c>
      <c r="BI86" s="120">
        <v>7.2127685999999998E-12</v>
      </c>
      <c r="BJ86" s="274">
        <v>2.0000000000000001E-9</v>
      </c>
      <c r="BK86" s="610">
        <v>1.1506961200000001E-2</v>
      </c>
      <c r="BL86" s="121">
        <v>7.7974158999999995E-4</v>
      </c>
      <c r="BM86" s="121">
        <v>2.0332675999999998E-3</v>
      </c>
      <c r="BN86" s="121">
        <v>4.2041007000000003E-3</v>
      </c>
      <c r="BO86"/>
      <c r="BP86" s="118">
        <v>2.7</v>
      </c>
      <c r="BQ86" s="119">
        <v>0.12869900000000001</v>
      </c>
      <c r="BR86" s="120">
        <v>7.2127685999999998E-12</v>
      </c>
      <c r="BS86" s="488">
        <v>9.0319224499509866E-9</v>
      </c>
      <c r="BT86" s="489">
        <v>1.1506961200000001E-2</v>
      </c>
      <c r="BU86" s="121">
        <v>7.7974158999999995E-4</v>
      </c>
      <c r="BV86" s="121">
        <v>2.0332675999999998E-3</v>
      </c>
      <c r="BW86" s="121">
        <v>4.2041007000000003E-3</v>
      </c>
      <c r="BX86"/>
      <c r="BY86"/>
      <c r="BZ86"/>
      <c r="CA86"/>
      <c r="CB86"/>
      <c r="CC86"/>
      <c r="CD86"/>
      <c r="CE86"/>
      <c r="CF86"/>
      <c r="CG86"/>
      <c r="CH86"/>
      <c r="CI86"/>
    </row>
    <row r="87" spans="2:87" s="36" customFormat="1">
      <c r="B87" s="69"/>
      <c r="C87" t="s">
        <v>542</v>
      </c>
      <c r="D87"/>
      <c r="E87"/>
      <c r="F87" s="72"/>
      <c r="G87" s="70"/>
      <c r="H87" s="70"/>
      <c r="I87" s="70"/>
      <c r="J87" s="70"/>
      <c r="K87" s="70"/>
      <c r="L87" s="70"/>
      <c r="M87" s="70"/>
      <c r="N87" s="54"/>
      <c r="O87" s="73"/>
      <c r="P87" s="461"/>
      <c r="Q87" s="461"/>
      <c r="R87" s="521" t="s">
        <v>585</v>
      </c>
      <c r="S87" s="528">
        <f ca="1">S81*AH4*S86</f>
        <v>1.51210190852526E-9</v>
      </c>
      <c r="T87" s="499" t="s">
        <v>587</v>
      </c>
      <c r="U87" s="461"/>
      <c r="V87" s="461"/>
      <c r="W87" s="469"/>
      <c r="X87" s="469"/>
      <c r="Y87" s="469"/>
      <c r="Z87" s="469"/>
      <c r="AA87" s="461"/>
      <c r="AB87" s="461"/>
      <c r="AC87" s="461"/>
      <c r="AD87" s="73"/>
      <c r="AE87" s="69"/>
      <c r="AF87" s="366"/>
      <c r="AG87" s="144" t="s">
        <v>27</v>
      </c>
      <c r="AH87" s="145">
        <f ca="1" xml:space="preserve"> AH77*AH78*AH84*AH85*AH86</f>
        <v>1.002650532009333E-2</v>
      </c>
      <c r="AI87" s="71"/>
      <c r="AJ87" s="155" t="s">
        <v>26</v>
      </c>
      <c r="AK87" s="69"/>
      <c r="AL87" s="66"/>
      <c r="AM87" s="69"/>
      <c r="AN87" s="69"/>
      <c r="AR87" s="60"/>
      <c r="AS87" s="69"/>
      <c r="AT87" s="69"/>
      <c r="AU87" s="73"/>
      <c r="AV87" s="270">
        <v>970</v>
      </c>
      <c r="AW87" s="264">
        <v>0.25564639629813107</v>
      </c>
      <c r="AX87" s="264">
        <v>0.25320949290774081</v>
      </c>
      <c r="AY87" s="264">
        <v>8.5761194114456485E-2</v>
      </c>
      <c r="AZ87" s="424">
        <v>8.6586565005182081E-2</v>
      </c>
      <c r="BA87" s="264">
        <v>0.23419608749807486</v>
      </c>
      <c r="BB87" s="264">
        <v>0.25398870348537833</v>
      </c>
      <c r="BC87" s="273">
        <v>8.6610391532522396E-2</v>
      </c>
      <c r="BD87"/>
      <c r="BE87" s="66"/>
      <c r="BF87"/>
      <c r="BG87" s="118">
        <v>3</v>
      </c>
      <c r="BH87" s="119">
        <v>0.14299899999999999</v>
      </c>
      <c r="BI87" s="120">
        <v>3.8144394999999998E-12</v>
      </c>
      <c r="BJ87" s="274">
        <v>2.0000000000000001E-9</v>
      </c>
      <c r="BK87" s="610">
        <v>2.0355000000000002E-2</v>
      </c>
      <c r="BL87" s="121">
        <v>1.3721821E-3</v>
      </c>
      <c r="BM87" s="121">
        <v>2.0481634000000001E-3</v>
      </c>
      <c r="BN87" s="121">
        <v>0.26489564999999998</v>
      </c>
      <c r="BO87"/>
      <c r="BP87" s="118">
        <v>3</v>
      </c>
      <c r="BQ87" s="119">
        <v>0.14299899999999999</v>
      </c>
      <c r="BR87" s="120">
        <v>3.8144394999999998E-12</v>
      </c>
      <c r="BS87" s="488">
        <v>2.7142377193734087E-9</v>
      </c>
      <c r="BT87" s="489">
        <v>2.0355000000000002E-2</v>
      </c>
      <c r="BU87" s="121">
        <v>1.3721821E-3</v>
      </c>
      <c r="BV87" s="121">
        <v>2.0481634000000001E-3</v>
      </c>
      <c r="BW87" s="121">
        <v>0.26489564999999998</v>
      </c>
      <c r="BX87"/>
      <c r="BY87"/>
      <c r="BZ87"/>
      <c r="CA87"/>
      <c r="CB87"/>
      <c r="CC87"/>
      <c r="CD87"/>
      <c r="CE87"/>
      <c r="CF87"/>
      <c r="CG87"/>
      <c r="CH87"/>
      <c r="CI87"/>
    </row>
    <row r="88" spans="2:87" s="36" customFormat="1">
      <c r="B88" s="69"/>
      <c r="C88" t="s">
        <v>541</v>
      </c>
      <c r="D88">
        <v>2</v>
      </c>
      <c r="E88" t="s">
        <v>534</v>
      </c>
      <c r="F88" s="72"/>
      <c r="G88" s="70"/>
      <c r="H88" s="70"/>
      <c r="I88" s="70"/>
      <c r="J88" s="70"/>
      <c r="K88" s="70"/>
      <c r="L88" s="70"/>
      <c r="M88" s="70"/>
      <c r="N88" s="54"/>
      <c r="O88" s="73"/>
      <c r="P88" s="461"/>
      <c r="Q88" s="461"/>
      <c r="R88" s="461"/>
      <c r="S88" s="461"/>
      <c r="T88" s="461"/>
      <c r="U88" s="461"/>
      <c r="V88" s="461"/>
      <c r="W88" s="461"/>
      <c r="X88" s="461"/>
      <c r="Y88" s="461"/>
      <c r="Z88" s="461"/>
      <c r="AA88" s="461"/>
      <c r="AB88" s="461"/>
      <c r="AC88" s="461"/>
      <c r="AD88" s="73"/>
      <c r="AE88" s="69"/>
      <c r="AF88" s="366"/>
      <c r="AG88" s="146" t="s">
        <v>214</v>
      </c>
      <c r="AH88" s="147">
        <f ca="1">AH77*AH82*AH84*AH85*AH86</f>
        <v>0.10156781957406458</v>
      </c>
      <c r="AI88" s="71"/>
      <c r="AJ88" s="155"/>
      <c r="AK88" s="69"/>
      <c r="AL88" s="66"/>
      <c r="AM88" s="69"/>
      <c r="AN88" s="69"/>
      <c r="AR88" s="60"/>
      <c r="AS88" s="69"/>
      <c r="AT88" s="69"/>
      <c r="AU88" s="73"/>
      <c r="AV88" s="270">
        <v>980</v>
      </c>
      <c r="AW88" s="264">
        <v>0.21134493194475062</v>
      </c>
      <c r="AX88" s="264">
        <v>0.20933032431227161</v>
      </c>
      <c r="AY88" s="264">
        <v>6.9295335579313722E-2</v>
      </c>
      <c r="AZ88" s="424">
        <v>6.9962238057069526E-2</v>
      </c>
      <c r="BA88" s="264">
        <v>0.19404702559257572</v>
      </c>
      <c r="BB88" s="264">
        <v>0.20986076941215961</v>
      </c>
      <c r="BC88" s="273">
        <v>7.0152142143640725E-2</v>
      </c>
      <c r="BD88"/>
      <c r="BE88" s="66"/>
      <c r="BF88"/>
      <c r="BG88" s="118">
        <v>3.3</v>
      </c>
      <c r="BH88" s="119">
        <v>0.15729899999999999</v>
      </c>
      <c r="BI88" s="120">
        <v>1.8536469000000001E-12</v>
      </c>
      <c r="BJ88" s="274">
        <v>2.0000000000000001E-9</v>
      </c>
      <c r="BK88" s="610">
        <v>3.1134192000000002E-2</v>
      </c>
      <c r="BL88" s="121">
        <v>2.0924100999999999E-3</v>
      </c>
      <c r="BM88" s="121">
        <v>2.0556111999999998E-3</v>
      </c>
      <c r="BN88" s="121">
        <v>0.23484168999999999</v>
      </c>
      <c r="BO88"/>
      <c r="BP88" s="118">
        <v>3.3</v>
      </c>
      <c r="BQ88" s="119">
        <v>0.15729899999999999</v>
      </c>
      <c r="BR88" s="120">
        <v>1.8536469000000001E-12</v>
      </c>
      <c r="BS88" s="488">
        <v>8.6498601449477665E-10</v>
      </c>
      <c r="BT88" s="489">
        <v>3.1134192000000002E-2</v>
      </c>
      <c r="BU88" s="121">
        <v>2.0924100999999999E-3</v>
      </c>
      <c r="BV88" s="121">
        <v>2.0556111999999998E-3</v>
      </c>
      <c r="BW88" s="121">
        <v>0.23484168999999999</v>
      </c>
      <c r="BX88"/>
      <c r="BY88"/>
      <c r="BZ88"/>
      <c r="CA88"/>
      <c r="CB88"/>
      <c r="CC88"/>
      <c r="CD88"/>
      <c r="CE88"/>
      <c r="CF88"/>
      <c r="CG88"/>
      <c r="CH88"/>
      <c r="CI88"/>
    </row>
    <row r="89" spans="2:87" s="36" customFormat="1">
      <c r="B89" s="69"/>
      <c r="C89" t="s">
        <v>540</v>
      </c>
      <c r="D89" s="459">
        <f>0.85</f>
        <v>0.85</v>
      </c>
      <c r="E89"/>
      <c r="F89" s="72"/>
      <c r="G89" s="70"/>
      <c r="H89" s="70"/>
      <c r="I89" s="70"/>
      <c r="J89" s="70"/>
      <c r="K89" s="70"/>
      <c r="L89" s="70"/>
      <c r="M89" s="70"/>
      <c r="N89" s="54"/>
      <c r="O89" s="73"/>
      <c r="P89" s="461"/>
      <c r="Q89" s="461"/>
      <c r="R89" s="461"/>
      <c r="S89" s="461"/>
      <c r="T89" s="461"/>
      <c r="U89" s="461"/>
      <c r="V89" s="461"/>
      <c r="W89" s="461"/>
      <c r="X89" s="461"/>
      <c r="Y89" s="461"/>
      <c r="Z89" s="469"/>
      <c r="AA89" s="461"/>
      <c r="AB89" s="461"/>
      <c r="AC89" s="461"/>
      <c r="AD89" s="73"/>
      <c r="AE89" s="69"/>
      <c r="AF89" s="366"/>
      <c r="AG89" s="148" t="s">
        <v>215</v>
      </c>
      <c r="AH89" s="149">
        <f>AH77*AH84*AH85*AH86</f>
        <v>0.21980717835941282</v>
      </c>
      <c r="AI89" s="71"/>
      <c r="AJ89" s="155"/>
      <c r="AK89" s="69"/>
      <c r="AL89" s="66"/>
      <c r="AM89" s="69"/>
      <c r="AN89" s="69"/>
      <c r="AR89" s="60"/>
      <c r="AS89" s="69"/>
      <c r="AT89" s="69"/>
      <c r="AU89" s="73"/>
      <c r="AV89" s="270">
        <v>990</v>
      </c>
      <c r="AW89" s="264">
        <v>0.17041006131389</v>
      </c>
      <c r="AX89" s="264">
        <v>0.16871027359496329</v>
      </c>
      <c r="AY89" s="264">
        <v>5.472300954264131E-2</v>
      </c>
      <c r="AZ89" s="424">
        <v>5.5274354150063411E-2</v>
      </c>
      <c r="BA89" s="264">
        <v>0.15672147318678897</v>
      </c>
      <c r="BB89" s="264">
        <v>0.1691246638416587</v>
      </c>
      <c r="BC89" s="273">
        <v>5.5546038598075283E-2</v>
      </c>
      <c r="BD89"/>
      <c r="BE89" s="66"/>
      <c r="BF89"/>
      <c r="BG89" s="118">
        <v>3.6</v>
      </c>
      <c r="BH89" s="119">
        <v>0.171598</v>
      </c>
      <c r="BI89" s="120">
        <v>1.5890446000000001E-12</v>
      </c>
      <c r="BJ89" s="274">
        <v>2.0000000000000001E-9</v>
      </c>
      <c r="BK89" s="610">
        <v>3.6843356000000001E-2</v>
      </c>
      <c r="BL89" s="121">
        <v>2.4863297E-3</v>
      </c>
      <c r="BM89" s="121">
        <v>2.0556111999999998E-3</v>
      </c>
      <c r="BN89" s="121">
        <v>0.23055136000000001</v>
      </c>
      <c r="BO89"/>
      <c r="BP89" s="118">
        <v>3.6</v>
      </c>
      <c r="BQ89" s="119">
        <v>0.171598</v>
      </c>
      <c r="BR89" s="120">
        <v>1.5890446000000001E-12</v>
      </c>
      <c r="BS89" s="488">
        <v>6.240311469963728E-10</v>
      </c>
      <c r="BT89" s="489">
        <v>3.6843356000000001E-2</v>
      </c>
      <c r="BU89" s="121">
        <v>2.4863297E-3</v>
      </c>
      <c r="BV89" s="121">
        <v>2.0556111999999998E-3</v>
      </c>
      <c r="BW89" s="121">
        <v>0.23055136000000001</v>
      </c>
      <c r="BX89"/>
      <c r="BY89"/>
      <c r="BZ89"/>
      <c r="CA89"/>
      <c r="CB89"/>
      <c r="CC89"/>
      <c r="CD89"/>
      <c r="CE89"/>
      <c r="CF89"/>
      <c r="CG89"/>
      <c r="CH89"/>
      <c r="CI89"/>
    </row>
    <row r="90" spans="2:87" s="36" customFormat="1">
      <c r="B90" s="69"/>
      <c r="C90" t="s">
        <v>539</v>
      </c>
      <c r="D90" s="459">
        <f>0.585*0.9*0.5</f>
        <v>0.26324999999999998</v>
      </c>
      <c r="E90"/>
      <c r="F90" s="72"/>
      <c r="G90" s="70"/>
      <c r="H90" s="70"/>
      <c r="I90" s="70"/>
      <c r="J90" s="70"/>
      <c r="K90" s="70"/>
      <c r="L90" s="70"/>
      <c r="M90" s="70"/>
      <c r="N90" s="54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69"/>
      <c r="AF90" s="366"/>
      <c r="AG90" s="69"/>
      <c r="AH90" s="85"/>
      <c r="AI90" s="71"/>
      <c r="AJ90" s="155"/>
      <c r="AK90" s="69"/>
      <c r="AL90" s="66"/>
      <c r="AM90" s="69"/>
      <c r="AN90" s="69"/>
      <c r="AR90" s="60"/>
      <c r="AS90" s="69"/>
      <c r="AT90" s="69"/>
      <c r="AU90" s="73"/>
      <c r="AV90" s="270">
        <v>1000</v>
      </c>
      <c r="AW90" s="264">
        <v>0.13327634370970631</v>
      </c>
      <c r="AX90" s="264">
        <v>0.13194695335261977</v>
      </c>
      <c r="AY90" s="264">
        <v>4.2042370548058379E-2</v>
      </c>
      <c r="AZ90" s="424">
        <v>4.2465955334031295E-2</v>
      </c>
      <c r="BA90" s="264">
        <v>0.12280602396171264</v>
      </c>
      <c r="BB90" s="264">
        <v>0.13220555614341617</v>
      </c>
      <c r="BC90" s="273">
        <v>4.275840718319731E-2</v>
      </c>
      <c r="BD90"/>
      <c r="BE90" s="66"/>
      <c r="BF90"/>
      <c r="BG90" s="118">
        <v>3.9</v>
      </c>
      <c r="BH90" s="119">
        <v>0.18589800000000001</v>
      </c>
      <c r="BI90" s="120">
        <v>2.1866609E-12</v>
      </c>
      <c r="BJ90" s="274">
        <v>2.0000000000000001E-9</v>
      </c>
      <c r="BK90" s="610">
        <v>3.9227989999999997E-2</v>
      </c>
      <c r="BL90" s="121">
        <v>2.6421833999999999E-3</v>
      </c>
      <c r="BM90" s="121">
        <v>2.0556111999999998E-3</v>
      </c>
      <c r="BN90" s="121">
        <v>0.23373368</v>
      </c>
      <c r="BO90"/>
      <c r="BP90" s="118">
        <v>3.9</v>
      </c>
      <c r="BQ90" s="119">
        <v>0.18589800000000001</v>
      </c>
      <c r="BR90" s="120">
        <v>2.1866609E-12</v>
      </c>
      <c r="BS90" s="488">
        <v>8.0806699053590087E-10</v>
      </c>
      <c r="BT90" s="489">
        <v>3.9227989999999997E-2</v>
      </c>
      <c r="BU90" s="121">
        <v>2.6421833999999999E-3</v>
      </c>
      <c r="BV90" s="121">
        <v>2.0556111999999998E-3</v>
      </c>
      <c r="BW90" s="121">
        <v>0.23373368</v>
      </c>
      <c r="BX90"/>
      <c r="BY90"/>
      <c r="BZ90"/>
      <c r="CA90"/>
      <c r="CB90"/>
      <c r="CC90"/>
      <c r="CD90"/>
      <c r="CE90"/>
      <c r="CF90"/>
      <c r="CG90"/>
      <c r="CH90"/>
      <c r="CI90"/>
    </row>
    <row r="91" spans="2:87" s="36" customFormat="1">
      <c r="B91" s="69"/>
      <c r="C91" t="s">
        <v>538</v>
      </c>
      <c r="D91" s="458">
        <v>3.9E-2</v>
      </c>
      <c r="E91"/>
      <c r="F91" s="72"/>
      <c r="G91" s="70"/>
      <c r="H91" s="70"/>
      <c r="I91" s="70"/>
      <c r="J91" s="70"/>
      <c r="K91" s="70"/>
      <c r="L91" s="70"/>
      <c r="M91" s="70"/>
      <c r="N91" s="54"/>
      <c r="O91" s="73"/>
      <c r="P91" s="461"/>
      <c r="Q91" s="461"/>
      <c r="R91" s="461"/>
      <c r="S91" s="461"/>
      <c r="T91" s="461"/>
      <c r="U91" s="461"/>
      <c r="V91" s="461"/>
      <c r="W91" s="461"/>
      <c r="X91" s="461"/>
      <c r="Y91" s="461"/>
      <c r="Z91" s="461"/>
      <c r="AA91" s="461"/>
      <c r="AB91" s="461"/>
      <c r="AC91" s="461"/>
      <c r="AD91" s="73"/>
      <c r="AE91" s="69"/>
      <c r="AF91" s="50"/>
      <c r="AJ91" s="155"/>
      <c r="AK91" s="69"/>
      <c r="AL91" s="66"/>
      <c r="AM91" s="69"/>
      <c r="AN91" s="69"/>
      <c r="AR91" s="60"/>
      <c r="AS91" s="69"/>
      <c r="AT91" s="69"/>
      <c r="AU91" s="73"/>
      <c r="AV91" s="270">
        <v>1010</v>
      </c>
      <c r="AW91" s="264">
        <v>0.10055818656687217</v>
      </c>
      <c r="AX91" s="264">
        <v>9.9555149720068473E-2</v>
      </c>
      <c r="AY91" s="264">
        <v>3.1240432653671848E-2</v>
      </c>
      <c r="AZ91" s="424">
        <v>3.1555185884919366E-2</v>
      </c>
      <c r="BA91" s="264">
        <v>9.2815662905144855E-2</v>
      </c>
      <c r="BB91" s="264">
        <v>9.9705239299375081E-2</v>
      </c>
      <c r="BC91" s="273">
        <v>3.1827454781953479E-2</v>
      </c>
      <c r="BD91"/>
      <c r="BE91" s="66"/>
      <c r="BF91"/>
      <c r="BG91" s="118">
        <v>4.2</v>
      </c>
      <c r="BH91" s="119">
        <v>0.20019799999999999</v>
      </c>
      <c r="BI91" s="120">
        <v>2.4631614999999998E-12</v>
      </c>
      <c r="BJ91" s="609">
        <v>1.0000000000000001E-9</v>
      </c>
      <c r="BK91" s="610">
        <v>4.1428310000000003E-2</v>
      </c>
      <c r="BL91" s="121">
        <v>2.7836088000000002E-3</v>
      </c>
      <c r="BM91" s="121">
        <v>2.0630590999999999E-3</v>
      </c>
      <c r="BN91" s="121">
        <v>0.23469693</v>
      </c>
      <c r="BO91"/>
      <c r="BP91" s="118">
        <v>4.2</v>
      </c>
      <c r="BQ91" s="119">
        <v>0.20019799999999999</v>
      </c>
      <c r="BR91" s="120">
        <v>2.4631614999999998E-12</v>
      </c>
      <c r="BS91" s="488">
        <v>8.6399967219150139E-10</v>
      </c>
      <c r="BT91" s="489">
        <v>4.1428310000000003E-2</v>
      </c>
      <c r="BU91" s="121">
        <v>2.7836088000000002E-3</v>
      </c>
      <c r="BV91" s="121">
        <v>2.0630590999999999E-3</v>
      </c>
      <c r="BW91" s="121">
        <v>0.23469693</v>
      </c>
      <c r="BX91"/>
      <c r="BY91"/>
      <c r="BZ91"/>
      <c r="CA91"/>
      <c r="CB91"/>
      <c r="CC91"/>
      <c r="CD91"/>
      <c r="CE91"/>
      <c r="CF91"/>
      <c r="CG91"/>
      <c r="CH91"/>
      <c r="CI91"/>
    </row>
    <row r="92" spans="2:87" s="36" customFormat="1">
      <c r="B92" s="69"/>
      <c r="C92" t="s">
        <v>537</v>
      </c>
      <c r="D92" s="457">
        <f>PRODUCT(D89:D91)*D88</f>
        <v>1.7453475E-2</v>
      </c>
      <c r="E92" t="s">
        <v>534</v>
      </c>
      <c r="F92" s="72"/>
      <c r="G92" s="70"/>
      <c r="H92" s="70"/>
      <c r="I92" s="70"/>
      <c r="J92" s="70"/>
      <c r="K92" s="70"/>
      <c r="L92" s="70"/>
      <c r="M92" s="70"/>
      <c r="N92" s="54"/>
      <c r="O92" s="73"/>
      <c r="P92" s="461"/>
      <c r="Q92" s="461"/>
      <c r="R92" s="461"/>
      <c r="S92" s="461"/>
      <c r="T92" s="461"/>
      <c r="U92" s="461"/>
      <c r="V92" s="461"/>
      <c r="W92" s="461"/>
      <c r="X92" s="461"/>
      <c r="Y92" s="461"/>
      <c r="Z92" s="461"/>
      <c r="AA92" s="461"/>
      <c r="AB92" s="461"/>
      <c r="AC92" s="461"/>
      <c r="AD92" s="73"/>
      <c r="AE92" s="69"/>
      <c r="AF92" s="366" t="s">
        <v>76</v>
      </c>
      <c r="AG92" s="50"/>
      <c r="AH92" s="79"/>
      <c r="AI92" s="71"/>
      <c r="AJ92" s="155"/>
      <c r="AK92" s="69"/>
      <c r="AL92" s="66"/>
      <c r="AM92" s="69"/>
      <c r="AN92" s="69"/>
      <c r="AR92" s="60"/>
      <c r="AS92" s="69"/>
      <c r="AT92" s="69"/>
      <c r="AU92" s="73"/>
      <c r="AV92" s="270">
        <v>1020</v>
      </c>
      <c r="AW92" s="264">
        <v>7.2683823320237012E-2</v>
      </c>
      <c r="AX92" s="264">
        <v>7.1958824635935115E-2</v>
      </c>
      <c r="AY92" s="264">
        <v>2.2295072983894704E-2</v>
      </c>
      <c r="AZ92" s="424">
        <v>2.2519700035010637E-2</v>
      </c>
      <c r="BA92" s="264">
        <v>6.7183007710251125E-2</v>
      </c>
      <c r="BB92" s="264">
        <v>7.203934689254804E-2</v>
      </c>
      <c r="BC92" s="273">
        <v>2.2747588062323961E-2</v>
      </c>
      <c r="BD92"/>
      <c r="BE92" s="66"/>
      <c r="BF92"/>
      <c r="BG92" s="118">
        <v>4.5</v>
      </c>
      <c r="BH92" s="119">
        <v>0.21449799999999999</v>
      </c>
      <c r="BI92" s="120">
        <v>2.1464797000000002E-12</v>
      </c>
      <c r="BJ92" s="609">
        <v>1.0000000000000001E-9</v>
      </c>
      <c r="BK92" s="610">
        <v>4.3444313999999998E-2</v>
      </c>
      <c r="BL92" s="121">
        <v>2.9106054999999999E-3</v>
      </c>
      <c r="BM92" s="121">
        <v>2.0779548000000002E-3</v>
      </c>
      <c r="BN92" s="121">
        <v>0.23323099</v>
      </c>
      <c r="BO92"/>
      <c r="BP92" s="118">
        <v>4.5</v>
      </c>
      <c r="BQ92" s="119">
        <v>0.21449799999999999</v>
      </c>
      <c r="BR92" s="120">
        <v>2.1464797000000002E-12</v>
      </c>
      <c r="BS92" s="488">
        <v>7.200660473404626E-10</v>
      </c>
      <c r="BT92" s="489">
        <v>4.3444313999999998E-2</v>
      </c>
      <c r="BU92" s="121">
        <v>2.9106054999999999E-3</v>
      </c>
      <c r="BV92" s="121">
        <v>2.0779548000000002E-3</v>
      </c>
      <c r="BW92" s="121">
        <v>0.23323099</v>
      </c>
      <c r="BX92"/>
      <c r="BY92"/>
      <c r="BZ92"/>
      <c r="CA92"/>
      <c r="CB92"/>
      <c r="CC92"/>
      <c r="CD92"/>
      <c r="CE92"/>
      <c r="CF92"/>
      <c r="CG92"/>
      <c r="CH92"/>
      <c r="CI92"/>
    </row>
    <row r="93" spans="2:87" s="36" customFormat="1">
      <c r="B93" s="69"/>
      <c r="C93" t="s">
        <v>536</v>
      </c>
      <c r="D93" s="456">
        <f>D92/5</f>
        <v>3.4906949999999998E-3</v>
      </c>
      <c r="E93" t="s">
        <v>534</v>
      </c>
      <c r="F93" s="72"/>
      <c r="G93" s="70"/>
      <c r="H93" s="70"/>
      <c r="I93" s="70"/>
      <c r="J93" s="70"/>
      <c r="K93" s="70"/>
      <c r="L93" s="70"/>
      <c r="M93" s="70"/>
      <c r="N93" s="54"/>
      <c r="O93" s="73"/>
      <c r="P93" s="461"/>
      <c r="Q93" s="461"/>
      <c r="R93" s="461"/>
      <c r="S93" s="461"/>
      <c r="T93" s="461"/>
      <c r="U93" s="461"/>
      <c r="V93" s="461"/>
      <c r="W93" s="461"/>
      <c r="X93" s="461"/>
      <c r="Y93" s="461"/>
      <c r="Z93" s="461"/>
      <c r="AA93" s="461"/>
      <c r="AB93" s="461"/>
      <c r="AC93" s="461"/>
      <c r="AD93" s="73"/>
      <c r="AE93" s="69"/>
      <c r="AF93" s="366"/>
      <c r="AG93" s="80" t="s">
        <v>50</v>
      </c>
      <c r="AH93" s="81" t="s">
        <v>49</v>
      </c>
      <c r="AI93" s="71" t="s">
        <v>48</v>
      </c>
      <c r="AJ93" s="54" t="s">
        <v>47</v>
      </c>
      <c r="AK93" s="69"/>
      <c r="AL93" s="66"/>
      <c r="AM93" s="69"/>
      <c r="AN93" s="69"/>
      <c r="AR93" s="60"/>
      <c r="AS93" s="69"/>
      <c r="AT93" s="69"/>
      <c r="AU93" s="73"/>
      <c r="AV93" s="270">
        <v>1030</v>
      </c>
      <c r="AW93" s="264">
        <v>4.9984069155819454E-2</v>
      </c>
      <c r="AX93" s="264">
        <v>4.9485493506952416E-2</v>
      </c>
      <c r="AY93" s="264">
        <v>1.5176658594209465E-2</v>
      </c>
      <c r="AZ93" s="424">
        <v>1.5329566282301501E-2</v>
      </c>
      <c r="BA93" s="264">
        <v>4.6252293040768978E-2</v>
      </c>
      <c r="BB93" s="264">
        <v>4.9525528210196665E-2</v>
      </c>
      <c r="BC93" s="273">
        <v>1.5503450145367241E-2</v>
      </c>
      <c r="BD93"/>
      <c r="BE93" s="66"/>
      <c r="BF93"/>
      <c r="BG93" s="118">
        <v>4.8</v>
      </c>
      <c r="BH93" s="119">
        <v>0.228798</v>
      </c>
      <c r="BI93" s="120">
        <v>1.7036882E-12</v>
      </c>
      <c r="BJ93" s="609">
        <v>1.0000000000000001E-9</v>
      </c>
      <c r="BK93" s="610">
        <v>4.4862876000000003E-2</v>
      </c>
      <c r="BL93" s="121">
        <v>3.0266531999999999E-3</v>
      </c>
      <c r="BM93" s="121">
        <v>2.0556111999999998E-3</v>
      </c>
      <c r="BN93" s="121">
        <v>0.23128235999999999</v>
      </c>
      <c r="BO93"/>
      <c r="BP93" s="118">
        <v>4.8</v>
      </c>
      <c r="BQ93" s="119">
        <v>0.228798</v>
      </c>
      <c r="BR93" s="120">
        <v>1.7036882E-12</v>
      </c>
      <c r="BS93" s="488">
        <v>5.4961215821204842E-10</v>
      </c>
      <c r="BT93" s="489">
        <v>4.4862876000000003E-2</v>
      </c>
      <c r="BU93" s="121">
        <v>3.0266531999999999E-3</v>
      </c>
      <c r="BV93" s="121">
        <v>2.0556111999999998E-3</v>
      </c>
      <c r="BW93" s="121">
        <v>0.23128235999999999</v>
      </c>
      <c r="BX93"/>
      <c r="BY93"/>
      <c r="BZ93"/>
      <c r="CA93"/>
      <c r="CB93"/>
      <c r="CC93"/>
      <c r="CD93"/>
      <c r="CE93"/>
      <c r="CF93"/>
      <c r="CG93"/>
      <c r="CH93"/>
      <c r="CI93"/>
    </row>
    <row r="94" spans="2:87" s="36" customFormat="1">
      <c r="B94" s="69"/>
      <c r="C94" t="s">
        <v>535</v>
      </c>
      <c r="D94" s="455">
        <f>D92/9/16</f>
        <v>1.2120468749999999E-4</v>
      </c>
      <c r="E94" t="s">
        <v>534</v>
      </c>
      <c r="F94" s="72"/>
      <c r="G94" s="70"/>
      <c r="H94" s="70"/>
      <c r="I94" s="70"/>
      <c r="J94" s="70"/>
      <c r="K94" s="70"/>
      <c r="L94" s="70"/>
      <c r="M94" s="70"/>
      <c r="N94" s="54"/>
      <c r="O94" s="73"/>
      <c r="P94" s="461"/>
      <c r="Q94" s="461"/>
      <c r="R94" s="461"/>
      <c r="S94" s="461"/>
      <c r="T94" s="461"/>
      <c r="U94" s="461"/>
      <c r="V94" s="461"/>
      <c r="W94" s="461"/>
      <c r="X94" s="461"/>
      <c r="Y94" s="461"/>
      <c r="Z94" s="461"/>
      <c r="AA94" s="461"/>
      <c r="AB94" s="461"/>
      <c r="AC94" s="461"/>
      <c r="AD94" s="73"/>
      <c r="AE94" s="69"/>
      <c r="AF94" s="366"/>
      <c r="AG94" s="80" t="s">
        <v>69</v>
      </c>
      <c r="AH94" s="80">
        <v>2.37</v>
      </c>
      <c r="AI94" s="71" t="s">
        <v>21</v>
      </c>
      <c r="AJ94" s="54" t="s">
        <v>68</v>
      </c>
      <c r="AK94" s="69"/>
      <c r="AL94" s="66"/>
      <c r="AM94" s="69"/>
      <c r="AN94" s="69"/>
      <c r="AR94" s="60"/>
      <c r="AS94" s="69"/>
      <c r="AT94" s="69"/>
      <c r="AU94" s="73"/>
      <c r="AV94" s="270">
        <v>1040</v>
      </c>
      <c r="AW94" s="264">
        <v>3.2552494188295533E-2</v>
      </c>
      <c r="AX94" s="264">
        <v>3.221340570716745E-2</v>
      </c>
      <c r="AY94" s="264">
        <v>9.8033172311239036E-3</v>
      </c>
      <c r="AZ94" s="424">
        <v>9.9065100440831038E-3</v>
      </c>
      <c r="BA94" s="264">
        <v>3.0132490137142739E-2</v>
      </c>
      <c r="BB94" s="264">
        <v>3.2246429324666703E-2</v>
      </c>
      <c r="BC94" s="273">
        <v>1.0028503842749987E-2</v>
      </c>
      <c r="BD94"/>
      <c r="BE94" s="66"/>
      <c r="BF94"/>
      <c r="BG94" s="118">
        <v>5.0999999999999996</v>
      </c>
      <c r="BH94" s="119">
        <v>0.24309800000000001</v>
      </c>
      <c r="BI94" s="120">
        <v>1.6154852999999999E-12</v>
      </c>
      <c r="BJ94" s="609">
        <v>1.0000000000000001E-9</v>
      </c>
      <c r="BK94" s="610">
        <v>4.5615004000000001E-2</v>
      </c>
      <c r="BL94" s="121">
        <v>3.0826342E-3</v>
      </c>
      <c r="BM94" s="121">
        <v>2.0481634000000001E-3</v>
      </c>
      <c r="BN94" s="121">
        <v>0.23103845000000001</v>
      </c>
      <c r="BO94"/>
      <c r="BP94" s="118">
        <v>5.0999999999999996</v>
      </c>
      <c r="BQ94" s="119">
        <v>0.24309800000000001</v>
      </c>
      <c r="BR94" s="120">
        <v>1.6154852999999999E-12</v>
      </c>
      <c r="BS94" s="488">
        <v>5.116935270756316E-10</v>
      </c>
      <c r="BT94" s="489">
        <v>4.5615004000000001E-2</v>
      </c>
      <c r="BU94" s="121">
        <v>3.0826342E-3</v>
      </c>
      <c r="BV94" s="121">
        <v>2.0481634000000001E-3</v>
      </c>
      <c r="BW94" s="121">
        <v>0.23103845000000001</v>
      </c>
      <c r="BX94"/>
      <c r="BY94"/>
      <c r="BZ94"/>
      <c r="CA94"/>
      <c r="CB94"/>
      <c r="CC94"/>
      <c r="CD94"/>
      <c r="CE94"/>
      <c r="CF94"/>
      <c r="CG94"/>
      <c r="CH94"/>
      <c r="CI94"/>
    </row>
    <row r="95" spans="2:87" s="36" customFormat="1">
      <c r="B95" s="69"/>
      <c r="C95" s="69"/>
      <c r="D95" s="72"/>
      <c r="E95" s="69"/>
      <c r="F95" s="72"/>
      <c r="G95" s="70"/>
      <c r="H95" s="70"/>
      <c r="I95" s="70"/>
      <c r="J95" s="70"/>
      <c r="K95" s="70"/>
      <c r="L95" s="70"/>
      <c r="M95" s="70"/>
      <c r="N95" s="54"/>
      <c r="O95" s="73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73"/>
      <c r="AE95" s="69"/>
      <c r="AF95" s="366"/>
      <c r="AG95" s="80" t="s">
        <v>66</v>
      </c>
      <c r="AH95" s="82">
        <v>0.32</v>
      </c>
      <c r="AI95" s="71" t="s">
        <v>65</v>
      </c>
      <c r="AJ95" s="54" t="s">
        <v>64</v>
      </c>
      <c r="AK95" s="69"/>
      <c r="AL95" s="66"/>
      <c r="AM95" s="69"/>
      <c r="AN95" s="69"/>
      <c r="AR95" s="60"/>
      <c r="AS95" s="69"/>
      <c r="AT95" s="69"/>
      <c r="AU95" s="73"/>
      <c r="AV95" s="270">
        <v>1050</v>
      </c>
      <c r="AW95" s="264">
        <v>1.9294818564419228E-2</v>
      </c>
      <c r="AX95" s="264">
        <v>1.9093830871039861E-2</v>
      </c>
      <c r="AY95" s="264">
        <v>5.776889325343741E-3</v>
      </c>
      <c r="AZ95" s="424">
        <v>5.8376986866631496E-3</v>
      </c>
      <c r="BA95" s="264">
        <v>1.7869695070177091E-2</v>
      </c>
      <c r="BB95" s="264">
        <v>1.9110326624403439E-2</v>
      </c>
      <c r="BC95" s="273">
        <v>5.9140253583352589E-3</v>
      </c>
      <c r="BD95"/>
      <c r="BE95" s="66"/>
      <c r="BF95"/>
      <c r="BG95" s="118">
        <v>5.4</v>
      </c>
      <c r="BH95" s="119">
        <v>0.25739800000000002</v>
      </c>
      <c r="BI95" s="120">
        <v>1.9128573E-12</v>
      </c>
      <c r="BJ95" s="609">
        <v>1.0000000000000001E-9</v>
      </c>
      <c r="BK95" s="610">
        <v>4.5700699999999997E-2</v>
      </c>
      <c r="BL95" s="121">
        <v>3.0785483000000001E-3</v>
      </c>
      <c r="BM95" s="121">
        <v>2.0556111999999998E-3</v>
      </c>
      <c r="BN95" s="121">
        <v>0.23285935999999999</v>
      </c>
      <c r="BO95"/>
      <c r="BP95" s="118">
        <v>5.4</v>
      </c>
      <c r="BQ95" s="119">
        <v>0.25739800000000002</v>
      </c>
      <c r="BR95" s="120">
        <v>1.9128573E-12</v>
      </c>
      <c r="BS95" s="488">
        <v>6.0668812911288348E-10</v>
      </c>
      <c r="BT95" s="489">
        <v>4.5700699999999997E-2</v>
      </c>
      <c r="BU95" s="121">
        <v>3.0785483000000001E-3</v>
      </c>
      <c r="BV95" s="121">
        <v>2.0556111999999998E-3</v>
      </c>
      <c r="BW95" s="121">
        <v>0.23285935999999999</v>
      </c>
      <c r="BX95"/>
      <c r="BY95"/>
      <c r="BZ95"/>
      <c r="CA95"/>
      <c r="CB95"/>
      <c r="CC95"/>
      <c r="CD95"/>
      <c r="CE95"/>
      <c r="CF95"/>
      <c r="CG95"/>
      <c r="CH95"/>
      <c r="CI95"/>
    </row>
    <row r="96" spans="2:87" s="36" customFormat="1">
      <c r="B96" s="69"/>
      <c r="C96" s="69"/>
      <c r="D96" s="72"/>
      <c r="E96" s="69"/>
      <c r="F96" s="72"/>
      <c r="G96" s="70"/>
      <c r="H96" s="70"/>
      <c r="I96" s="70"/>
      <c r="J96" s="70"/>
      <c r="K96" s="70"/>
      <c r="L96" s="70"/>
      <c r="M96" s="70"/>
      <c r="N96" s="54"/>
      <c r="O96" s="73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73"/>
      <c r="AE96" s="69"/>
      <c r="AF96" s="366"/>
      <c r="AG96" s="80" t="s">
        <v>62</v>
      </c>
      <c r="AH96" s="83">
        <f>AH18/AH94</f>
        <v>2.3839662447257382E-7</v>
      </c>
      <c r="AI96" s="71" t="s">
        <v>61</v>
      </c>
      <c r="AJ96" s="54" t="s">
        <v>60</v>
      </c>
      <c r="AK96" s="69"/>
      <c r="AL96" s="66"/>
      <c r="AM96" s="69"/>
      <c r="AN96" s="69"/>
      <c r="AR96" s="60"/>
      <c r="AS96" s="69"/>
      <c r="AT96" s="69"/>
      <c r="AU96" s="73"/>
      <c r="AV96" s="270">
        <v>1060</v>
      </c>
      <c r="AW96" s="264">
        <v>1.0031598338514015E-2</v>
      </c>
      <c r="AX96" s="264">
        <v>9.9271025224878257E-3</v>
      </c>
      <c r="AY96" s="264">
        <v>2.9912861913663222E-3</v>
      </c>
      <c r="AZ96" s="424">
        <v>3.0227734144333365E-3</v>
      </c>
      <c r="BA96" s="264">
        <v>9.2935440205274677E-3</v>
      </c>
      <c r="BB96" s="264">
        <v>9.9346023062775665E-3</v>
      </c>
      <c r="BC96" s="273">
        <v>3.0641233829380794E-3</v>
      </c>
      <c r="BD96"/>
      <c r="BE96" s="66"/>
      <c r="BF96"/>
      <c r="BG96" s="118">
        <v>5.7</v>
      </c>
      <c r="BH96" s="119">
        <v>0.271698</v>
      </c>
      <c r="BI96" s="120">
        <v>2.2035513000000002E-12</v>
      </c>
      <c r="BJ96" s="609">
        <v>1.0000000000000001E-9</v>
      </c>
      <c r="BK96" s="610">
        <v>4.5761848000000001E-2</v>
      </c>
      <c r="BL96" s="121">
        <v>3.0827988000000001E-3</v>
      </c>
      <c r="BM96" s="121">
        <v>2.0556111999999998E-3</v>
      </c>
      <c r="BN96" s="121">
        <v>0.23450229</v>
      </c>
      <c r="BO96"/>
      <c r="BP96" s="118">
        <v>5.7</v>
      </c>
      <c r="BQ96" s="119">
        <v>0.271698</v>
      </c>
      <c r="BR96" s="120">
        <v>2.2035513000000002E-12</v>
      </c>
      <c r="BS96" s="488">
        <v>6.9792198989059366E-10</v>
      </c>
      <c r="BT96" s="489">
        <v>4.5761848000000001E-2</v>
      </c>
      <c r="BU96" s="121">
        <v>3.0827988000000001E-3</v>
      </c>
      <c r="BV96" s="121">
        <v>2.0556111999999998E-3</v>
      </c>
      <c r="BW96" s="121">
        <v>0.23450229</v>
      </c>
      <c r="BX96"/>
      <c r="BY96"/>
      <c r="BZ96"/>
      <c r="CA96"/>
      <c r="CB96"/>
      <c r="CC96"/>
      <c r="CD96"/>
      <c r="CE96"/>
      <c r="CF96"/>
      <c r="CG96"/>
      <c r="CH96"/>
      <c r="CI96"/>
    </row>
    <row r="97" spans="1:87" s="36" customFormat="1">
      <c r="B97" s="69"/>
      <c r="C97" s="69"/>
      <c r="D97" s="72"/>
      <c r="E97" s="69"/>
      <c r="F97" s="72"/>
      <c r="G97" s="70"/>
      <c r="H97" s="70"/>
      <c r="I97" s="70"/>
      <c r="J97" s="70"/>
      <c r="K97" s="70"/>
      <c r="L97" s="70"/>
      <c r="M97" s="70"/>
      <c r="N97" s="54"/>
      <c r="O97" s="73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73"/>
      <c r="AE97" s="69"/>
      <c r="AF97" s="366"/>
      <c r="AG97" s="80" t="s">
        <v>59</v>
      </c>
      <c r="AH97" s="84">
        <f>((PI()/4)*AH94^2)</f>
        <v>4.4115029439871272</v>
      </c>
      <c r="AI97" s="71" t="s">
        <v>58</v>
      </c>
      <c r="AJ97" s="54" t="s">
        <v>422</v>
      </c>
      <c r="AK97" s="69"/>
      <c r="AL97" s="66"/>
      <c r="AM97" s="69"/>
      <c r="AN97" s="69"/>
      <c r="AR97" s="60"/>
      <c r="AS97" s="69"/>
      <c r="AT97" s="69"/>
      <c r="AU97" s="73"/>
      <c r="AV97" s="270">
        <v>1070</v>
      </c>
      <c r="AW97" s="264">
        <v>4.7530166602745162E-3</v>
      </c>
      <c r="AX97" s="264">
        <v>4.7035060700633229E-3</v>
      </c>
      <c r="AY97" s="264">
        <v>1.4140083536167099E-3</v>
      </c>
      <c r="AZ97" s="424">
        <v>1.4288926520758334E-3</v>
      </c>
      <c r="BA97" s="264">
        <v>4.4037009028545229E-3</v>
      </c>
      <c r="BB97" s="264">
        <v>4.7068576060243792E-3</v>
      </c>
      <c r="BC97" s="273">
        <v>1.4490581513523556E-3</v>
      </c>
      <c r="BD97"/>
      <c r="BE97" s="66"/>
      <c r="BF97"/>
      <c r="BG97" s="118">
        <v>6</v>
      </c>
      <c r="BH97" s="119">
        <v>0.285997</v>
      </c>
      <c r="BI97" s="120">
        <v>2.4651674999999999E-12</v>
      </c>
      <c r="BJ97" s="609">
        <v>1.0000000000000001E-9</v>
      </c>
      <c r="BK97" s="610">
        <v>4.5584486E-2</v>
      </c>
      <c r="BL97" s="121">
        <v>3.0725844999999999E-3</v>
      </c>
      <c r="BM97" s="121">
        <v>2.0556111999999998E-3</v>
      </c>
      <c r="BN97" s="121">
        <v>0.23428544000000001</v>
      </c>
      <c r="BO97"/>
      <c r="BP97" s="118">
        <v>6</v>
      </c>
      <c r="BQ97" s="119">
        <v>0.285997</v>
      </c>
      <c r="BR97" s="120">
        <v>2.4651674999999999E-12</v>
      </c>
      <c r="BS97" s="488">
        <v>7.8337821329585392E-10</v>
      </c>
      <c r="BT97" s="489">
        <v>4.5584486E-2</v>
      </c>
      <c r="BU97" s="121">
        <v>3.0725844999999999E-3</v>
      </c>
      <c r="BV97" s="121">
        <v>2.0556111999999998E-3</v>
      </c>
      <c r="BW97" s="121">
        <v>0.23428544000000001</v>
      </c>
      <c r="BX97"/>
      <c r="BY97"/>
      <c r="BZ97"/>
      <c r="CA97"/>
      <c r="CB97"/>
      <c r="CC97"/>
      <c r="CD97"/>
      <c r="CE97"/>
      <c r="CF97"/>
      <c r="CG97"/>
      <c r="CH97"/>
      <c r="CI97"/>
    </row>
    <row r="98" spans="1:87" s="36" customFormat="1">
      <c r="B98" s="69"/>
      <c r="C98" s="69"/>
      <c r="D98" s="72"/>
      <c r="E98" s="69"/>
      <c r="F98" s="72"/>
      <c r="G98" s="70"/>
      <c r="H98" s="70"/>
      <c r="I98" s="70"/>
      <c r="J98" s="70"/>
      <c r="K98" s="70"/>
      <c r="L98" s="70"/>
      <c r="M98" s="70"/>
      <c r="N98" s="54"/>
      <c r="O98" s="73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73"/>
      <c r="AE98" s="69"/>
      <c r="AF98" s="366"/>
      <c r="AG98" s="69"/>
      <c r="AH98" s="69"/>
      <c r="AI98" s="71"/>
      <c r="AJ98" s="155"/>
      <c r="AK98" s="69"/>
      <c r="AL98" s="66"/>
      <c r="AM98" s="69"/>
      <c r="AN98" s="69"/>
      <c r="AR98" s="60"/>
      <c r="AS98" s="69"/>
      <c r="AT98" s="69"/>
      <c r="AU98" s="73"/>
      <c r="AV98" s="270">
        <v>1080</v>
      </c>
      <c r="AW98" s="264">
        <v>2.1283359968486534E-3</v>
      </c>
      <c r="AX98" s="264">
        <v>2.1061658302148132E-3</v>
      </c>
      <c r="AY98" s="264">
        <v>6.3244426069142008E-4</v>
      </c>
      <c r="AZ98" s="424">
        <v>6.3910156869869815E-4</v>
      </c>
      <c r="BA98" s="264">
        <v>1.9717557952172687E-3</v>
      </c>
      <c r="BB98" s="264">
        <v>2.1076681732903925E-3</v>
      </c>
      <c r="BC98" s="273">
        <v>6.4831541439097997E-4</v>
      </c>
      <c r="BD98"/>
      <c r="BE98" s="66"/>
      <c r="BF98"/>
      <c r="BG98" s="118">
        <v>6.3</v>
      </c>
      <c r="BH98" s="119">
        <v>0.30029699999999998</v>
      </c>
      <c r="BI98" s="120">
        <v>2.7023055999999999E-12</v>
      </c>
      <c r="BJ98" s="609">
        <v>1.0000000000000001E-9</v>
      </c>
      <c r="BK98" s="610">
        <v>4.5468995999999998E-2</v>
      </c>
      <c r="BL98" s="121">
        <v>3.0682315E-3</v>
      </c>
      <c r="BM98" s="121">
        <v>2.0528183000000002E-3</v>
      </c>
      <c r="BN98" s="121">
        <v>0.23311818000000001</v>
      </c>
      <c r="BO98"/>
      <c r="BP98" s="118">
        <v>6.3</v>
      </c>
      <c r="BQ98" s="119">
        <v>0.30029699999999998</v>
      </c>
      <c r="BR98" s="120">
        <v>2.7023055999999999E-12</v>
      </c>
      <c r="BS98" s="488">
        <v>8.5995400691097443E-10</v>
      </c>
      <c r="BT98" s="489">
        <v>4.5468995999999998E-2</v>
      </c>
      <c r="BU98" s="121">
        <v>3.0682315E-3</v>
      </c>
      <c r="BV98" s="121">
        <v>2.0528183000000002E-3</v>
      </c>
      <c r="BW98" s="121">
        <v>0.23311818000000001</v>
      </c>
      <c r="BX98"/>
      <c r="BY98"/>
      <c r="BZ98"/>
      <c r="CA98"/>
      <c r="CB98"/>
      <c r="CC98"/>
      <c r="CD98"/>
      <c r="CE98"/>
      <c r="CF98"/>
      <c r="CG98"/>
      <c r="CH98"/>
      <c r="CI98"/>
    </row>
    <row r="99" spans="1:87" s="36" customFormat="1">
      <c r="B99" s="69"/>
      <c r="C99" s="69"/>
      <c r="D99" s="72"/>
      <c r="E99" s="69"/>
      <c r="F99" s="72"/>
      <c r="G99" s="70"/>
      <c r="H99" s="70"/>
      <c r="I99" s="70"/>
      <c r="J99" s="70"/>
      <c r="K99" s="70"/>
      <c r="L99" s="70"/>
      <c r="M99" s="70"/>
      <c r="N99" s="54"/>
      <c r="O99" s="73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73"/>
      <c r="AE99" s="69"/>
      <c r="AF99" s="50"/>
      <c r="AJ99" s="155"/>
      <c r="AK99" s="69"/>
      <c r="AL99" s="66"/>
      <c r="AM99" s="69"/>
      <c r="AN99" s="69"/>
      <c r="AR99" s="60"/>
      <c r="AS99" s="69"/>
      <c r="AT99" s="69"/>
      <c r="AU99" s="73"/>
      <c r="AV99" s="270">
        <v>1090</v>
      </c>
      <c r="AW99" s="264">
        <v>6.0222660159116293E-4</v>
      </c>
      <c r="AX99" s="264">
        <v>5.9595340782458831E-4</v>
      </c>
      <c r="AY99" s="264">
        <v>1.7883378985109001E-4</v>
      </c>
      <c r="AZ99" s="424">
        <v>1.8071625079689094E-4</v>
      </c>
      <c r="BA99" s="264">
        <v>5.5785325127586955E-4</v>
      </c>
      <c r="BB99" s="264">
        <v>5.9638494793707491E-4</v>
      </c>
      <c r="BC99" s="273">
        <v>1.833718804986255E-4</v>
      </c>
      <c r="BD99"/>
      <c r="BE99" s="66"/>
      <c r="BF99"/>
      <c r="BG99" s="118">
        <v>6.6</v>
      </c>
      <c r="BH99" s="119">
        <v>0.31459700000000002</v>
      </c>
      <c r="BI99" s="120">
        <v>2.7617551000000001E-12</v>
      </c>
      <c r="BJ99" s="609">
        <v>1.0000000000000001E-9</v>
      </c>
      <c r="BK99" s="610">
        <v>4.5315246000000003E-2</v>
      </c>
      <c r="BL99" s="121">
        <v>3.0629644000000002E-3</v>
      </c>
      <c r="BM99" s="121">
        <v>2.0481634000000001E-3</v>
      </c>
      <c r="BN99" s="121">
        <v>0.23314329</v>
      </c>
      <c r="BO99"/>
      <c r="BP99" s="118">
        <v>6.6</v>
      </c>
      <c r="BQ99" s="119">
        <v>0.31459700000000002</v>
      </c>
      <c r="BR99" s="120">
        <v>2.7617551000000001E-12</v>
      </c>
      <c r="BS99" s="488">
        <v>8.8038395067111307E-10</v>
      </c>
      <c r="BT99" s="489">
        <v>4.5315246000000003E-2</v>
      </c>
      <c r="BU99" s="121">
        <v>3.0629644000000002E-3</v>
      </c>
      <c r="BV99" s="121">
        <v>2.0481634000000001E-3</v>
      </c>
      <c r="BW99" s="121">
        <v>0.23314329</v>
      </c>
      <c r="BX99"/>
      <c r="BY99"/>
      <c r="BZ99"/>
      <c r="CA99"/>
      <c r="CB99"/>
      <c r="CC99"/>
      <c r="CD99"/>
      <c r="CE99"/>
      <c r="CF99"/>
      <c r="CG99"/>
      <c r="CH99"/>
      <c r="CI99"/>
    </row>
    <row r="100" spans="1:87" s="36" customFormat="1">
      <c r="B100" s="69"/>
      <c r="C100" s="69"/>
      <c r="D100" s="72"/>
      <c r="E100" s="69"/>
      <c r="F100" s="72"/>
      <c r="G100" s="70"/>
      <c r="H100" s="70"/>
      <c r="I100" s="70"/>
      <c r="J100" s="70"/>
      <c r="K100" s="70"/>
      <c r="L100" s="70"/>
      <c r="M100" s="70"/>
      <c r="N100" s="54"/>
      <c r="O100" s="73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73"/>
      <c r="AE100" s="69"/>
      <c r="AF100" s="50"/>
      <c r="AG100" s="59" t="s">
        <v>12</v>
      </c>
      <c r="AH100" s="3"/>
      <c r="AI100" s="34"/>
      <c r="AJ100" s="34"/>
      <c r="AK100" s="69"/>
      <c r="AL100" s="66"/>
      <c r="AM100" s="69"/>
      <c r="AN100" s="69"/>
      <c r="AR100" s="60"/>
      <c r="AS100" s="69"/>
      <c r="AT100" s="69"/>
      <c r="AU100" s="73"/>
      <c r="AV100" s="270">
        <v>1100</v>
      </c>
      <c r="AW100" s="264">
        <v>5.0534528732088339E-5</v>
      </c>
      <c r="AX100" s="264">
        <v>5.0008127391129085E-5</v>
      </c>
      <c r="AY100" s="264">
        <v>1.5002775957711261E-5</v>
      </c>
      <c r="AZ100" s="424">
        <v>1.5160699915160852E-5</v>
      </c>
      <c r="BA100" s="264">
        <v>4.6803826546344754E-5</v>
      </c>
      <c r="BB100" s="264">
        <v>5.0045295755196544E-5</v>
      </c>
      <c r="BC100" s="273">
        <v>1.5387377108887872E-5</v>
      </c>
      <c r="BD100"/>
      <c r="BE100" s="66"/>
      <c r="BF100"/>
      <c r="BG100" s="118">
        <v>6.9</v>
      </c>
      <c r="BH100" s="119">
        <v>0.32889699999999999</v>
      </c>
      <c r="BI100" s="120">
        <v>2.5268985E-12</v>
      </c>
      <c r="BJ100" s="609">
        <v>1.0000000000000001E-9</v>
      </c>
      <c r="BK100" s="610">
        <v>4.5123242000000001E-2</v>
      </c>
      <c r="BL100" s="121">
        <v>3.0567832000000001E-3</v>
      </c>
      <c r="BM100" s="121">
        <v>2.0416465E-3</v>
      </c>
      <c r="BN100" s="121">
        <v>0.23396890000000001</v>
      </c>
      <c r="BO100"/>
      <c r="BP100" s="118">
        <v>6.9</v>
      </c>
      <c r="BQ100" s="119">
        <v>0.32889699999999999</v>
      </c>
      <c r="BR100" s="120">
        <v>2.5268985E-12</v>
      </c>
      <c r="BS100" s="488">
        <v>8.0714593050548492E-10</v>
      </c>
      <c r="BT100" s="489">
        <v>4.5123242000000001E-2</v>
      </c>
      <c r="BU100" s="121">
        <v>3.0567832000000001E-3</v>
      </c>
      <c r="BV100" s="121">
        <v>2.0416465E-3</v>
      </c>
      <c r="BW100" s="121">
        <v>0.23396890000000001</v>
      </c>
      <c r="BX100"/>
      <c r="BY100"/>
      <c r="BZ100"/>
      <c r="CA100"/>
      <c r="CB100"/>
      <c r="CC100"/>
      <c r="CD100"/>
      <c r="CE100"/>
      <c r="CF100"/>
      <c r="CG100"/>
      <c r="CH100"/>
      <c r="CI100"/>
    </row>
    <row r="101" spans="1:87" s="36" customFormat="1">
      <c r="B101" s="69"/>
      <c r="C101" s="69"/>
      <c r="D101" s="72"/>
      <c r="E101" s="69"/>
      <c r="F101" s="72"/>
      <c r="G101" s="70"/>
      <c r="H101" s="70"/>
      <c r="I101" s="70"/>
      <c r="J101" s="70"/>
      <c r="K101" s="70"/>
      <c r="L101" s="70"/>
      <c r="M101" s="70"/>
      <c r="N101" s="54"/>
      <c r="O101" s="73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460">
        <f ca="1">t_pl/AH77</f>
        <v>1.2011128026102259E-2</v>
      </c>
      <c r="AB101" s="69"/>
      <c r="AC101" s="69"/>
      <c r="AD101" s="73"/>
      <c r="AE101" s="69"/>
      <c r="AF101" s="50"/>
      <c r="AG101" s="101" t="s">
        <v>10</v>
      </c>
      <c r="AH101" s="1">
        <v>6.6260700000000002E-34</v>
      </c>
      <c r="AI101" s="103" t="s">
        <v>9</v>
      </c>
      <c r="AJ101" s="1" t="s">
        <v>8</v>
      </c>
      <c r="AK101" s="69"/>
      <c r="AL101" s="66"/>
      <c r="AM101" s="69"/>
      <c r="AN101" s="69"/>
      <c r="AR101" s="60"/>
      <c r="AS101" s="69"/>
      <c r="AT101" s="69"/>
      <c r="AU101" s="73"/>
      <c r="BD101"/>
      <c r="BE101" s="66"/>
      <c r="BF101"/>
      <c r="BG101" s="118">
        <v>7.2</v>
      </c>
      <c r="BH101" s="119">
        <v>0.34319699999999997</v>
      </c>
      <c r="BI101" s="120">
        <v>2.4194534000000001E-12</v>
      </c>
      <c r="BJ101" s="609">
        <v>1.0000000000000001E-9</v>
      </c>
      <c r="BK101" s="610">
        <v>4.4892979999999999E-2</v>
      </c>
      <c r="BL101" s="121">
        <v>3.0496879E-3</v>
      </c>
      <c r="BM101" s="121">
        <v>2.0332675999999998E-3</v>
      </c>
      <c r="BN101" s="121">
        <v>0.23446711000000001</v>
      </c>
      <c r="BO101"/>
      <c r="BP101" s="118">
        <v>7.2</v>
      </c>
      <c r="BQ101" s="119">
        <v>0.34319699999999997</v>
      </c>
      <c r="BR101" s="120">
        <v>2.4194534000000001E-12</v>
      </c>
      <c r="BS101" s="488">
        <v>7.7462367108333526E-10</v>
      </c>
      <c r="BT101" s="489">
        <v>4.4892979999999999E-2</v>
      </c>
      <c r="BU101" s="121">
        <v>3.0496879E-3</v>
      </c>
      <c r="BV101" s="121">
        <v>2.0332675999999998E-3</v>
      </c>
      <c r="BW101" s="121">
        <v>0.23446711000000001</v>
      </c>
      <c r="BX101"/>
      <c r="BY101"/>
      <c r="BZ101"/>
      <c r="CA101"/>
      <c r="CB101"/>
      <c r="CC101"/>
      <c r="CD101"/>
      <c r="CE101"/>
      <c r="CF101"/>
      <c r="CG101"/>
      <c r="CH101"/>
      <c r="CI101"/>
    </row>
    <row r="102" spans="1:87" s="36" customFormat="1">
      <c r="B102" s="69"/>
      <c r="C102" s="69"/>
      <c r="D102" s="72"/>
      <c r="E102" s="69"/>
      <c r="F102" s="72"/>
      <c r="G102" s="70"/>
      <c r="H102" s="70"/>
      <c r="I102" s="70"/>
      <c r="J102" s="70"/>
      <c r="K102" s="70"/>
      <c r="L102" s="70"/>
      <c r="M102" s="70"/>
      <c r="N102" s="54"/>
      <c r="O102" s="73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73"/>
      <c r="AE102" s="69"/>
      <c r="AF102" s="50"/>
      <c r="AG102" s="101" t="s">
        <v>5</v>
      </c>
      <c r="AH102" s="1">
        <v>299792458</v>
      </c>
      <c r="AI102" s="103" t="s">
        <v>4</v>
      </c>
      <c r="AJ102" s="1" t="s">
        <v>3</v>
      </c>
      <c r="AK102" s="69"/>
      <c r="AL102" s="66"/>
      <c r="AM102" s="69"/>
      <c r="AN102" s="69"/>
      <c r="AR102" s="60"/>
      <c r="AS102" s="69"/>
      <c r="AT102" s="69"/>
      <c r="AU102" s="73"/>
      <c r="BD102"/>
      <c r="BE102" s="66"/>
      <c r="BF102"/>
      <c r="BG102" s="118">
        <v>7.5</v>
      </c>
      <c r="BH102" s="119">
        <v>0.35749700000000001</v>
      </c>
      <c r="BI102" s="120">
        <v>2.6104838999999998E-12</v>
      </c>
      <c r="BJ102" s="609">
        <v>1.0000000000000001E-9</v>
      </c>
      <c r="BK102" s="610">
        <v>4.4883246000000002E-2</v>
      </c>
      <c r="BL102" s="121">
        <v>3.0451227000000002E-3</v>
      </c>
      <c r="BM102" s="121">
        <v>2.0369915999999999E-3</v>
      </c>
      <c r="BN102" s="121">
        <v>0.23391036000000001</v>
      </c>
      <c r="BO102"/>
      <c r="BP102" s="118">
        <v>7.5</v>
      </c>
      <c r="BQ102" s="119">
        <v>0.35749700000000001</v>
      </c>
      <c r="BR102" s="120">
        <v>2.6104838999999998E-12</v>
      </c>
      <c r="BS102" s="488">
        <v>8.3703787869206553E-10</v>
      </c>
      <c r="BT102" s="489">
        <v>4.4883246000000002E-2</v>
      </c>
      <c r="BU102" s="121">
        <v>3.0451227000000002E-3</v>
      </c>
      <c r="BV102" s="121">
        <v>2.0369915999999999E-3</v>
      </c>
      <c r="BW102" s="121">
        <v>0.23391036000000001</v>
      </c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 spans="1:87" s="36" customFormat="1">
      <c r="B103" s="69"/>
      <c r="C103" s="69"/>
      <c r="D103" s="72"/>
      <c r="E103" s="69"/>
      <c r="F103" s="72"/>
      <c r="G103" s="70"/>
      <c r="H103" s="70"/>
      <c r="I103" s="70"/>
      <c r="J103" s="70"/>
      <c r="K103" s="70"/>
      <c r="L103" s="70"/>
      <c r="M103" s="70"/>
      <c r="N103" s="54"/>
      <c r="O103" s="73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73"/>
      <c r="AE103" s="69"/>
      <c r="AF103" s="50"/>
      <c r="AG103" s="1"/>
      <c r="AH103" s="1"/>
      <c r="AI103" s="103"/>
      <c r="AJ103" s="1"/>
      <c r="AK103" s="69"/>
      <c r="AL103" s="66"/>
      <c r="AM103" s="69"/>
      <c r="AN103" s="69"/>
      <c r="AR103" s="60"/>
      <c r="AS103" s="69"/>
      <c r="AT103" s="69"/>
      <c r="AU103" s="73"/>
      <c r="BD103"/>
      <c r="BE103" s="66"/>
      <c r="BF103"/>
      <c r="BG103" s="118">
        <v>7.8</v>
      </c>
      <c r="BH103" s="119">
        <v>0.37179699999999999</v>
      </c>
      <c r="BI103" s="120">
        <v>2.7052620000000001E-12</v>
      </c>
      <c r="BJ103" s="609">
        <v>1.0000000000000001E-9</v>
      </c>
      <c r="BK103" s="610">
        <v>4.4938772000000002E-2</v>
      </c>
      <c r="BL103" s="121">
        <v>3.0410210000000001E-3</v>
      </c>
      <c r="BM103" s="121">
        <v>2.0444394E-3</v>
      </c>
      <c r="BN103" s="121">
        <v>0.23296341000000001</v>
      </c>
      <c r="BO103"/>
      <c r="BP103" s="118">
        <v>7.8</v>
      </c>
      <c r="BQ103" s="119">
        <v>0.37179699999999999</v>
      </c>
      <c r="BR103" s="120">
        <v>2.7052620000000001E-12</v>
      </c>
      <c r="BS103" s="488">
        <v>8.6859794224539708E-10</v>
      </c>
      <c r="BT103" s="489">
        <v>4.4938772000000002E-2</v>
      </c>
      <c r="BU103" s="121">
        <v>3.0410210000000001E-3</v>
      </c>
      <c r="BV103" s="121">
        <v>2.0444394E-3</v>
      </c>
      <c r="BW103" s="121">
        <v>0.23296341000000001</v>
      </c>
      <c r="BX103"/>
      <c r="BY103"/>
      <c r="BZ103"/>
      <c r="CA103"/>
      <c r="CB103"/>
      <c r="CC103"/>
      <c r="CD103"/>
      <c r="CE103"/>
      <c r="CF103"/>
      <c r="CG103"/>
      <c r="CH103"/>
      <c r="CI103"/>
    </row>
    <row r="104" spans="1:87" s="36" customFormat="1">
      <c r="B104" s="69"/>
      <c r="C104" s="69"/>
      <c r="D104" s="72"/>
      <c r="E104" s="69"/>
      <c r="F104" s="72"/>
      <c r="G104" s="70"/>
      <c r="H104" s="70"/>
      <c r="I104" s="70"/>
      <c r="J104" s="70"/>
      <c r="K104" s="70"/>
      <c r="L104" s="70"/>
      <c r="M104" s="70"/>
      <c r="N104" s="54"/>
      <c r="O104" s="73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73"/>
      <c r="AE104" s="69"/>
      <c r="AF104" s="50"/>
      <c r="AG104" s="59" t="s">
        <v>114</v>
      </c>
      <c r="AH104" s="3"/>
      <c r="AI104" s="34"/>
      <c r="AJ104" s="34"/>
      <c r="AK104" s="69"/>
      <c r="AL104" s="66"/>
      <c r="AM104" s="69"/>
      <c r="AN104" s="69"/>
      <c r="AR104" s="60"/>
      <c r="AS104" s="69"/>
      <c r="AT104" s="69"/>
      <c r="AU104" s="73"/>
      <c r="BD104"/>
      <c r="BE104" s="66"/>
      <c r="BF104"/>
      <c r="BG104" s="118">
        <v>8.1</v>
      </c>
      <c r="BH104" s="119">
        <v>0.38609700000000002</v>
      </c>
      <c r="BI104" s="120">
        <v>2.6360607E-12</v>
      </c>
      <c r="BJ104" s="609">
        <v>1.0000000000000001E-9</v>
      </c>
      <c r="BK104" s="610">
        <v>4.5059554000000002E-2</v>
      </c>
      <c r="BL104" s="121">
        <v>3.0373830999999999E-3</v>
      </c>
      <c r="BM104" s="121">
        <v>2.0556111999999998E-3</v>
      </c>
      <c r="BN104" s="121">
        <v>0.23301899000000001</v>
      </c>
      <c r="BO104"/>
      <c r="BP104" s="118">
        <v>8.1</v>
      </c>
      <c r="BQ104" s="119">
        <v>0.38609700000000002</v>
      </c>
      <c r="BR104" s="120">
        <v>2.6360607E-12</v>
      </c>
      <c r="BS104" s="488">
        <v>8.4739271535190931E-10</v>
      </c>
      <c r="BT104" s="489">
        <v>4.5059554000000002E-2</v>
      </c>
      <c r="BU104" s="121">
        <v>3.0373830999999999E-3</v>
      </c>
      <c r="BV104" s="121">
        <v>2.0556111999999998E-3</v>
      </c>
      <c r="BW104" s="121">
        <v>0.23301899000000001</v>
      </c>
      <c r="BX104"/>
      <c r="BY104"/>
      <c r="BZ104"/>
      <c r="CA104"/>
      <c r="CB104"/>
      <c r="CC104"/>
      <c r="CD104"/>
      <c r="CE104"/>
      <c r="CF104"/>
      <c r="CG104"/>
      <c r="CH104"/>
      <c r="CI104"/>
    </row>
    <row r="105" spans="1:87" s="36" customFormat="1">
      <c r="B105" s="69"/>
      <c r="C105" s="69"/>
      <c r="D105" s="72"/>
      <c r="E105" s="69"/>
      <c r="F105" s="72"/>
      <c r="G105" s="70"/>
      <c r="H105" s="70"/>
      <c r="I105" s="70"/>
      <c r="J105" s="70"/>
      <c r="K105" s="70"/>
      <c r="L105" s="70"/>
      <c r="M105" s="70"/>
      <c r="N105" s="54"/>
      <c r="O105" s="73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73"/>
      <c r="AE105" s="69"/>
      <c r="AF105" s="50"/>
      <c r="AG105" s="101" t="s">
        <v>115</v>
      </c>
      <c r="AH105" s="36">
        <v>4.83</v>
      </c>
      <c r="AI105" s="103" t="s">
        <v>141</v>
      </c>
      <c r="AJ105" s="1" t="s">
        <v>140</v>
      </c>
      <c r="AK105" s="69"/>
      <c r="AL105" s="66"/>
      <c r="AM105" s="69"/>
      <c r="AN105" s="69"/>
      <c r="AR105" s="60"/>
      <c r="AS105" s="69"/>
      <c r="AT105" s="69"/>
      <c r="AU105" s="73"/>
      <c r="BD105"/>
      <c r="BE105" s="66"/>
      <c r="BF105"/>
      <c r="BG105" s="118">
        <v>8.4</v>
      </c>
      <c r="BH105" s="119">
        <v>0.40039599999999997</v>
      </c>
      <c r="BI105" s="120">
        <v>2.8009274E-12</v>
      </c>
      <c r="BJ105" s="609">
        <v>1.0000000000000001E-9</v>
      </c>
      <c r="BK105" s="610">
        <v>4.388653E-2</v>
      </c>
      <c r="BL105" s="121">
        <v>3.0368172999999999E-3</v>
      </c>
      <c r="BM105" s="121">
        <v>1.9885794E-3</v>
      </c>
      <c r="BN105" s="121">
        <v>0.23387306999999999</v>
      </c>
      <c r="BO105"/>
      <c r="BP105" s="118">
        <v>8.4</v>
      </c>
      <c r="BQ105" s="119">
        <v>0.40039599999999997</v>
      </c>
      <c r="BR105" s="120">
        <v>2.8009274E-12</v>
      </c>
      <c r="BS105" s="488">
        <v>9.0055880927144787E-10</v>
      </c>
      <c r="BT105" s="489">
        <v>4.388653E-2</v>
      </c>
      <c r="BU105" s="121">
        <v>3.0368172999999999E-3</v>
      </c>
      <c r="BV105" s="121">
        <v>1.9885794E-3</v>
      </c>
      <c r="BW105" s="121">
        <v>0.23387306999999999</v>
      </c>
      <c r="BX105"/>
      <c r="BY105"/>
      <c r="BZ105"/>
      <c r="CA105"/>
      <c r="CB105"/>
      <c r="CC105"/>
      <c r="CD105"/>
      <c r="CE105"/>
      <c r="CF105"/>
      <c r="CG105"/>
      <c r="CH105"/>
      <c r="CI105"/>
    </row>
    <row r="106" spans="1:87" s="36" customFormat="1">
      <c r="B106" s="69"/>
      <c r="C106" s="69"/>
      <c r="D106" s="72"/>
      <c r="E106" s="69"/>
      <c r="F106" s="72"/>
      <c r="G106" s="70"/>
      <c r="H106" s="70"/>
      <c r="I106" s="70"/>
      <c r="J106" s="70"/>
      <c r="K106" s="70"/>
      <c r="L106" s="70"/>
      <c r="M106" s="70"/>
      <c r="N106" s="54"/>
      <c r="O106" s="73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73"/>
      <c r="AE106" s="69"/>
      <c r="AF106" s="50"/>
      <c r="AG106" s="101" t="s">
        <v>119</v>
      </c>
      <c r="AH106" s="639">
        <v>6371000</v>
      </c>
      <c r="AI106" s="103" t="s">
        <v>123</v>
      </c>
      <c r="AK106" s="69"/>
      <c r="AL106" s="66"/>
      <c r="AM106" s="69"/>
      <c r="AN106" s="69"/>
      <c r="AR106" s="60"/>
      <c r="AS106" s="69"/>
      <c r="AT106" s="69"/>
      <c r="AU106" s="73"/>
      <c r="BD106"/>
      <c r="BE106" s="66"/>
      <c r="BF106"/>
      <c r="BG106" s="118">
        <v>8.6999999999999993</v>
      </c>
      <c r="BH106" s="119">
        <v>0.41469600000000001</v>
      </c>
      <c r="BI106" s="120">
        <v>4.2215078999999999E-12</v>
      </c>
      <c r="BJ106" s="609">
        <v>1.0000000000000001E-9</v>
      </c>
      <c r="BK106" s="610">
        <v>3.1232851999999998E-2</v>
      </c>
      <c r="BL106" s="121">
        <v>3.0471131000000002E-3</v>
      </c>
      <c r="BM106" s="121">
        <v>1.3853015E-3</v>
      </c>
      <c r="BN106" s="121">
        <v>0.23462332999999999</v>
      </c>
      <c r="BO106"/>
      <c r="BP106" s="118">
        <v>8.6999999999999993</v>
      </c>
      <c r="BQ106" s="119">
        <v>0.41469600000000001</v>
      </c>
      <c r="BR106" s="120">
        <v>4.2215078999999999E-12</v>
      </c>
      <c r="BS106" s="488">
        <v>1.3527200686687816E-9</v>
      </c>
      <c r="BT106" s="489">
        <v>3.1232851999999998E-2</v>
      </c>
      <c r="BU106" s="121">
        <v>3.0471131000000002E-3</v>
      </c>
      <c r="BV106" s="121">
        <v>1.3853015E-3</v>
      </c>
      <c r="BW106" s="121">
        <v>0.23462332999999999</v>
      </c>
      <c r="BX106"/>
      <c r="BY106"/>
      <c r="BZ106"/>
      <c r="CA106"/>
      <c r="CB106"/>
      <c r="CC106"/>
      <c r="CD106"/>
      <c r="CE106"/>
      <c r="CF106"/>
      <c r="CG106"/>
      <c r="CH106"/>
      <c r="CI106"/>
    </row>
    <row r="107" spans="1:87" s="36" customFormat="1">
      <c r="B107" s="69"/>
      <c r="C107" s="69"/>
      <c r="D107" s="72"/>
      <c r="E107" s="69"/>
      <c r="F107" s="72"/>
      <c r="G107" s="70"/>
      <c r="H107" s="70"/>
      <c r="I107" s="70"/>
      <c r="J107" s="70"/>
      <c r="K107" s="70"/>
      <c r="L107" s="70"/>
      <c r="M107" s="70"/>
      <c r="N107" s="54"/>
      <c r="O107" s="73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73"/>
      <c r="AE107" s="69"/>
      <c r="AF107" s="50"/>
      <c r="AG107" s="101" t="s">
        <v>120</v>
      </c>
      <c r="AH107" s="639">
        <v>69911000</v>
      </c>
      <c r="AI107" s="103" t="s">
        <v>21</v>
      </c>
      <c r="AJ107" s="1"/>
      <c r="AK107" s="69"/>
      <c r="AL107" s="66"/>
      <c r="AM107" s="69"/>
      <c r="AN107" s="69"/>
      <c r="AR107" s="60"/>
      <c r="AS107" s="69"/>
      <c r="AT107" s="69"/>
      <c r="AU107" s="73"/>
      <c r="BD107"/>
      <c r="BE107" s="66"/>
      <c r="BF107"/>
      <c r="BG107" s="118">
        <v>9</v>
      </c>
      <c r="BH107" s="119">
        <v>0.42899599999999999</v>
      </c>
      <c r="BI107" s="120">
        <v>3.2181705000000001E-12</v>
      </c>
      <c r="BJ107" s="609">
        <v>1.0000000000000001E-9</v>
      </c>
      <c r="BK107" s="610">
        <v>1.74128266E-2</v>
      </c>
      <c r="BL107" s="121">
        <v>2.5971239000000001E-3</v>
      </c>
      <c r="BM107" s="121">
        <v>9.3843118999999999E-4</v>
      </c>
      <c r="BN107" s="121">
        <v>0.23397018</v>
      </c>
      <c r="BO107"/>
      <c r="BP107" s="118">
        <v>9</v>
      </c>
      <c r="BQ107" s="119">
        <v>0.42899599999999999</v>
      </c>
      <c r="BR107" s="120">
        <v>3.2181705000000001E-12</v>
      </c>
      <c r="BS107" s="488">
        <v>1.2098882945397923E-9</v>
      </c>
      <c r="BT107" s="489">
        <v>1.74128266E-2</v>
      </c>
      <c r="BU107" s="121">
        <v>2.5971239000000001E-3</v>
      </c>
      <c r="BV107" s="121">
        <v>9.3843118999999999E-4</v>
      </c>
      <c r="BW107" s="121">
        <v>0.23397018</v>
      </c>
      <c r="BX107"/>
      <c r="BY107"/>
      <c r="BZ107"/>
      <c r="CA107"/>
      <c r="CB107"/>
      <c r="CC107"/>
      <c r="CD107"/>
      <c r="CE107"/>
      <c r="CF107"/>
      <c r="CG107"/>
      <c r="CH107"/>
      <c r="CI107"/>
    </row>
    <row r="108" spans="1:87" s="36" customFormat="1" ht="18">
      <c r="A108" s="159" t="s">
        <v>233</v>
      </c>
      <c r="B108" s="160"/>
      <c r="C108" s="160"/>
      <c r="D108" s="160"/>
      <c r="E108" s="160"/>
      <c r="F108" s="160"/>
      <c r="G108" s="160"/>
      <c r="H108" s="160"/>
      <c r="I108" s="160"/>
      <c r="J108" s="160"/>
      <c r="K108" s="160"/>
      <c r="L108" s="160"/>
      <c r="M108" s="160"/>
      <c r="N108" s="160"/>
      <c r="O108" s="160"/>
      <c r="P108" s="160"/>
      <c r="Q108" s="160"/>
      <c r="R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69"/>
      <c r="AC108" s="69"/>
      <c r="AD108" s="73"/>
      <c r="AE108" s="69"/>
      <c r="AF108" s="50"/>
      <c r="AG108" s="101" t="s">
        <v>6</v>
      </c>
      <c r="AH108" s="100">
        <v>149590000000</v>
      </c>
      <c r="AI108" s="103" t="s">
        <v>21</v>
      </c>
      <c r="AJ108"/>
      <c r="AK108" s="69"/>
      <c r="AL108" s="66"/>
      <c r="AM108" s="69"/>
      <c r="AN108" s="69"/>
      <c r="AR108" s="60"/>
      <c r="AS108" s="69"/>
      <c r="AT108" s="69"/>
      <c r="AU108" s="73"/>
      <c r="BD108"/>
      <c r="BE108" s="66"/>
      <c r="BF108"/>
      <c r="BG108" s="113"/>
      <c r="BP108" s="58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</row>
    <row r="109" spans="1:87" s="36" customFormat="1" ht="23.4">
      <c r="A109" s="161"/>
      <c r="B109" s="161">
        <v>1</v>
      </c>
      <c r="C109" s="161">
        <v>2</v>
      </c>
      <c r="D109" s="161">
        <v>3</v>
      </c>
      <c r="E109" s="161">
        <v>4</v>
      </c>
      <c r="F109" s="161">
        <v>5</v>
      </c>
      <c r="G109" s="161">
        <v>6</v>
      </c>
      <c r="H109" s="161">
        <v>7</v>
      </c>
      <c r="I109" s="161">
        <v>8</v>
      </c>
      <c r="J109" s="161">
        <v>9</v>
      </c>
      <c r="K109" s="161">
        <v>10</v>
      </c>
      <c r="L109" s="161">
        <v>11</v>
      </c>
      <c r="M109" s="161">
        <v>12</v>
      </c>
      <c r="N109" s="161">
        <v>13</v>
      </c>
      <c r="O109" s="161">
        <v>14</v>
      </c>
      <c r="P109" s="161">
        <v>15</v>
      </c>
      <c r="Q109" s="161">
        <v>16</v>
      </c>
      <c r="R109" s="161">
        <v>17</v>
      </c>
      <c r="S109" s="161">
        <v>18</v>
      </c>
      <c r="T109" s="161">
        <v>19</v>
      </c>
      <c r="U109" s="161">
        <v>20</v>
      </c>
      <c r="V109" s="161">
        <v>21</v>
      </c>
      <c r="W109" s="161">
        <v>22</v>
      </c>
      <c r="X109" s="161">
        <v>23</v>
      </c>
      <c r="Y109" s="161">
        <v>24</v>
      </c>
      <c r="Z109" s="161">
        <v>25</v>
      </c>
      <c r="AA109" s="161"/>
      <c r="AB109" s="69"/>
      <c r="AC109" s="69"/>
      <c r="AD109" s="73"/>
      <c r="AE109" s="69"/>
      <c r="AF109" s="50"/>
      <c r="AG109" s="101" t="s">
        <v>116</v>
      </c>
      <c r="AH109" s="100">
        <v>3.0855E+16</v>
      </c>
      <c r="AI109" s="103" t="s">
        <v>21</v>
      </c>
      <c r="AJ109" s="640">
        <f>AU/arcsec</f>
        <v>3.0855152366503144E+16</v>
      </c>
      <c r="AK109" s="69"/>
      <c r="AL109" s="66"/>
      <c r="AM109" s="69"/>
      <c r="AN109" s="69"/>
      <c r="AR109" s="60"/>
      <c r="AS109" s="69"/>
      <c r="AT109" s="69"/>
      <c r="AU109" s="73"/>
      <c r="BD109"/>
      <c r="BE109" s="66"/>
      <c r="BF109"/>
      <c r="BG109" s="635" t="s">
        <v>640</v>
      </c>
      <c r="BH109" s="636"/>
      <c r="BI109" s="636"/>
      <c r="BJ109" s="636"/>
      <c r="BK109" s="636"/>
      <c r="BL109" s="636"/>
      <c r="BM109" s="636"/>
      <c r="BN109" s="636"/>
      <c r="BO109" s="636"/>
      <c r="BP109" s="636"/>
      <c r="BQ109" s="636"/>
      <c r="BR109" s="636"/>
      <c r="BS109" s="636"/>
      <c r="BT109" s="636"/>
      <c r="BU109" s="636"/>
      <c r="BV109" s="636"/>
      <c r="BW109" s="636"/>
      <c r="BX109"/>
      <c r="BY109"/>
      <c r="BZ109"/>
      <c r="CA109"/>
      <c r="CB109"/>
      <c r="CC109"/>
      <c r="CD109"/>
      <c r="CE109"/>
      <c r="CF109"/>
      <c r="CG109"/>
      <c r="CH109"/>
      <c r="CI109"/>
    </row>
    <row r="110" spans="1:87" s="36" customFormat="1" ht="18">
      <c r="A110" s="163"/>
      <c r="B110" s="163"/>
      <c r="C110" s="163"/>
      <c r="D110" s="163"/>
      <c r="E110" s="163" t="s">
        <v>116</v>
      </c>
      <c r="F110" s="163"/>
      <c r="G110" s="163" t="s">
        <v>234</v>
      </c>
      <c r="H110" s="163" t="s">
        <v>235</v>
      </c>
      <c r="I110" s="163" t="s">
        <v>236</v>
      </c>
      <c r="J110" s="163"/>
      <c r="K110" s="163" t="s">
        <v>237</v>
      </c>
      <c r="L110" s="163" t="s">
        <v>238</v>
      </c>
      <c r="M110" s="163" t="s">
        <v>122</v>
      </c>
      <c r="N110" s="163" t="s">
        <v>239</v>
      </c>
      <c r="O110" s="163" t="s">
        <v>240</v>
      </c>
      <c r="P110" s="163"/>
      <c r="Q110" s="163" t="s">
        <v>241</v>
      </c>
      <c r="R110" s="163" t="s">
        <v>241</v>
      </c>
      <c r="S110" s="163" t="s">
        <v>242</v>
      </c>
      <c r="T110" s="163" t="s">
        <v>242</v>
      </c>
      <c r="U110" s="163"/>
      <c r="V110" s="163"/>
      <c r="W110" s="163"/>
      <c r="X110" s="164"/>
      <c r="Y110" s="163" t="s">
        <v>243</v>
      </c>
      <c r="Z110" s="163" t="s">
        <v>244</v>
      </c>
      <c r="AA110" s="163"/>
      <c r="AB110" s="69"/>
      <c r="AC110" s="69"/>
      <c r="AD110" s="73"/>
      <c r="AE110" s="69"/>
      <c r="AF110" s="50"/>
      <c r="AG110" s="101" t="s">
        <v>121</v>
      </c>
      <c r="AH110" s="102">
        <v>1392000000</v>
      </c>
      <c r="AI110" s="103" t="s">
        <v>21</v>
      </c>
      <c r="AK110" s="69"/>
      <c r="AL110" s="66"/>
      <c r="AM110" s="69"/>
      <c r="AN110" s="69"/>
      <c r="AR110" s="60"/>
      <c r="AS110" s="69"/>
      <c r="AT110" s="69"/>
      <c r="AU110" s="73"/>
      <c r="BD110"/>
      <c r="BE110" s="66"/>
      <c r="BF110"/>
      <c r="BG110" s="618" t="s">
        <v>638</v>
      </c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/>
      <c r="BY110"/>
      <c r="BZ110"/>
      <c r="CA110"/>
      <c r="CB110"/>
      <c r="CC110"/>
      <c r="CD110"/>
      <c r="CE110"/>
      <c r="CF110"/>
      <c r="CG110"/>
      <c r="CH110"/>
      <c r="CI110"/>
    </row>
    <row r="111" spans="1:87" s="36" customFormat="1">
      <c r="A111" s="162"/>
      <c r="B111" s="162" t="s">
        <v>245</v>
      </c>
      <c r="C111" s="162" t="s">
        <v>246</v>
      </c>
      <c r="D111" s="162" t="s">
        <v>14</v>
      </c>
      <c r="E111" s="162" t="s">
        <v>247</v>
      </c>
      <c r="F111" s="162" t="s">
        <v>248</v>
      </c>
      <c r="G111" s="162" t="s">
        <v>249</v>
      </c>
      <c r="H111" s="162" t="s">
        <v>250</v>
      </c>
      <c r="I111" s="162" t="s">
        <v>251</v>
      </c>
      <c r="J111" s="162" t="s">
        <v>252</v>
      </c>
      <c r="K111" s="162" t="s">
        <v>253</v>
      </c>
      <c r="L111" s="162" t="s">
        <v>254</v>
      </c>
      <c r="M111" s="162" t="s">
        <v>255</v>
      </c>
      <c r="N111" s="162" t="s">
        <v>256</v>
      </c>
      <c r="O111" s="162" t="s">
        <v>257</v>
      </c>
      <c r="P111" s="162" t="s">
        <v>258</v>
      </c>
      <c r="Q111" s="162" t="s">
        <v>259</v>
      </c>
      <c r="R111" s="162" t="s">
        <v>242</v>
      </c>
      <c r="S111" s="162" t="s">
        <v>257</v>
      </c>
      <c r="T111" s="162" t="s">
        <v>258</v>
      </c>
      <c r="U111" s="162" t="s">
        <v>260</v>
      </c>
      <c r="V111" s="162" t="s">
        <v>261</v>
      </c>
      <c r="W111" s="162" t="s">
        <v>262</v>
      </c>
      <c r="X111" s="166" t="s">
        <v>263</v>
      </c>
      <c r="Y111" s="162" t="s">
        <v>264</v>
      </c>
      <c r="Z111" s="162" t="s">
        <v>265</v>
      </c>
      <c r="AA111" s="162" t="s">
        <v>266</v>
      </c>
      <c r="AB111" s="69"/>
      <c r="AC111" s="69"/>
      <c r="AD111" s="73"/>
      <c r="AE111" s="69"/>
      <c r="AF111" s="50"/>
      <c r="AG111" s="101"/>
      <c r="AI111" s="103"/>
      <c r="AK111" s="69"/>
      <c r="AL111" s="66"/>
      <c r="AM111" s="69"/>
      <c r="AN111" s="69"/>
      <c r="AR111" s="60"/>
      <c r="AS111" s="69"/>
      <c r="AT111" s="69"/>
      <c r="AU111" s="73"/>
      <c r="BD111"/>
      <c r="BE111" s="66"/>
      <c r="BF111"/>
      <c r="BG111" s="139"/>
      <c r="BH111" s="588"/>
      <c r="BI111" s="588"/>
      <c r="BJ111" s="588"/>
      <c r="BK111" s="588"/>
      <c r="BL111" s="139"/>
      <c r="BM111" s="139"/>
      <c r="BN111" s="139"/>
      <c r="BO111" s="139"/>
      <c r="BP111" s="139"/>
      <c r="BQ111" s="139"/>
      <c r="BR111" s="139"/>
      <c r="BS111" s="139"/>
      <c r="BT111" s="139"/>
      <c r="BU111" s="139"/>
      <c r="BV111" s="139"/>
      <c r="BW111" s="139"/>
      <c r="BX111"/>
      <c r="BY111"/>
      <c r="BZ111"/>
      <c r="CA111"/>
      <c r="CB111"/>
      <c r="CC111"/>
      <c r="CD111"/>
      <c r="CE111"/>
      <c r="CF111"/>
      <c r="CG111"/>
      <c r="CH111"/>
      <c r="CI111"/>
    </row>
    <row r="112" spans="1:87" s="36" customFormat="1">
      <c r="A112" s="163"/>
      <c r="B112" s="163">
        <v>1</v>
      </c>
      <c r="C112" s="163" t="s">
        <v>267</v>
      </c>
      <c r="D112" s="163">
        <v>1.1499999999999999</v>
      </c>
      <c r="E112" s="167">
        <v>10.3584</v>
      </c>
      <c r="F112" s="163" t="s">
        <v>268</v>
      </c>
      <c r="G112" s="168">
        <v>2.7582200000000001</v>
      </c>
      <c r="H112" s="168">
        <v>1.75739</v>
      </c>
      <c r="I112" s="167">
        <v>589.64000999999996</v>
      </c>
      <c r="J112" s="168">
        <v>0.02</v>
      </c>
      <c r="K112" s="167">
        <v>354.58</v>
      </c>
      <c r="L112" s="163">
        <v>2447739.02</v>
      </c>
      <c r="M112" s="169">
        <f t="shared" ref="M112:M146" si="8">H112/E112</f>
        <v>0.16965844145814027</v>
      </c>
      <c r="N112" s="163">
        <v>1.2621221356472152</v>
      </c>
      <c r="O112" s="163">
        <v>4.666638428336564E-8</v>
      </c>
      <c r="P112" s="163">
        <v>3.6974539123691984E-8</v>
      </c>
      <c r="Q112" s="163">
        <v>0.21</v>
      </c>
      <c r="R112" s="163">
        <v>0.1</v>
      </c>
      <c r="S112" s="163">
        <v>9.3332768566731287E-9</v>
      </c>
      <c r="T112" s="163">
        <v>7.3949078247383977E-9</v>
      </c>
      <c r="U112" s="163">
        <v>24</v>
      </c>
      <c r="V112" s="163" t="s">
        <v>269</v>
      </c>
      <c r="W112" s="163" t="s">
        <v>270</v>
      </c>
      <c r="X112" s="164" t="s">
        <v>271</v>
      </c>
      <c r="Y112" s="167">
        <v>13.029</v>
      </c>
      <c r="Z112" s="170">
        <v>1.18</v>
      </c>
      <c r="AA112" s="171">
        <v>1.0062158812572595</v>
      </c>
      <c r="AB112" s="69"/>
      <c r="AC112" s="69"/>
      <c r="AD112" s="73"/>
      <c r="AE112" s="69"/>
      <c r="AF112" s="50"/>
      <c r="AG112" s="101" t="s">
        <v>122</v>
      </c>
      <c r="AH112" s="102">
        <f>PI()/180/3600</f>
        <v>4.8481368110953598E-6</v>
      </c>
      <c r="AI112" s="103" t="s">
        <v>61</v>
      </c>
      <c r="AK112" s="69"/>
      <c r="AL112" s="66"/>
      <c r="AM112" s="69"/>
      <c r="AN112" s="69"/>
      <c r="AR112" s="60"/>
      <c r="AS112" s="69"/>
      <c r="AT112" s="69"/>
      <c r="AU112" s="73"/>
      <c r="BD112"/>
      <c r="BE112" s="66"/>
      <c r="BF112"/>
      <c r="BG112"/>
      <c r="BH112"/>
      <c r="BI112"/>
      <c r="BJ112"/>
      <c r="BK112"/>
      <c r="BL112"/>
      <c r="BM112"/>
      <c r="BN112"/>
      <c r="BO112"/>
      <c r="BP112" s="139"/>
      <c r="BQ112" s="139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</row>
    <row r="113" spans="1:87" s="36" customFormat="1" ht="15.6">
      <c r="A113" s="163"/>
      <c r="B113" s="163">
        <v>2</v>
      </c>
      <c r="C113" s="163" t="s">
        <v>272</v>
      </c>
      <c r="D113" s="163">
        <v>3.21</v>
      </c>
      <c r="E113" s="167">
        <v>14.102399999999999</v>
      </c>
      <c r="F113" s="163" t="s">
        <v>273</v>
      </c>
      <c r="G113" s="168">
        <v>1.51728</v>
      </c>
      <c r="H113" s="168">
        <v>1.9793000000000001</v>
      </c>
      <c r="I113" s="167">
        <v>905.57399999999996</v>
      </c>
      <c r="J113" s="168">
        <v>0.12</v>
      </c>
      <c r="K113" s="167">
        <v>49.6</v>
      </c>
      <c r="L113" s="163">
        <v>2453121.9249999998</v>
      </c>
      <c r="M113" s="169">
        <f t="shared" si="8"/>
        <v>0.14035199682323576</v>
      </c>
      <c r="N113" s="163">
        <v>0.18927854273819977</v>
      </c>
      <c r="O113" s="163">
        <v>5.5171806622212234E-9</v>
      </c>
      <c r="P113" s="163">
        <v>2.9148473896760186E-8</v>
      </c>
      <c r="Q113" s="163">
        <v>0.12</v>
      </c>
      <c r="R113" s="163">
        <v>0.05</v>
      </c>
      <c r="S113" s="163">
        <v>5.5171806622212234E-10</v>
      </c>
      <c r="T113" s="163">
        <v>2.9148473896760185E-9</v>
      </c>
      <c r="U113" s="163">
        <v>28</v>
      </c>
      <c r="V113" s="163" t="s">
        <v>274</v>
      </c>
      <c r="W113" s="163" t="s">
        <v>270</v>
      </c>
      <c r="X113" s="164"/>
      <c r="Y113" s="167">
        <v>12.933999999999999</v>
      </c>
      <c r="Z113" s="170">
        <v>1.22</v>
      </c>
      <c r="AA113" s="171">
        <v>0.96612899632811833</v>
      </c>
      <c r="AB113" s="69"/>
      <c r="AC113" s="69"/>
      <c r="AD113" s="73"/>
      <c r="AE113" s="69"/>
      <c r="AF113" s="50"/>
      <c r="AG113" s="101" t="s">
        <v>11</v>
      </c>
      <c r="AH113" s="102">
        <f>0.001*arcsec</f>
        <v>4.8481368110953602E-9</v>
      </c>
      <c r="AI113" s="103" t="s">
        <v>61</v>
      </c>
      <c r="AK113" s="69"/>
      <c r="AL113" s="66"/>
      <c r="AM113" s="69"/>
      <c r="AN113" s="69"/>
      <c r="AR113" s="60"/>
      <c r="AS113" s="69"/>
      <c r="AT113" s="69"/>
      <c r="AU113" s="73"/>
      <c r="BD113"/>
      <c r="BE113" s="66"/>
      <c r="BF113"/>
      <c r="BG113" s="593" t="s">
        <v>645</v>
      </c>
      <c r="BH113" s="139"/>
      <c r="BI113" s="139"/>
      <c r="BJ113" s="139"/>
      <c r="BK113" s="139"/>
      <c r="BL113" s="139"/>
      <c r="BM113" s="139"/>
      <c r="BN113" s="139"/>
      <c r="BO113" s="139"/>
      <c r="BP113" s="593" t="s">
        <v>643</v>
      </c>
      <c r="BQ113"/>
      <c r="BR113" s="588"/>
      <c r="BS113" s="588"/>
      <c r="BT113" s="588"/>
      <c r="BU113" s="588"/>
      <c r="BV113" s="588"/>
      <c r="BW113" s="588"/>
      <c r="BX113"/>
      <c r="BY113"/>
      <c r="BZ113"/>
      <c r="CA113"/>
      <c r="CB113"/>
      <c r="CC113"/>
      <c r="CD113"/>
      <c r="CE113"/>
      <c r="CF113"/>
      <c r="CG113"/>
      <c r="CH113"/>
      <c r="CI113"/>
    </row>
    <row r="114" spans="1:87" s="36" customFormat="1" ht="18">
      <c r="A114" s="163"/>
      <c r="B114" s="163">
        <v>3</v>
      </c>
      <c r="C114" s="163" t="s">
        <v>275</v>
      </c>
      <c r="D114" s="163">
        <v>5.37</v>
      </c>
      <c r="E114" s="167">
        <v>12.777900000000001</v>
      </c>
      <c r="F114" s="163" t="s">
        <v>276</v>
      </c>
      <c r="G114" s="168">
        <v>1.1796500000000001</v>
      </c>
      <c r="H114" s="168">
        <v>1.30958</v>
      </c>
      <c r="I114" s="167">
        <v>528.40002000000004</v>
      </c>
      <c r="J114" s="168">
        <v>0.26</v>
      </c>
      <c r="K114" s="167">
        <v>282</v>
      </c>
      <c r="L114" s="163">
        <v>2451123</v>
      </c>
      <c r="M114" s="169">
        <f t="shared" si="8"/>
        <v>0.10248788924627676</v>
      </c>
      <c r="N114" s="163">
        <v>2.5888171896981147E-2</v>
      </c>
      <c r="O114" s="163">
        <v>1.7237583657106694E-9</v>
      </c>
      <c r="P114" s="163">
        <v>6.6584785228179014E-8</v>
      </c>
      <c r="Q114" s="163">
        <v>0.31</v>
      </c>
      <c r="R114" s="163">
        <v>0.14000000000000001</v>
      </c>
      <c r="S114" s="163">
        <v>4.8265234239898742E-10</v>
      </c>
      <c r="T114" s="163">
        <v>1.8643739863890125E-8</v>
      </c>
      <c r="U114" s="163">
        <v>43</v>
      </c>
      <c r="V114" s="163" t="s">
        <v>277</v>
      </c>
      <c r="W114" s="163" t="s">
        <v>278</v>
      </c>
      <c r="X114" s="164"/>
      <c r="Y114" s="167">
        <v>12.872999999999999</v>
      </c>
      <c r="Z114" s="170">
        <v>1.91</v>
      </c>
      <c r="AA114" s="171">
        <v>0.61419813418721381</v>
      </c>
      <c r="AB114" s="69"/>
      <c r="AC114" s="69"/>
      <c r="AD114" s="73"/>
      <c r="AE114" s="69"/>
      <c r="AF114" s="50"/>
      <c r="AG114" s="101" t="s">
        <v>667</v>
      </c>
      <c r="AH114" s="102">
        <v>9.9999999999999995E-7</v>
      </c>
      <c r="AI114" s="103" t="s">
        <v>61</v>
      </c>
      <c r="AK114" s="69"/>
      <c r="AL114" s="66"/>
      <c r="AM114" s="69"/>
      <c r="AN114" s="69"/>
      <c r="AR114" s="60"/>
      <c r="AS114" s="69"/>
      <c r="AT114" s="69"/>
      <c r="AU114" s="73"/>
      <c r="BD114"/>
      <c r="BE114" s="66"/>
      <c r="BF114"/>
      <c r="BG114" s="618" t="s">
        <v>641</v>
      </c>
      <c r="BH114" s="139"/>
      <c r="BI114" s="139"/>
      <c r="BJ114" s="139"/>
      <c r="BK114" s="139"/>
      <c r="BL114" s="139"/>
      <c r="BM114" s="139"/>
      <c r="BN114" s="139"/>
      <c r="BO114" s="139"/>
      <c r="BP114" s="139"/>
      <c r="BQ114" s="593"/>
      <c r="BR114" s="588"/>
      <c r="BS114" s="588"/>
      <c r="BT114" s="588"/>
      <c r="BU114" s="588"/>
      <c r="BV114" s="588"/>
      <c r="BW114" s="588"/>
      <c r="BX114"/>
      <c r="BY114"/>
      <c r="BZ114"/>
      <c r="CA114"/>
      <c r="CB114"/>
      <c r="CC114"/>
      <c r="CD114"/>
      <c r="CE114"/>
      <c r="CF114"/>
      <c r="CG114"/>
      <c r="CH114"/>
      <c r="CI114"/>
    </row>
    <row r="115" spans="1:87" s="36" customFormat="1" ht="15.6">
      <c r="A115" s="163"/>
      <c r="B115" s="163">
        <v>4</v>
      </c>
      <c r="C115" s="163" t="s">
        <v>279</v>
      </c>
      <c r="D115" s="163">
        <v>5.73</v>
      </c>
      <c r="E115" s="167">
        <v>8.9110700000000005</v>
      </c>
      <c r="F115" s="163" t="s">
        <v>280</v>
      </c>
      <c r="G115" s="168">
        <v>7.3607300000000001E-2</v>
      </c>
      <c r="H115" s="168">
        <v>1.1835800000000001</v>
      </c>
      <c r="I115" s="167">
        <v>525.79999999999995</v>
      </c>
      <c r="J115" s="168">
        <v>0.32</v>
      </c>
      <c r="K115" s="167">
        <v>110</v>
      </c>
      <c r="L115" s="163">
        <v>2455311.915</v>
      </c>
      <c r="M115" s="169">
        <f t="shared" si="8"/>
        <v>0.13282131102101094</v>
      </c>
      <c r="N115" s="163">
        <v>1.858238199910477E-2</v>
      </c>
      <c r="O115" s="163">
        <v>1.5147648502596594E-9</v>
      </c>
      <c r="P115" s="163">
        <v>8.1516182927066892E-8</v>
      </c>
      <c r="Q115" s="163">
        <v>0.33</v>
      </c>
      <c r="R115" s="163">
        <v>0.14000000000000001</v>
      </c>
      <c r="S115" s="163">
        <v>4.2413415807270467E-10</v>
      </c>
      <c r="T115" s="163">
        <v>2.2824531219578733E-8</v>
      </c>
      <c r="U115" s="163">
        <v>29</v>
      </c>
      <c r="V115" s="163" t="s">
        <v>281</v>
      </c>
      <c r="W115" s="163" t="s">
        <v>270</v>
      </c>
      <c r="X115" s="164" t="s">
        <v>282</v>
      </c>
      <c r="Y115" s="167">
        <v>9.673</v>
      </c>
      <c r="Z115" s="170">
        <v>0.49</v>
      </c>
      <c r="AA115" s="171">
        <v>1.7989835764947795</v>
      </c>
      <c r="AB115" s="69"/>
      <c r="AC115" s="69"/>
      <c r="AD115" s="73"/>
      <c r="AE115" s="69"/>
      <c r="AF115" s="50"/>
      <c r="AG115" s="101" t="s">
        <v>206</v>
      </c>
      <c r="AH115" s="102">
        <v>9.9999999999999995E-7</v>
      </c>
      <c r="AI115" s="103" t="s">
        <v>21</v>
      </c>
      <c r="AK115" s="69"/>
      <c r="AL115" s="66"/>
      <c r="AM115" s="69"/>
      <c r="AN115" s="69"/>
      <c r="AR115" s="60"/>
      <c r="AS115" s="69"/>
      <c r="AT115" s="69"/>
      <c r="AU115" s="73"/>
      <c r="BD115"/>
      <c r="BE115" s="66"/>
      <c r="BF115"/>
      <c r="BG115" s="117" t="s">
        <v>164</v>
      </c>
      <c r="BH115" s="117" t="s">
        <v>165</v>
      </c>
      <c r="BI115" s="117" t="s">
        <v>52</v>
      </c>
      <c r="BJ115" s="117" t="s">
        <v>166</v>
      </c>
      <c r="BK115" s="117" t="s">
        <v>167</v>
      </c>
      <c r="BL115" s="117" t="s">
        <v>168</v>
      </c>
      <c r="BM115" s="117" t="s">
        <v>666</v>
      </c>
      <c r="BN115" s="117" t="s">
        <v>169</v>
      </c>
      <c r="BO115" s="139"/>
      <c r="BP115" s="596" t="s">
        <v>164</v>
      </c>
      <c r="BQ115" s="596" t="s">
        <v>165</v>
      </c>
      <c r="BR115" s="596" t="s">
        <v>52</v>
      </c>
      <c r="BS115" s="596" t="s">
        <v>166</v>
      </c>
      <c r="BT115" s="596" t="s">
        <v>167</v>
      </c>
      <c r="BU115" s="596" t="s">
        <v>168</v>
      </c>
      <c r="BV115" s="596" t="s">
        <v>666</v>
      </c>
      <c r="BW115" s="596" t="s">
        <v>169</v>
      </c>
      <c r="BX115" s="593"/>
      <c r="BY115"/>
      <c r="BZ115"/>
      <c r="CA115"/>
      <c r="CB115"/>
      <c r="CC115"/>
      <c r="CD115"/>
      <c r="CE115"/>
      <c r="CF115"/>
      <c r="CG115"/>
      <c r="CH115"/>
      <c r="CI115"/>
    </row>
    <row r="116" spans="1:87" s="36" customFormat="1" ht="15.6">
      <c r="A116" s="163"/>
      <c r="B116" s="163">
        <v>5</v>
      </c>
      <c r="C116" s="163" t="s">
        <v>283</v>
      </c>
      <c r="D116" s="163">
        <v>4.0999999999999996</v>
      </c>
      <c r="E116" s="167">
        <v>13.4916</v>
      </c>
      <c r="F116" s="163" t="s">
        <v>284</v>
      </c>
      <c r="G116" s="168">
        <v>4.1158200000000003</v>
      </c>
      <c r="H116" s="168">
        <v>2.5245199999999999</v>
      </c>
      <c r="I116" s="167">
        <v>1278.1217999999999</v>
      </c>
      <c r="J116" s="168">
        <v>0.26739499999999999</v>
      </c>
      <c r="K116" s="167">
        <v>269.685</v>
      </c>
      <c r="L116" s="163">
        <v>2453937.7280000001</v>
      </c>
      <c r="M116" s="169">
        <f t="shared" si="8"/>
        <v>0.18711791040351033</v>
      </c>
      <c r="N116" s="163">
        <v>8.3387582560746923E-2</v>
      </c>
      <c r="O116" s="163">
        <v>1.4941108630879035E-9</v>
      </c>
      <c r="P116" s="163">
        <v>1.7917666122524422E-8</v>
      </c>
      <c r="Q116" s="163">
        <v>0.22</v>
      </c>
      <c r="R116" s="163">
        <v>0.11</v>
      </c>
      <c r="S116" s="163">
        <v>3.2870438987933878E-10</v>
      </c>
      <c r="T116" s="163">
        <v>3.9418865469553732E-9</v>
      </c>
      <c r="U116" s="163">
        <v>21</v>
      </c>
      <c r="V116" s="163" t="s">
        <v>285</v>
      </c>
      <c r="W116" s="163" t="s">
        <v>286</v>
      </c>
      <c r="X116" s="164" t="s">
        <v>287</v>
      </c>
      <c r="Y116" s="167">
        <v>12.757</v>
      </c>
      <c r="Z116" s="170">
        <v>1.1499999999999999</v>
      </c>
      <c r="AA116" s="171">
        <v>1.0109107293558954</v>
      </c>
      <c r="AB116" s="69"/>
      <c r="AC116" s="69"/>
      <c r="AD116" s="73"/>
      <c r="AE116" s="69"/>
      <c r="AF116" s="50"/>
      <c r="AG116" s="101" t="s">
        <v>223</v>
      </c>
      <c r="AH116" s="102">
        <v>1.0000000000000001E-9</v>
      </c>
      <c r="AI116" s="103" t="s">
        <v>21</v>
      </c>
      <c r="AK116" s="69"/>
      <c r="AL116" s="66"/>
      <c r="AM116" s="69"/>
      <c r="AN116" s="69"/>
      <c r="AR116" s="60"/>
      <c r="AS116" s="69"/>
      <c r="AT116" s="69"/>
      <c r="AU116" s="73"/>
      <c r="BD116"/>
      <c r="BE116" s="66"/>
      <c r="BF116"/>
      <c r="BG116" s="122">
        <v>3</v>
      </c>
      <c r="BH116" s="119">
        <v>0.20887600000000001</v>
      </c>
      <c r="BI116" s="120">
        <v>6.4727158000000003E-12</v>
      </c>
      <c r="BJ116" s="616">
        <v>6E-9</v>
      </c>
      <c r="BK116" s="617">
        <v>4.4181020000000001E-2</v>
      </c>
      <c r="BL116" s="121">
        <v>1.2165047E-3</v>
      </c>
      <c r="BM116" s="121">
        <v>4.6681509999999997E-3</v>
      </c>
      <c r="BN116" s="121">
        <v>0.15635784</v>
      </c>
      <c r="BO116" s="139"/>
      <c r="BP116" s="601">
        <v>3</v>
      </c>
      <c r="BQ116" s="215">
        <v>0.20887600000000001</v>
      </c>
      <c r="BR116" s="602">
        <v>6.4727158000000003E-12</v>
      </c>
      <c r="BS116" s="598">
        <v>4.5740872455552217E-9</v>
      </c>
      <c r="BT116" s="619">
        <v>4.4181020000000001E-2</v>
      </c>
      <c r="BU116" s="603">
        <v>1.2165047E-3</v>
      </c>
      <c r="BV116" s="603">
        <v>4.6681509999999997E-3</v>
      </c>
      <c r="BW116" s="603">
        <v>0.15635784</v>
      </c>
      <c r="BX116" s="593"/>
      <c r="BY116"/>
      <c r="BZ116"/>
      <c r="CA116"/>
      <c r="CB116"/>
      <c r="CC116"/>
      <c r="CD116"/>
      <c r="CE116"/>
      <c r="CF116"/>
      <c r="CG116"/>
      <c r="CH116"/>
      <c r="CI116"/>
    </row>
    <row r="117" spans="1:87" s="36" customFormat="1" ht="15.6">
      <c r="A117" s="163"/>
      <c r="B117" s="163">
        <v>6</v>
      </c>
      <c r="C117" s="163" t="s">
        <v>288</v>
      </c>
      <c r="D117" s="163">
        <v>3.72</v>
      </c>
      <c r="E117" s="167">
        <v>3.2160500000000001</v>
      </c>
      <c r="F117" s="163" t="s">
        <v>289</v>
      </c>
      <c r="G117" s="168">
        <v>1.0544800000000001</v>
      </c>
      <c r="H117" s="168">
        <v>3.3755799999999998</v>
      </c>
      <c r="I117" s="167">
        <v>2500</v>
      </c>
      <c r="J117" s="168">
        <v>0.25</v>
      </c>
      <c r="K117" s="167">
        <v>6</v>
      </c>
      <c r="L117" s="163">
        <v>2448940</v>
      </c>
      <c r="M117" s="169">
        <f t="shared" si="8"/>
        <v>1.0496043282909158</v>
      </c>
      <c r="N117" s="163">
        <v>0.11833177624829808</v>
      </c>
      <c r="O117" s="163">
        <v>1.1858879182559415E-9</v>
      </c>
      <c r="P117" s="163">
        <v>1.0021719912051077E-8</v>
      </c>
      <c r="Q117" s="163">
        <v>0.38</v>
      </c>
      <c r="R117" s="163">
        <v>0.18</v>
      </c>
      <c r="S117" s="163">
        <v>4.2691965057213891E-10</v>
      </c>
      <c r="T117" s="163">
        <v>3.6078191683383876E-9</v>
      </c>
      <c r="U117" s="163">
        <v>2</v>
      </c>
      <c r="V117" s="163" t="s">
        <v>290</v>
      </c>
      <c r="W117" s="163" t="s">
        <v>270</v>
      </c>
      <c r="X117" s="164"/>
      <c r="Y117" s="167">
        <v>12.913</v>
      </c>
      <c r="Z117" s="170">
        <v>1.54</v>
      </c>
      <c r="AA117" s="171">
        <v>0.76413223528913476</v>
      </c>
      <c r="AB117" s="69"/>
      <c r="AC117" s="69"/>
      <c r="AD117" s="73"/>
      <c r="AE117" s="69"/>
      <c r="AF117" s="50"/>
      <c r="AJ117" s="155"/>
      <c r="AK117" s="69"/>
      <c r="AL117" s="66"/>
      <c r="AM117" s="69"/>
      <c r="AN117" s="69"/>
      <c r="AR117" s="60"/>
      <c r="AS117" s="69"/>
      <c r="AT117" s="69"/>
      <c r="AU117" s="73"/>
      <c r="BD117"/>
      <c r="BE117" s="66"/>
      <c r="BF117"/>
      <c r="BG117" s="122">
        <v>3.2</v>
      </c>
      <c r="BH117" s="119">
        <v>0.222801</v>
      </c>
      <c r="BI117" s="120">
        <v>4.7216962000000002E-12</v>
      </c>
      <c r="BJ117" s="616">
        <v>6E-9</v>
      </c>
      <c r="BK117" s="617">
        <v>5.1539613999999997E-2</v>
      </c>
      <c r="BL117" s="121">
        <v>1.4025865000000001E-3</v>
      </c>
      <c r="BM117" s="121">
        <v>4.7942108000000004E-3</v>
      </c>
      <c r="BN117" s="121">
        <v>0.18240010000000001</v>
      </c>
      <c r="BO117" s="139"/>
      <c r="BP117" s="601">
        <v>3.2</v>
      </c>
      <c r="BQ117" s="215">
        <v>0.222801</v>
      </c>
      <c r="BR117" s="602">
        <v>4.7216962000000002E-12</v>
      </c>
      <c r="BS117" s="598">
        <v>2.8940102977677469E-9</v>
      </c>
      <c r="BT117" s="619">
        <v>5.1539613999999997E-2</v>
      </c>
      <c r="BU117" s="603">
        <v>1.4025865000000001E-3</v>
      </c>
      <c r="BV117" s="603">
        <v>4.7942108000000004E-3</v>
      </c>
      <c r="BW117" s="603">
        <v>0.18240010000000001</v>
      </c>
      <c r="BX117" s="593"/>
      <c r="BY117"/>
      <c r="BZ117"/>
      <c r="CA117"/>
      <c r="CB117"/>
      <c r="CC117"/>
      <c r="CD117"/>
      <c r="CE117"/>
      <c r="CF117"/>
      <c r="CG117"/>
      <c r="CH117"/>
      <c r="CI117" s="113"/>
    </row>
    <row r="118" spans="1:87" s="36" customFormat="1" ht="15.6">
      <c r="A118" s="163">
        <v>0.21</v>
      </c>
      <c r="B118" s="163">
        <v>7</v>
      </c>
      <c r="C118" s="163" t="s">
        <v>291</v>
      </c>
      <c r="D118" s="163">
        <v>5.03</v>
      </c>
      <c r="E118" s="167">
        <v>14.0627</v>
      </c>
      <c r="F118" s="163" t="s">
        <v>292</v>
      </c>
      <c r="G118" s="168">
        <v>2.54589</v>
      </c>
      <c r="H118" s="168">
        <v>2.1014900000000001</v>
      </c>
      <c r="I118" s="167">
        <v>1078</v>
      </c>
      <c r="J118" s="168">
        <v>3.2000000000000001E-2</v>
      </c>
      <c r="K118" s="167">
        <v>334</v>
      </c>
      <c r="L118" s="163">
        <v>2451917</v>
      </c>
      <c r="M118" s="169">
        <f t="shared" si="8"/>
        <v>0.14943716356034048</v>
      </c>
      <c r="N118" s="163">
        <v>3.5407998945481502E-2</v>
      </c>
      <c r="O118" s="163">
        <v>9.1555786800177609E-10</v>
      </c>
      <c r="P118" s="163">
        <v>2.5857373906147063E-8</v>
      </c>
      <c r="Q118" s="163">
        <v>0.35</v>
      </c>
      <c r="R118" s="163">
        <v>0.16</v>
      </c>
      <c r="S118" s="163">
        <v>2.9297851776056832E-10</v>
      </c>
      <c r="T118" s="163">
        <v>8.2743596499670599E-9</v>
      </c>
      <c r="U118" s="163">
        <v>27</v>
      </c>
      <c r="V118" s="163" t="s">
        <v>293</v>
      </c>
      <c r="W118" s="163" t="s">
        <v>294</v>
      </c>
      <c r="X118" s="164"/>
      <c r="Y118" s="167">
        <v>12.989000000000001</v>
      </c>
      <c r="Z118" s="170">
        <v>1.19</v>
      </c>
      <c r="AA118" s="171">
        <v>0.99469708725703954</v>
      </c>
      <c r="AB118" s="69"/>
      <c r="AC118" s="69"/>
      <c r="AD118" s="73"/>
      <c r="AE118" s="69"/>
      <c r="AF118" s="50"/>
      <c r="AJ118" s="155"/>
      <c r="AK118" s="69"/>
      <c r="AL118" s="66"/>
      <c r="AM118" s="69"/>
      <c r="AN118" s="69"/>
      <c r="AR118" s="60"/>
      <c r="AS118" s="69"/>
      <c r="AT118" s="69"/>
      <c r="AU118" s="73"/>
      <c r="BD118"/>
      <c r="BE118" s="66"/>
      <c r="BF118"/>
      <c r="BG118" s="122">
        <v>3.4</v>
      </c>
      <c r="BH118" s="119">
        <v>0.23672599999999999</v>
      </c>
      <c r="BI118" s="120">
        <v>5.0607030000000002E-12</v>
      </c>
      <c r="BJ118" s="616">
        <v>6E-9</v>
      </c>
      <c r="BK118" s="617">
        <v>5.8143052000000001E-2</v>
      </c>
      <c r="BL118" s="121">
        <v>1.5205151999999999E-3</v>
      </c>
      <c r="BM118" s="121">
        <v>4.9754214E-3</v>
      </c>
      <c r="BN118" s="121">
        <v>0.20576985</v>
      </c>
      <c r="BO118" s="139"/>
      <c r="BP118" s="601">
        <v>3.4</v>
      </c>
      <c r="BQ118" s="215">
        <v>0.23672599999999999</v>
      </c>
      <c r="BR118" s="602">
        <v>5.0607030000000002E-12</v>
      </c>
      <c r="BS118" s="598">
        <v>2.8612234352629453E-9</v>
      </c>
      <c r="BT118" s="619">
        <v>5.8143052000000001E-2</v>
      </c>
      <c r="BU118" s="603">
        <v>1.5205151999999999E-3</v>
      </c>
      <c r="BV118" s="603">
        <v>4.9754214E-3</v>
      </c>
      <c r="BW118" s="603">
        <v>0.20576985</v>
      </c>
      <c r="BX118" s="593"/>
      <c r="BY118"/>
      <c r="BZ118"/>
      <c r="CA118"/>
      <c r="CB118"/>
      <c r="CC118"/>
      <c r="CD118"/>
      <c r="CE118"/>
      <c r="CF118"/>
      <c r="CG118"/>
      <c r="CH118"/>
      <c r="CI118"/>
    </row>
    <row r="119" spans="1:87" s="36" customFormat="1" ht="15.6">
      <c r="A119" s="163"/>
      <c r="B119" s="163">
        <v>8</v>
      </c>
      <c r="C119" s="163" t="s">
        <v>295</v>
      </c>
      <c r="D119" s="163">
        <v>5.52</v>
      </c>
      <c r="E119" s="167">
        <v>17.433800000000002</v>
      </c>
      <c r="F119" s="163" t="s">
        <v>284</v>
      </c>
      <c r="G119" s="168">
        <v>0.925037</v>
      </c>
      <c r="H119" s="168">
        <v>2.0217499999999999</v>
      </c>
      <c r="I119" s="167">
        <v>1003</v>
      </c>
      <c r="J119" s="168">
        <v>0.16</v>
      </c>
      <c r="K119" s="167">
        <v>336</v>
      </c>
      <c r="L119" s="163">
        <v>2450960</v>
      </c>
      <c r="M119" s="169">
        <f t="shared" si="8"/>
        <v>0.11596725900262707</v>
      </c>
      <c r="N119" s="163">
        <v>2.2547655132794855E-2</v>
      </c>
      <c r="O119" s="163">
        <v>6.2992022285069453E-10</v>
      </c>
      <c r="P119" s="163">
        <v>2.7937283018600696E-8</v>
      </c>
      <c r="Q119" s="163">
        <v>0.48</v>
      </c>
      <c r="R119" s="163">
        <v>0.22</v>
      </c>
      <c r="S119" s="163">
        <v>2.7716489805430562E-10</v>
      </c>
      <c r="T119" s="163">
        <v>1.2292404528184308E-8</v>
      </c>
      <c r="U119" s="163">
        <v>36</v>
      </c>
      <c r="V119" s="163" t="s">
        <v>296</v>
      </c>
      <c r="W119" s="163" t="s">
        <v>286</v>
      </c>
      <c r="X119" s="164"/>
      <c r="Y119" s="167">
        <v>12.829000000000001</v>
      </c>
      <c r="Z119" s="170">
        <v>1.24</v>
      </c>
      <c r="AA119" s="171">
        <v>0.9428296045525163</v>
      </c>
      <c r="AB119" s="69"/>
      <c r="AC119" s="69"/>
      <c r="AD119" s="73"/>
      <c r="AE119" s="69"/>
      <c r="AF119" s="50"/>
      <c r="AJ119" s="155"/>
      <c r="AK119" s="69"/>
      <c r="AL119" s="66"/>
      <c r="AM119" s="69"/>
      <c r="AN119" s="69"/>
      <c r="AR119" s="60"/>
      <c r="AS119" s="69"/>
      <c r="AT119" s="69"/>
      <c r="AU119" s="73"/>
      <c r="BD119"/>
      <c r="BE119" s="66"/>
      <c r="BF119"/>
      <c r="BG119" s="122">
        <v>3.6</v>
      </c>
      <c r="BH119" s="119">
        <v>0.25065100000000001</v>
      </c>
      <c r="BI119" s="120">
        <v>3.5196561000000001E-12</v>
      </c>
      <c r="BJ119" s="616">
        <v>6E-9</v>
      </c>
      <c r="BK119" s="617">
        <v>6.2181743999999997E-2</v>
      </c>
      <c r="BL119" s="121">
        <v>1.5961043E-3</v>
      </c>
      <c r="BM119" s="121">
        <v>5.0345119999999997E-3</v>
      </c>
      <c r="BN119" s="121">
        <v>0.22006289000000001</v>
      </c>
      <c r="BO119" s="139"/>
      <c r="BP119" s="601">
        <v>3.6</v>
      </c>
      <c r="BQ119" s="215">
        <v>0.25065100000000001</v>
      </c>
      <c r="BR119" s="602">
        <v>3.5196561000000001E-12</v>
      </c>
      <c r="BS119" s="598">
        <v>1.8957044979955174E-9</v>
      </c>
      <c r="BT119" s="619">
        <v>6.2181743999999997E-2</v>
      </c>
      <c r="BU119" s="603">
        <v>1.5961043E-3</v>
      </c>
      <c r="BV119" s="603">
        <v>5.0345119999999997E-3</v>
      </c>
      <c r="BW119" s="603">
        <v>0.22006289000000001</v>
      </c>
      <c r="BX119" s="593"/>
      <c r="BY119"/>
      <c r="BZ119"/>
      <c r="CA119"/>
      <c r="CB119"/>
      <c r="CC119"/>
      <c r="CD119"/>
      <c r="CE119"/>
      <c r="CF119"/>
      <c r="CG119"/>
      <c r="CH119"/>
      <c r="CI119"/>
    </row>
    <row r="120" spans="1:87" s="36" customFormat="1" ht="15.6">
      <c r="A120" s="163"/>
      <c r="B120" s="163">
        <v>9</v>
      </c>
      <c r="C120" s="163" t="s">
        <v>297</v>
      </c>
      <c r="D120" s="163">
        <v>5.03</v>
      </c>
      <c r="E120" s="167">
        <v>14.0627</v>
      </c>
      <c r="F120" s="163" t="s">
        <v>292</v>
      </c>
      <c r="G120" s="168">
        <v>0.54577399999999998</v>
      </c>
      <c r="H120" s="168">
        <v>3.5719699999999999</v>
      </c>
      <c r="I120" s="167">
        <v>2391</v>
      </c>
      <c r="J120" s="168">
        <v>9.8000000000000004E-2</v>
      </c>
      <c r="K120" s="167">
        <v>295</v>
      </c>
      <c r="L120" s="163">
        <v>2452441</v>
      </c>
      <c r="M120" s="169">
        <f t="shared" si="8"/>
        <v>0.2540031430664097</v>
      </c>
      <c r="N120" s="163">
        <v>3.5407998945481502E-2</v>
      </c>
      <c r="O120" s="163">
        <v>3.1690190452514649E-10</v>
      </c>
      <c r="P120" s="163">
        <v>8.9500088670101779E-9</v>
      </c>
      <c r="Q120" s="163">
        <v>0.63</v>
      </c>
      <c r="R120" s="163">
        <v>0.28000000000000003</v>
      </c>
      <c r="S120" s="163">
        <v>1.7746506653408203E-10</v>
      </c>
      <c r="T120" s="163">
        <v>5.0120049655256999E-9</v>
      </c>
      <c r="U120" s="163">
        <v>14</v>
      </c>
      <c r="V120" s="163" t="s">
        <v>293</v>
      </c>
      <c r="W120" s="163" t="s">
        <v>294</v>
      </c>
      <c r="X120" s="164"/>
      <c r="Y120" s="167">
        <v>12.659000000000001</v>
      </c>
      <c r="Z120" s="170">
        <v>1.27</v>
      </c>
      <c r="AA120" s="171">
        <v>0.90835951491530798</v>
      </c>
      <c r="AB120" s="69"/>
      <c r="AC120" s="69"/>
      <c r="AD120" s="73"/>
      <c r="AE120" s="69"/>
      <c r="AF120" s="50"/>
      <c r="AJ120" s="155"/>
      <c r="AK120" s="69"/>
      <c r="AL120" s="66"/>
      <c r="AM120" s="69"/>
      <c r="AN120" s="69"/>
      <c r="AR120" s="60"/>
      <c r="AS120" s="69"/>
      <c r="AT120" s="69"/>
      <c r="AU120" s="73"/>
      <c r="BD120"/>
      <c r="BE120" s="66"/>
      <c r="BF120"/>
      <c r="BG120" s="122">
        <v>3.8</v>
      </c>
      <c r="BH120" s="119">
        <v>0.26457599999999998</v>
      </c>
      <c r="BI120" s="120">
        <v>3.3005912000000001E-12</v>
      </c>
      <c r="BJ120" s="616">
        <v>6E-9</v>
      </c>
      <c r="BK120" s="617">
        <v>6.5714702E-2</v>
      </c>
      <c r="BL120" s="121">
        <v>1.6612665E-3</v>
      </c>
      <c r="BM120" s="121">
        <v>5.0905721999999999E-3</v>
      </c>
      <c r="BN120" s="121">
        <v>0.23256613000000001</v>
      </c>
      <c r="BO120" s="139"/>
      <c r="BP120" s="601">
        <v>3.8</v>
      </c>
      <c r="BQ120" s="215">
        <v>0.26457599999999998</v>
      </c>
      <c r="BR120" s="602">
        <v>3.3005912000000001E-12</v>
      </c>
      <c r="BS120" s="598">
        <v>1.7079852698511913E-9</v>
      </c>
      <c r="BT120" s="619">
        <v>6.5714702E-2</v>
      </c>
      <c r="BU120" s="603">
        <v>1.6612665E-3</v>
      </c>
      <c r="BV120" s="603">
        <v>5.0905721999999999E-3</v>
      </c>
      <c r="BW120" s="603">
        <v>0.23256613000000001</v>
      </c>
      <c r="BX120" s="593"/>
      <c r="BY120"/>
      <c r="BZ120"/>
      <c r="CA120"/>
      <c r="CB120"/>
      <c r="CC120"/>
      <c r="CD120"/>
      <c r="CE120"/>
      <c r="CF120"/>
      <c r="CG120"/>
      <c r="CH120"/>
      <c r="CI120"/>
    </row>
    <row r="121" spans="1:87" s="36" customFormat="1" ht="15.6">
      <c r="A121" s="163"/>
      <c r="B121" s="163">
        <v>10</v>
      </c>
      <c r="C121" s="163" t="s">
        <v>298</v>
      </c>
      <c r="D121" s="163">
        <v>5.65</v>
      </c>
      <c r="E121" s="167">
        <v>18.315000000000001</v>
      </c>
      <c r="F121" s="163" t="s">
        <v>299</v>
      </c>
      <c r="G121" s="168">
        <v>10.087999999999999</v>
      </c>
      <c r="H121" s="168">
        <v>3.3465099999999999</v>
      </c>
      <c r="I121" s="167">
        <v>2151</v>
      </c>
      <c r="J121" s="168">
        <v>0.64049999999999996</v>
      </c>
      <c r="K121" s="167">
        <v>330.24</v>
      </c>
      <c r="L121" s="163">
        <v>2447820</v>
      </c>
      <c r="M121" s="169">
        <f t="shared" si="8"/>
        <v>0.18271962871962871</v>
      </c>
      <c r="N121" s="163">
        <v>2.0003287808417522E-2</v>
      </c>
      <c r="O121" s="163">
        <v>2.0396525865324406E-10</v>
      </c>
      <c r="P121" s="163">
        <v>1.0196586711481203E-8</v>
      </c>
      <c r="Q121" s="163">
        <v>0.12</v>
      </c>
      <c r="R121" s="163">
        <v>0.05</v>
      </c>
      <c r="S121" s="163">
        <v>2.0396525865324408E-11</v>
      </c>
      <c r="T121" s="163">
        <v>1.0196586711481203E-9</v>
      </c>
      <c r="U121" s="163">
        <v>23</v>
      </c>
      <c r="V121" s="163" t="s">
        <v>300</v>
      </c>
      <c r="W121" s="163" t="s">
        <v>294</v>
      </c>
      <c r="X121" s="164"/>
      <c r="Y121" s="167">
        <v>12.747999999999999</v>
      </c>
      <c r="Z121" s="170">
        <v>1.1100000000000001</v>
      </c>
      <c r="AA121" s="171">
        <v>1.046601051710405</v>
      </c>
      <c r="AB121" s="69"/>
      <c r="AC121" s="69"/>
      <c r="AD121" s="73"/>
      <c r="AE121" s="69"/>
      <c r="AF121" s="50"/>
      <c r="AJ121" s="155"/>
      <c r="AK121" s="69"/>
      <c r="AL121" s="66"/>
      <c r="AM121" s="69"/>
      <c r="AN121" s="69"/>
      <c r="AR121" s="60"/>
      <c r="AS121" s="69"/>
      <c r="AT121" s="69"/>
      <c r="AU121" s="73"/>
      <c r="BD121"/>
      <c r="BE121" s="66"/>
      <c r="BF121"/>
      <c r="BG121" s="122">
        <v>4</v>
      </c>
      <c r="BH121" s="119">
        <v>0.278501</v>
      </c>
      <c r="BI121" s="120">
        <v>2.9093909000000001E-12</v>
      </c>
      <c r="BJ121" s="616">
        <v>4.0000000000000002E-9</v>
      </c>
      <c r="BK121" s="617">
        <v>6.8741936000000003E-2</v>
      </c>
      <c r="BL121" s="121">
        <v>1.7160019000000001E-3</v>
      </c>
      <c r="BM121" s="121">
        <v>5.1436023000000003E-3</v>
      </c>
      <c r="BN121" s="121">
        <v>0.24327958999999999</v>
      </c>
      <c r="BO121" s="139"/>
      <c r="BP121" s="601">
        <v>4</v>
      </c>
      <c r="BQ121" s="215">
        <v>0.278501</v>
      </c>
      <c r="BR121" s="602">
        <v>2.9093909000000001E-12</v>
      </c>
      <c r="BS121" s="598">
        <v>1.4575250148254062E-9</v>
      </c>
      <c r="BT121" s="619">
        <v>6.8741936000000003E-2</v>
      </c>
      <c r="BU121" s="603">
        <v>1.7160019000000001E-3</v>
      </c>
      <c r="BV121" s="603">
        <v>5.1436023000000003E-3</v>
      </c>
      <c r="BW121" s="603">
        <v>0.24327958999999999</v>
      </c>
      <c r="BX121" s="593"/>
      <c r="BY121"/>
      <c r="BZ121"/>
      <c r="CA121"/>
      <c r="CB121"/>
      <c r="CC121"/>
      <c r="CD121"/>
      <c r="CE121"/>
      <c r="CF121"/>
      <c r="CG121"/>
      <c r="CH121"/>
      <c r="CI121"/>
    </row>
    <row r="122" spans="1:87" s="36" customFormat="1" ht="15.6">
      <c r="A122" s="163"/>
      <c r="B122" s="163">
        <v>11</v>
      </c>
      <c r="C122" s="163" t="s">
        <v>301</v>
      </c>
      <c r="D122" s="163">
        <v>4.8499999999999996</v>
      </c>
      <c r="E122" s="167">
        <v>20.669699999999999</v>
      </c>
      <c r="F122" s="163" t="s">
        <v>302</v>
      </c>
      <c r="G122" s="168">
        <v>0.50603900000000002</v>
      </c>
      <c r="H122" s="168">
        <v>5.3109000000000002</v>
      </c>
      <c r="I122" s="167">
        <v>3827</v>
      </c>
      <c r="J122" s="168">
        <v>0.25</v>
      </c>
      <c r="K122" s="167">
        <v>244</v>
      </c>
      <c r="L122" s="163">
        <v>2455550.2999999998</v>
      </c>
      <c r="M122" s="169">
        <f t="shared" si="8"/>
        <v>0.25694131990304653</v>
      </c>
      <c r="N122" s="163">
        <v>4.1792791822486526E-2</v>
      </c>
      <c r="O122" s="163">
        <v>1.6920149909749235E-10</v>
      </c>
      <c r="P122" s="163">
        <v>4.0485809087885301E-9</v>
      </c>
      <c r="Q122" s="163">
        <v>0.45</v>
      </c>
      <c r="R122" s="163">
        <v>0.2</v>
      </c>
      <c r="S122" s="163">
        <v>6.7680599638996942E-11</v>
      </c>
      <c r="T122" s="163">
        <v>1.6194323635154122E-9</v>
      </c>
      <c r="U122" s="163">
        <v>999</v>
      </c>
      <c r="V122" s="163" t="s">
        <v>303</v>
      </c>
      <c r="W122" s="163" t="s">
        <v>278</v>
      </c>
      <c r="X122" s="164"/>
      <c r="Y122" s="167">
        <v>12</v>
      </c>
      <c r="Z122" s="170">
        <v>1.28</v>
      </c>
      <c r="AA122" s="171">
        <v>0.85434516742715738</v>
      </c>
      <c r="AB122" s="69"/>
      <c r="AC122" s="69"/>
      <c r="AD122" s="73"/>
      <c r="AE122" s="69"/>
      <c r="AF122" s="50"/>
      <c r="AJ122" s="155"/>
      <c r="AK122" s="69"/>
      <c r="AL122" s="66"/>
      <c r="AM122" s="69"/>
      <c r="AN122" s="69"/>
      <c r="AR122" s="60"/>
      <c r="AS122" s="69"/>
      <c r="AT122" s="69"/>
      <c r="AU122" s="73"/>
      <c r="BD122"/>
      <c r="BE122" s="66"/>
      <c r="BF122"/>
      <c r="BG122" s="122">
        <v>4.2</v>
      </c>
      <c r="BH122" s="119">
        <v>0.29242600000000002</v>
      </c>
      <c r="BI122" s="120">
        <v>2.41178E-12</v>
      </c>
      <c r="BJ122" s="616">
        <v>4.0000000000000002E-9</v>
      </c>
      <c r="BK122" s="617">
        <v>7.1263439999999997E-2</v>
      </c>
      <c r="BL122" s="121">
        <v>1.7603104999999999E-3</v>
      </c>
      <c r="BM122" s="121">
        <v>5.1936020999999999E-3</v>
      </c>
      <c r="BN122" s="121">
        <v>0.25220326999999998</v>
      </c>
      <c r="BO122" s="139"/>
      <c r="BP122" s="601">
        <v>4.2</v>
      </c>
      <c r="BQ122" s="215">
        <v>0.29242600000000002</v>
      </c>
      <c r="BR122" s="602">
        <v>2.41178E-12</v>
      </c>
      <c r="BS122" s="598">
        <v>1.1778232617299773E-9</v>
      </c>
      <c r="BT122" s="619">
        <v>7.1263439999999997E-2</v>
      </c>
      <c r="BU122" s="603">
        <v>1.7603104999999999E-3</v>
      </c>
      <c r="BV122" s="603">
        <v>5.1936020999999999E-3</v>
      </c>
      <c r="BW122" s="603">
        <v>0.25220326999999998</v>
      </c>
      <c r="BX122" s="593"/>
      <c r="BY122"/>
      <c r="BZ122"/>
      <c r="CA122"/>
      <c r="CB122"/>
      <c r="CC122"/>
      <c r="CD122"/>
      <c r="CE122"/>
      <c r="CF122"/>
      <c r="CG122"/>
      <c r="CH122"/>
      <c r="CI122"/>
    </row>
    <row r="123" spans="1:87" s="36" customFormat="1" ht="15.6">
      <c r="A123" s="163"/>
      <c r="B123" s="163">
        <v>12</v>
      </c>
      <c r="C123" s="163" t="s">
        <v>304</v>
      </c>
      <c r="D123" s="163">
        <v>7.48</v>
      </c>
      <c r="E123" s="167">
        <v>16.5016</v>
      </c>
      <c r="F123" s="163" t="s">
        <v>305</v>
      </c>
      <c r="G123" s="168">
        <v>3.2484799999999998</v>
      </c>
      <c r="H123" s="168">
        <v>1.74533</v>
      </c>
      <c r="I123" s="167">
        <v>923.8</v>
      </c>
      <c r="J123" s="168">
        <v>0.23</v>
      </c>
      <c r="K123" s="167">
        <v>28</v>
      </c>
      <c r="L123" s="163">
        <v>2456987</v>
      </c>
      <c r="M123" s="169">
        <f t="shared" si="8"/>
        <v>0.10576731953265138</v>
      </c>
      <c r="N123" s="163">
        <v>3.7076726525169844E-3</v>
      </c>
      <c r="O123" s="163">
        <v>1.3899057360032136E-10</v>
      </c>
      <c r="P123" s="163">
        <v>3.748728289320969E-8</v>
      </c>
      <c r="Q123" s="163">
        <v>0.45</v>
      </c>
      <c r="R123" s="163">
        <v>0.2</v>
      </c>
      <c r="S123" s="163">
        <v>5.5596229440128537E-11</v>
      </c>
      <c r="T123" s="163">
        <v>1.4994913157283875E-8</v>
      </c>
      <c r="U123" s="163">
        <v>40</v>
      </c>
      <c r="V123" s="163" t="s">
        <v>306</v>
      </c>
      <c r="W123" s="163" t="s">
        <v>307</v>
      </c>
      <c r="X123" s="164"/>
      <c r="Y123" s="167">
        <v>13.061999999999999</v>
      </c>
      <c r="Z123" s="170">
        <v>1.18</v>
      </c>
      <c r="AA123" s="171">
        <v>1.0087644363329744</v>
      </c>
      <c r="AB123" s="69"/>
      <c r="AC123" s="69"/>
      <c r="AD123" s="73"/>
      <c r="AE123" s="69"/>
      <c r="AF123" s="50"/>
      <c r="AJ123" s="155"/>
      <c r="AK123" s="69"/>
      <c r="AL123" s="66"/>
      <c r="AM123" s="69"/>
      <c r="AN123" s="69"/>
      <c r="AR123" s="60"/>
      <c r="AS123" s="69"/>
      <c r="AT123" s="69"/>
      <c r="AU123" s="73"/>
      <c r="BD123"/>
      <c r="BE123" s="66"/>
      <c r="BF123"/>
      <c r="BG123" s="122">
        <v>4.4000000000000004</v>
      </c>
      <c r="BH123" s="119">
        <v>0.30635099999999998</v>
      </c>
      <c r="BI123" s="120">
        <v>1.9626469999999998E-12</v>
      </c>
      <c r="BJ123" s="616">
        <v>4.0000000000000002E-9</v>
      </c>
      <c r="BK123" s="617">
        <v>7.3279211999999996E-2</v>
      </c>
      <c r="BL123" s="121">
        <v>1.7941921E-3</v>
      </c>
      <c r="BM123" s="121">
        <v>5.2405715E-3</v>
      </c>
      <c r="BN123" s="121">
        <v>0.25933713000000003</v>
      </c>
      <c r="BO123" s="139"/>
      <c r="BP123" s="601">
        <v>4.4000000000000004</v>
      </c>
      <c r="BQ123" s="215">
        <v>0.30635099999999998</v>
      </c>
      <c r="BR123" s="602">
        <v>1.9626469999999998E-12</v>
      </c>
      <c r="BS123" s="598">
        <v>9.4038339434319744E-10</v>
      </c>
      <c r="BT123" s="619">
        <v>7.3279211999999996E-2</v>
      </c>
      <c r="BU123" s="603">
        <v>1.7941921E-3</v>
      </c>
      <c r="BV123" s="603">
        <v>5.2405715E-3</v>
      </c>
      <c r="BW123" s="603">
        <v>0.25933713000000003</v>
      </c>
      <c r="BX123" s="593"/>
      <c r="BY123"/>
      <c r="BZ123"/>
      <c r="CA123"/>
      <c r="CB123"/>
      <c r="CC123"/>
      <c r="CD123"/>
      <c r="CE123"/>
      <c r="CF123"/>
      <c r="CG123"/>
      <c r="CH123"/>
      <c r="CI123"/>
    </row>
    <row r="124" spans="1:87" s="36" customFormat="1" ht="15.6">
      <c r="A124" s="163"/>
      <c r="B124" s="163">
        <v>13</v>
      </c>
      <c r="C124" s="163" t="s">
        <v>308</v>
      </c>
      <c r="D124" s="163">
        <v>5.73</v>
      </c>
      <c r="E124" s="167">
        <v>15.857900000000001</v>
      </c>
      <c r="F124" s="163" t="s">
        <v>309</v>
      </c>
      <c r="G124" s="168">
        <v>1.53512</v>
      </c>
      <c r="H124" s="168">
        <v>3.9728500000000002</v>
      </c>
      <c r="I124" s="167">
        <v>2915.0369000000001</v>
      </c>
      <c r="J124" s="168">
        <v>0.31310500000000002</v>
      </c>
      <c r="K124" s="167">
        <v>12.9274</v>
      </c>
      <c r="L124" s="163">
        <v>2453541.662</v>
      </c>
      <c r="M124" s="169">
        <f t="shared" si="8"/>
        <v>0.25052812793623369</v>
      </c>
      <c r="N124" s="163">
        <v>1.858238199910477E-2</v>
      </c>
      <c r="O124" s="163">
        <v>1.344423572568976E-10</v>
      </c>
      <c r="P124" s="163">
        <v>7.2349366869852606E-9</v>
      </c>
      <c r="Q124" s="163">
        <v>0.62</v>
      </c>
      <c r="R124" s="163">
        <v>0.28000000000000003</v>
      </c>
      <c r="S124" s="163">
        <v>7.5287720063862668E-11</v>
      </c>
      <c r="T124" s="163">
        <v>4.0515645447117465E-9</v>
      </c>
      <c r="U124" s="163">
        <v>15</v>
      </c>
      <c r="V124" s="163" t="s">
        <v>310</v>
      </c>
      <c r="W124" s="163" t="s">
        <v>278</v>
      </c>
      <c r="X124" s="164"/>
      <c r="Y124" s="167">
        <v>12.909000000000001</v>
      </c>
      <c r="Z124" s="170">
        <v>1.21</v>
      </c>
      <c r="AA124" s="171">
        <v>0.97223067912437899</v>
      </c>
      <c r="AB124" s="69"/>
      <c r="AC124" s="69"/>
      <c r="AD124" s="73"/>
      <c r="AE124" s="69"/>
      <c r="AF124" s="50"/>
      <c r="AJ124" s="155"/>
      <c r="AK124" s="69"/>
      <c r="AL124" s="66"/>
      <c r="AM124" s="69"/>
      <c r="AN124" s="69"/>
      <c r="AR124" s="60"/>
      <c r="AS124" s="69"/>
      <c r="AT124" s="69"/>
      <c r="AU124" s="73"/>
      <c r="BD124"/>
      <c r="BE124" s="66"/>
      <c r="BF124"/>
      <c r="BG124" s="122">
        <v>4.5999999999999996</v>
      </c>
      <c r="BH124" s="119">
        <v>0.32027600000000001</v>
      </c>
      <c r="BI124" s="120">
        <v>2.0999273E-12</v>
      </c>
      <c r="BJ124" s="616">
        <v>4.0000000000000002E-9</v>
      </c>
      <c r="BK124" s="617">
        <v>7.4789253999999999E-2</v>
      </c>
      <c r="BL124" s="121">
        <v>1.8176468000000001E-3</v>
      </c>
      <c r="BM124" s="121">
        <v>5.2845106000000003E-3</v>
      </c>
      <c r="BN124" s="121">
        <v>0.26468121</v>
      </c>
      <c r="BO124" s="139"/>
      <c r="BP124" s="601">
        <v>4.5999999999999996</v>
      </c>
      <c r="BQ124" s="215">
        <v>0.32027600000000001</v>
      </c>
      <c r="BR124" s="602">
        <v>2.0999273E-12</v>
      </c>
      <c r="BS124" s="598">
        <v>9.9317657960240565E-10</v>
      </c>
      <c r="BT124" s="619">
        <v>7.4789253999999999E-2</v>
      </c>
      <c r="BU124" s="603">
        <v>1.8176468000000001E-3</v>
      </c>
      <c r="BV124" s="603">
        <v>5.2845106000000003E-3</v>
      </c>
      <c r="BW124" s="603">
        <v>0.26468121</v>
      </c>
      <c r="BX124" s="593"/>
      <c r="BY124"/>
      <c r="BZ124"/>
      <c r="CA124"/>
      <c r="CB124"/>
      <c r="CC124"/>
      <c r="CD124"/>
      <c r="CE124"/>
      <c r="CF124"/>
      <c r="CG124"/>
      <c r="CH124"/>
      <c r="CI124"/>
    </row>
    <row r="125" spans="1:87" s="36" customFormat="1" ht="15.6">
      <c r="A125" s="163"/>
      <c r="B125" s="163">
        <v>14</v>
      </c>
      <c r="C125" s="163" t="s">
        <v>311</v>
      </c>
      <c r="D125" s="163">
        <v>5.12</v>
      </c>
      <c r="E125" s="167">
        <v>15.511100000000001</v>
      </c>
      <c r="F125" s="163" t="s">
        <v>312</v>
      </c>
      <c r="G125" s="168">
        <v>1.88907</v>
      </c>
      <c r="H125" s="168">
        <v>5.3405699999999996</v>
      </c>
      <c r="I125" s="167">
        <v>4205.8</v>
      </c>
      <c r="J125" s="168">
        <v>9.8500000000000004E-2</v>
      </c>
      <c r="K125" s="167">
        <v>57.6</v>
      </c>
      <c r="L125" s="163">
        <v>2452955.2000000002</v>
      </c>
      <c r="M125" s="169">
        <f t="shared" si="8"/>
        <v>0.344306335462991</v>
      </c>
      <c r="N125" s="163">
        <v>3.2591277466005208E-2</v>
      </c>
      <c r="O125" s="163">
        <v>1.3048639443713231E-10</v>
      </c>
      <c r="P125" s="163">
        <v>4.0037213813799712E-9</v>
      </c>
      <c r="Q125" s="163">
        <v>0.63</v>
      </c>
      <c r="R125" s="163">
        <v>0.28000000000000003</v>
      </c>
      <c r="S125" s="163">
        <v>7.3072380884794095E-11</v>
      </c>
      <c r="T125" s="163">
        <v>2.242083973572784E-9</v>
      </c>
      <c r="U125" s="163">
        <v>9</v>
      </c>
      <c r="V125" s="163" t="s">
        <v>313</v>
      </c>
      <c r="W125" s="163" t="s">
        <v>278</v>
      </c>
      <c r="X125" s="164" t="s">
        <v>314</v>
      </c>
      <c r="Y125" s="167">
        <v>12.932</v>
      </c>
      <c r="Z125" s="170">
        <v>1.21</v>
      </c>
      <c r="AA125" s="171">
        <v>0.97396290513877681</v>
      </c>
      <c r="AB125" s="69"/>
      <c r="AC125" s="69"/>
      <c r="AD125" s="73"/>
      <c r="AE125" s="69"/>
      <c r="AF125" s="50"/>
      <c r="AJ125" s="155"/>
      <c r="AK125" s="69"/>
      <c r="AL125" s="66"/>
      <c r="AM125" s="69"/>
      <c r="AN125" s="69"/>
      <c r="AR125" s="60"/>
      <c r="AS125" s="69"/>
      <c r="AT125" s="69"/>
      <c r="AU125" s="73"/>
      <c r="BD125"/>
      <c r="BE125" s="66"/>
      <c r="BF125"/>
      <c r="BG125" s="122">
        <v>4.8</v>
      </c>
      <c r="BH125" s="119">
        <v>0.33420100000000003</v>
      </c>
      <c r="BI125" s="120">
        <v>2.6897384000000001E-12</v>
      </c>
      <c r="BJ125" s="616">
        <v>4.0000000000000002E-9</v>
      </c>
      <c r="BK125" s="617">
        <v>7.5793568000000006E-2</v>
      </c>
      <c r="BL125" s="121">
        <v>1.8306748000000001E-3</v>
      </c>
      <c r="BM125" s="121">
        <v>5.3254195000000002E-3</v>
      </c>
      <c r="BN125" s="121">
        <v>0.26823551000000001</v>
      </c>
      <c r="BO125" s="139"/>
      <c r="BP125" s="601">
        <v>4.8</v>
      </c>
      <c r="BQ125" s="215">
        <v>0.33420100000000003</v>
      </c>
      <c r="BR125" s="602">
        <v>2.6897384000000001E-12</v>
      </c>
      <c r="BS125" s="598">
        <v>1.2630791279929339E-9</v>
      </c>
      <c r="BT125" s="619">
        <v>7.5793568000000006E-2</v>
      </c>
      <c r="BU125" s="603">
        <v>1.8306748000000001E-3</v>
      </c>
      <c r="BV125" s="603">
        <v>5.3254195000000002E-3</v>
      </c>
      <c r="BW125" s="603">
        <v>0.26823551000000001</v>
      </c>
      <c r="BX125" s="593"/>
      <c r="BY125"/>
      <c r="BZ125"/>
      <c r="CA125"/>
      <c r="CB125"/>
      <c r="CC125"/>
      <c r="CD125"/>
      <c r="CE125"/>
      <c r="CF125"/>
      <c r="CG125"/>
      <c r="CH125"/>
      <c r="CI125"/>
    </row>
    <row r="126" spans="1:87" s="36" customFormat="1" ht="15.6">
      <c r="A126" s="163"/>
      <c r="B126" s="163">
        <v>15</v>
      </c>
      <c r="C126" s="163" t="s">
        <v>315</v>
      </c>
      <c r="D126" s="163">
        <v>6.61</v>
      </c>
      <c r="E126" s="167">
        <v>17.5716</v>
      </c>
      <c r="F126" s="163" t="s">
        <v>316</v>
      </c>
      <c r="G126" s="168">
        <v>5.2148599999999998</v>
      </c>
      <c r="H126" s="168">
        <v>2.9336199999999999</v>
      </c>
      <c r="I126" s="167">
        <v>1773.4</v>
      </c>
      <c r="J126" s="168">
        <v>0.36899999999999999</v>
      </c>
      <c r="K126" s="167">
        <v>22.6</v>
      </c>
      <c r="L126" s="163">
        <v>2451372.7000000002</v>
      </c>
      <c r="M126" s="169">
        <f t="shared" si="8"/>
        <v>0.16695235493637459</v>
      </c>
      <c r="N126" s="163">
        <v>8.262308060857107E-3</v>
      </c>
      <c r="O126" s="163">
        <v>1.0963083934142604E-10</v>
      </c>
      <c r="P126" s="163">
        <v>1.3268791061035948E-8</v>
      </c>
      <c r="Q126" s="163">
        <v>0.45</v>
      </c>
      <c r="R126" s="163">
        <v>0.2</v>
      </c>
      <c r="S126" s="163">
        <v>4.3852335736570421E-11</v>
      </c>
      <c r="T126" s="163">
        <v>5.3075164244143797E-9</v>
      </c>
      <c r="U126" s="163">
        <v>999</v>
      </c>
      <c r="V126" s="163" t="s">
        <v>317</v>
      </c>
      <c r="W126" s="163" t="s">
        <v>270</v>
      </c>
      <c r="X126" s="164"/>
      <c r="Y126" s="167">
        <v>12</v>
      </c>
      <c r="Z126" s="170">
        <v>1.1599999999999999</v>
      </c>
      <c r="AA126" s="171">
        <v>0.94272570198858741</v>
      </c>
      <c r="AB126" s="69"/>
      <c r="AC126" s="69"/>
      <c r="AD126" s="73"/>
      <c r="AE126" s="69"/>
      <c r="AF126" s="50"/>
      <c r="AJ126" s="155"/>
      <c r="AK126" s="69"/>
      <c r="AL126" s="66"/>
      <c r="AM126" s="69"/>
      <c r="AN126" s="69"/>
      <c r="AR126" s="60"/>
      <c r="AS126" s="69"/>
      <c r="AT126" s="69"/>
      <c r="AU126" s="73"/>
      <c r="BD126"/>
      <c r="BE126" s="66"/>
      <c r="BF126"/>
      <c r="BG126" s="122">
        <v>5</v>
      </c>
      <c r="BH126" s="119">
        <v>0.34812599999999999</v>
      </c>
      <c r="BI126" s="120">
        <v>3.3944247999999999E-12</v>
      </c>
      <c r="BJ126" s="616">
        <v>4.0000000000000002E-9</v>
      </c>
      <c r="BK126" s="617">
        <v>7.6292152000000002E-2</v>
      </c>
      <c r="BL126" s="121">
        <v>1.8332757999999999E-3</v>
      </c>
      <c r="BM126" s="121">
        <v>5.3632979999999999E-3</v>
      </c>
      <c r="BN126" s="121">
        <v>0.27000001000000001</v>
      </c>
      <c r="BO126" s="139"/>
      <c r="BP126" s="601">
        <v>5</v>
      </c>
      <c r="BQ126" s="215">
        <v>0.34812599999999999</v>
      </c>
      <c r="BR126" s="602">
        <v>3.3944247999999999E-12</v>
      </c>
      <c r="BS126" s="598">
        <v>1.5917325456485219E-9</v>
      </c>
      <c r="BT126" s="619">
        <v>7.6292152000000002E-2</v>
      </c>
      <c r="BU126" s="603">
        <v>1.8332757999999999E-3</v>
      </c>
      <c r="BV126" s="603">
        <v>5.3632979999999999E-3</v>
      </c>
      <c r="BW126" s="603">
        <v>0.27000001000000001</v>
      </c>
      <c r="BX126" s="593"/>
      <c r="BY126"/>
      <c r="BZ126"/>
      <c r="CA126"/>
      <c r="CB126"/>
      <c r="CC126"/>
      <c r="CD126"/>
      <c r="CE126"/>
      <c r="CF126"/>
      <c r="CG126"/>
      <c r="CH126"/>
      <c r="CI126"/>
    </row>
    <row r="127" spans="1:87" s="36" customFormat="1" ht="15.6">
      <c r="A127" s="163"/>
      <c r="B127" s="163">
        <v>16</v>
      </c>
      <c r="C127" s="163" t="s">
        <v>318</v>
      </c>
      <c r="D127" s="163">
        <v>7.02</v>
      </c>
      <c r="E127" s="167">
        <v>32.362499999999997</v>
      </c>
      <c r="F127" s="163" t="s">
        <v>299</v>
      </c>
      <c r="G127" s="168">
        <v>1.79148</v>
      </c>
      <c r="H127" s="168">
        <v>3.2660900000000002</v>
      </c>
      <c r="I127" s="167">
        <v>2166</v>
      </c>
      <c r="J127" s="168">
        <v>0.2</v>
      </c>
      <c r="K127" s="167">
        <v>4.9000000000000004</v>
      </c>
      <c r="L127" s="163">
        <v>2452346.4</v>
      </c>
      <c r="M127" s="169">
        <f t="shared" si="8"/>
        <v>0.10092205484743146</v>
      </c>
      <c r="N127" s="163">
        <v>5.6637148990424701E-3</v>
      </c>
      <c r="O127" s="163">
        <v>6.0629524023231198E-11</v>
      </c>
      <c r="P127" s="163">
        <v>1.0704903955084579E-8</v>
      </c>
      <c r="Q127" s="163">
        <v>0.64</v>
      </c>
      <c r="R127" s="163">
        <v>0.28999999999999998</v>
      </c>
      <c r="S127" s="163">
        <v>3.5165123933474092E-11</v>
      </c>
      <c r="T127" s="163">
        <v>6.2088442939490559E-9</v>
      </c>
      <c r="U127" s="163">
        <v>44</v>
      </c>
      <c r="V127" s="163" t="s">
        <v>319</v>
      </c>
      <c r="W127" s="163" t="s">
        <v>294</v>
      </c>
      <c r="X127" s="164"/>
      <c r="Y127" s="167">
        <v>12.945</v>
      </c>
      <c r="Z127" s="170">
        <v>1.21</v>
      </c>
      <c r="AA127" s="171">
        <v>0.9749419894077842</v>
      </c>
      <c r="AB127" s="69"/>
      <c r="AC127" s="69"/>
      <c r="AD127" s="73"/>
      <c r="AE127" s="69"/>
      <c r="AF127" s="50"/>
      <c r="AJ127" s="155"/>
      <c r="AK127" s="69"/>
      <c r="AL127" s="66"/>
      <c r="AM127" s="69"/>
      <c r="AN127" s="69"/>
      <c r="AR127" s="60"/>
      <c r="AS127" s="69"/>
      <c r="AT127" s="69"/>
      <c r="AU127" s="73"/>
      <c r="BD127"/>
      <c r="BE127" s="66"/>
      <c r="BF127"/>
      <c r="BG127" s="122">
        <v>5.2</v>
      </c>
      <c r="BH127" s="119">
        <v>0.36205100000000001</v>
      </c>
      <c r="BI127" s="120">
        <v>4.3269864999999999E-12</v>
      </c>
      <c r="BJ127" s="616">
        <v>4.0000000000000002E-9</v>
      </c>
      <c r="BK127" s="617">
        <v>7.6285006000000002E-2</v>
      </c>
      <c r="BL127" s="121">
        <v>1.8254499999999999E-3</v>
      </c>
      <c r="BM127" s="121">
        <v>5.3981463E-3</v>
      </c>
      <c r="BN127" s="121">
        <v>0.26997472</v>
      </c>
      <c r="BO127" s="139"/>
      <c r="BP127" s="601">
        <v>5.2</v>
      </c>
      <c r="BQ127" s="215">
        <v>0.36205100000000001</v>
      </c>
      <c r="BR127" s="602">
        <v>4.3269864999999999E-12</v>
      </c>
      <c r="BS127" s="598">
        <v>2.0377331331949047E-9</v>
      </c>
      <c r="BT127" s="619">
        <v>7.6285006000000002E-2</v>
      </c>
      <c r="BU127" s="603">
        <v>1.8254499999999999E-3</v>
      </c>
      <c r="BV127" s="603">
        <v>5.3981463E-3</v>
      </c>
      <c r="BW127" s="603">
        <v>0.26997472</v>
      </c>
      <c r="BX127" s="593"/>
      <c r="BY127"/>
      <c r="BZ127"/>
      <c r="CA127"/>
      <c r="CB127"/>
      <c r="CC127"/>
      <c r="CD127"/>
      <c r="CE127"/>
      <c r="CF127"/>
      <c r="CG127"/>
      <c r="CH127"/>
      <c r="CI127"/>
    </row>
    <row r="128" spans="1:87" s="36" customFormat="1" ht="15.6">
      <c r="A128" s="163"/>
      <c r="B128" s="163">
        <v>17</v>
      </c>
      <c r="C128" s="163" t="s">
        <v>320</v>
      </c>
      <c r="D128" s="163">
        <v>5.96</v>
      </c>
      <c r="E128" s="167">
        <v>12.341100000000001</v>
      </c>
      <c r="F128" s="163" t="s">
        <v>321</v>
      </c>
      <c r="G128" s="168">
        <v>3.5445099999999998</v>
      </c>
      <c r="H128" s="168">
        <v>5.4746699999999997</v>
      </c>
      <c r="I128" s="167">
        <v>4909</v>
      </c>
      <c r="J128" s="168">
        <v>0.02</v>
      </c>
      <c r="K128" s="167">
        <v>254</v>
      </c>
      <c r="L128" s="163">
        <v>2453490</v>
      </c>
      <c r="M128" s="169">
        <f t="shared" si="8"/>
        <v>0.44361280598974157</v>
      </c>
      <c r="N128" s="163">
        <v>1.5034929072441866E-2</v>
      </c>
      <c r="O128" s="163">
        <v>5.7282842768850964E-11</v>
      </c>
      <c r="P128" s="163">
        <v>3.8099842368958707E-9</v>
      </c>
      <c r="Q128" s="163">
        <v>0.63</v>
      </c>
      <c r="R128" s="163">
        <v>0.28000000000000003</v>
      </c>
      <c r="S128" s="163">
        <v>3.2078391950556542E-11</v>
      </c>
      <c r="T128" s="163">
        <v>2.1335911726616876E-9</v>
      </c>
      <c r="U128" s="163">
        <v>5</v>
      </c>
      <c r="V128" s="163" t="s">
        <v>322</v>
      </c>
      <c r="W128" s="163" t="s">
        <v>278</v>
      </c>
      <c r="X128" s="164"/>
      <c r="Y128" s="167">
        <v>13.129</v>
      </c>
      <c r="Z128" s="170">
        <v>1.1599999999999999</v>
      </c>
      <c r="AA128" s="171">
        <v>1.0314204784506804</v>
      </c>
      <c r="AB128" s="69"/>
      <c r="AC128" s="69"/>
      <c r="AD128" s="73"/>
      <c r="AE128" s="69"/>
      <c r="AF128" s="50"/>
      <c r="AJ128" s="155"/>
      <c r="AK128" s="69"/>
      <c r="AL128" s="66"/>
      <c r="AM128" s="69"/>
      <c r="AN128" s="69"/>
      <c r="AR128" s="60"/>
      <c r="AS128" s="69"/>
      <c r="AT128" s="69"/>
      <c r="AU128" s="73"/>
      <c r="BD128"/>
      <c r="BE128" s="66"/>
      <c r="BF128"/>
      <c r="BG128" s="122">
        <v>5.4</v>
      </c>
      <c r="BH128" s="119">
        <v>0.37597599999999998</v>
      </c>
      <c r="BI128" s="120">
        <v>4.0161170000000003E-12</v>
      </c>
      <c r="BJ128" s="616">
        <v>4.0000000000000002E-9</v>
      </c>
      <c r="BK128" s="617">
        <v>7.5772129999999993E-2</v>
      </c>
      <c r="BL128" s="121">
        <v>1.8071973000000001E-3</v>
      </c>
      <c r="BM128" s="121">
        <v>5.4299641999999999E-3</v>
      </c>
      <c r="BN128" s="121">
        <v>0.26815963999999998</v>
      </c>
      <c r="BO128" s="139"/>
      <c r="BP128" s="601">
        <v>5.4</v>
      </c>
      <c r="BQ128" s="215">
        <v>0.37597599999999998</v>
      </c>
      <c r="BR128" s="602">
        <v>4.0161170000000003E-12</v>
      </c>
      <c r="BS128" s="598">
        <v>1.9104359725072311E-9</v>
      </c>
      <c r="BT128" s="619">
        <v>7.5772129999999993E-2</v>
      </c>
      <c r="BU128" s="603">
        <v>1.8071973000000001E-3</v>
      </c>
      <c r="BV128" s="603">
        <v>5.4299641999999999E-3</v>
      </c>
      <c r="BW128" s="603">
        <v>0.26815963999999998</v>
      </c>
      <c r="BX128" s="593"/>
      <c r="BY128"/>
      <c r="BZ128"/>
      <c r="CA128"/>
      <c r="CB128"/>
      <c r="CC128"/>
      <c r="CD128"/>
      <c r="CE128"/>
      <c r="CF128"/>
      <c r="CG128"/>
      <c r="CH128"/>
      <c r="CI128"/>
    </row>
    <row r="129" spans="1:87" s="36" customFormat="1" ht="15.6">
      <c r="A129" s="163"/>
      <c r="B129" s="163">
        <v>18</v>
      </c>
      <c r="C129" s="163" t="s">
        <v>323</v>
      </c>
      <c r="D129" s="163">
        <v>7.17</v>
      </c>
      <c r="E129" s="167">
        <v>28.066199999999998</v>
      </c>
      <c r="F129" s="163" t="s">
        <v>324</v>
      </c>
      <c r="G129" s="168">
        <v>1.90944</v>
      </c>
      <c r="H129" s="168">
        <v>3.18072</v>
      </c>
      <c r="I129" s="167">
        <v>2068</v>
      </c>
      <c r="J129" s="168">
        <v>3.4000000000000002E-2</v>
      </c>
      <c r="K129" s="167">
        <v>205</v>
      </c>
      <c r="L129" s="163">
        <v>2451350</v>
      </c>
      <c r="M129" s="169">
        <f t="shared" si="8"/>
        <v>0.11332920024798512</v>
      </c>
      <c r="N129" s="163">
        <v>4.9328894609577687E-3</v>
      </c>
      <c r="O129" s="163">
        <v>5.5678762639342382E-11</v>
      </c>
      <c r="P129" s="163">
        <v>1.1287251230748602E-8</v>
      </c>
      <c r="Q129" s="163">
        <v>0.61</v>
      </c>
      <c r="R129" s="163">
        <v>0.27</v>
      </c>
      <c r="S129" s="163">
        <v>3.0066531825244887E-11</v>
      </c>
      <c r="T129" s="163">
        <v>6.0951156646042449E-9</v>
      </c>
      <c r="U129" s="163">
        <v>34</v>
      </c>
      <c r="V129" s="163" t="s">
        <v>325</v>
      </c>
      <c r="W129" s="163" t="s">
        <v>278</v>
      </c>
      <c r="X129" s="164"/>
      <c r="Y129" s="167">
        <v>12.945</v>
      </c>
      <c r="Z129" s="170">
        <v>1.21</v>
      </c>
      <c r="AA129" s="171">
        <v>0.9749419894077842</v>
      </c>
      <c r="AB129" s="69"/>
      <c r="AC129" s="69"/>
      <c r="AD129" s="73"/>
      <c r="AE129" s="69"/>
      <c r="AF129" s="50"/>
      <c r="AJ129" s="155"/>
      <c r="AK129" s="69"/>
      <c r="AL129" s="66"/>
      <c r="AM129" s="69"/>
      <c r="AN129" s="69"/>
      <c r="AR129" s="60"/>
      <c r="AS129" s="69"/>
      <c r="AT129" s="69"/>
      <c r="AU129" s="73"/>
      <c r="BD129"/>
      <c r="BE129" s="66"/>
      <c r="BF129"/>
      <c r="BG129" s="122">
        <v>5.6</v>
      </c>
      <c r="BH129" s="119">
        <v>0.389901</v>
      </c>
      <c r="BI129" s="120">
        <v>4.1078711999999998E-12</v>
      </c>
      <c r="BJ129" s="616">
        <v>4.0000000000000002E-9</v>
      </c>
      <c r="BK129" s="617">
        <v>7.4753526000000001E-2</v>
      </c>
      <c r="BL129" s="121">
        <v>1.7785177999999999E-3</v>
      </c>
      <c r="BM129" s="121">
        <v>5.4587519000000003E-3</v>
      </c>
      <c r="BN129" s="121">
        <v>0.26455476999999999</v>
      </c>
      <c r="BO129" s="139"/>
      <c r="BP129" s="601">
        <v>5.6</v>
      </c>
      <c r="BQ129" s="215">
        <v>0.389901</v>
      </c>
      <c r="BR129" s="602">
        <v>4.1078711999999998E-12</v>
      </c>
      <c r="BS129" s="598">
        <v>1.9855932970229449E-9</v>
      </c>
      <c r="BT129" s="619">
        <v>7.4753526000000001E-2</v>
      </c>
      <c r="BU129" s="603">
        <v>1.7785177999999999E-3</v>
      </c>
      <c r="BV129" s="603">
        <v>5.4587519000000003E-3</v>
      </c>
      <c r="BW129" s="603">
        <v>0.26455476999999999</v>
      </c>
      <c r="BX129" s="593"/>
      <c r="BY129"/>
      <c r="BZ129"/>
      <c r="CA129"/>
      <c r="CB129"/>
      <c r="CC129"/>
      <c r="CD129"/>
      <c r="CE129"/>
      <c r="CF129"/>
      <c r="CG129"/>
      <c r="CH129"/>
      <c r="CI129"/>
    </row>
    <row r="130" spans="1:87" s="36" customFormat="1" ht="15.6">
      <c r="A130" s="163"/>
      <c r="B130" s="163">
        <v>19</v>
      </c>
      <c r="C130" s="163" t="s">
        <v>326</v>
      </c>
      <c r="D130" s="163">
        <v>6.17</v>
      </c>
      <c r="E130" s="167">
        <v>19.856999999999999</v>
      </c>
      <c r="F130" s="163" t="s">
        <v>327</v>
      </c>
      <c r="G130" s="168">
        <v>2.6154600000000001</v>
      </c>
      <c r="H130" s="168">
        <v>5.3341399999999997</v>
      </c>
      <c r="I130" s="167">
        <v>4270</v>
      </c>
      <c r="J130" s="168">
        <v>0.51722199999999996</v>
      </c>
      <c r="K130" s="167">
        <v>198.59800000000001</v>
      </c>
      <c r="L130" s="163">
        <v>2451106.321</v>
      </c>
      <c r="M130" s="169">
        <f t="shared" si="8"/>
        <v>0.26862768796897818</v>
      </c>
      <c r="N130" s="163">
        <v>1.2390858105116424E-2</v>
      </c>
      <c r="O130" s="163">
        <v>4.9729218538225713E-11</v>
      </c>
      <c r="P130" s="163">
        <v>4.0133797123938948E-9</v>
      </c>
      <c r="Q130" s="163">
        <v>0.63</v>
      </c>
      <c r="R130" s="163">
        <v>0.28000000000000003</v>
      </c>
      <c r="S130" s="163">
        <v>2.7848362381406399E-11</v>
      </c>
      <c r="T130" s="163">
        <v>2.2474926389405812E-9</v>
      </c>
      <c r="U130" s="163">
        <v>11</v>
      </c>
      <c r="V130" s="163" t="s">
        <v>328</v>
      </c>
      <c r="W130" s="163" t="s">
        <v>278</v>
      </c>
      <c r="X130" s="164"/>
      <c r="Y130" s="167">
        <v>12.984999999999999</v>
      </c>
      <c r="Z130" s="170">
        <v>1.18</v>
      </c>
      <c r="AA130" s="171">
        <v>1.002817807822973</v>
      </c>
      <c r="AB130" s="69"/>
      <c r="AC130" s="69"/>
      <c r="AD130" s="73"/>
      <c r="AE130" s="69"/>
      <c r="AF130" s="50"/>
      <c r="AJ130" s="155"/>
      <c r="AK130" s="69"/>
      <c r="AL130" s="66"/>
      <c r="AM130" s="69"/>
      <c r="AN130" s="69"/>
      <c r="AR130" s="60"/>
      <c r="AS130" s="69"/>
      <c r="AT130" s="69"/>
      <c r="AU130" s="73"/>
      <c r="BD130"/>
      <c r="BE130" s="66"/>
      <c r="BF130"/>
      <c r="BG130" s="122">
        <v>5.8</v>
      </c>
      <c r="BH130" s="119">
        <v>0.40382600000000002</v>
      </c>
      <c r="BI130" s="120">
        <v>4.1775061000000002E-12</v>
      </c>
      <c r="BJ130" s="616">
        <v>4.0000000000000002E-9</v>
      </c>
      <c r="BK130" s="617">
        <v>7.3229188000000001E-2</v>
      </c>
      <c r="BL130" s="121">
        <v>1.7394113000000001E-3</v>
      </c>
      <c r="BM130" s="121">
        <v>5.4845092999999999E-3</v>
      </c>
      <c r="BN130" s="121">
        <v>0.2591601</v>
      </c>
      <c r="BO130" s="139"/>
      <c r="BP130" s="601">
        <v>5.8</v>
      </c>
      <c r="BQ130" s="215">
        <v>0.40382600000000002</v>
      </c>
      <c r="BR130" s="602">
        <v>4.1775061000000002E-12</v>
      </c>
      <c r="BS130" s="598">
        <v>2.0646502559196787E-9</v>
      </c>
      <c r="BT130" s="619">
        <v>7.3229188000000001E-2</v>
      </c>
      <c r="BU130" s="603">
        <v>1.7394113000000001E-3</v>
      </c>
      <c r="BV130" s="603">
        <v>5.4845092999999999E-3</v>
      </c>
      <c r="BW130" s="603">
        <v>0.2591601</v>
      </c>
      <c r="BX130" s="593"/>
      <c r="BY130"/>
      <c r="BZ130"/>
      <c r="CA130"/>
      <c r="CB130"/>
      <c r="CC130"/>
      <c r="CD130"/>
      <c r="CE130"/>
      <c r="CF130"/>
      <c r="CG130"/>
      <c r="CH130"/>
      <c r="CI130"/>
    </row>
    <row r="131" spans="1:87" s="36" customFormat="1" ht="15.6">
      <c r="A131" s="163"/>
      <c r="B131" s="163">
        <v>20</v>
      </c>
      <c r="C131" s="163" t="s">
        <v>329</v>
      </c>
      <c r="D131" s="163">
        <v>6.76</v>
      </c>
      <c r="E131" s="167">
        <v>18.587399999999999</v>
      </c>
      <c r="F131" s="163" t="s">
        <v>321</v>
      </c>
      <c r="G131" s="168">
        <v>0.956901</v>
      </c>
      <c r="H131" s="168">
        <v>4.2137700000000002</v>
      </c>
      <c r="I131" s="167">
        <v>3341.5587999999998</v>
      </c>
      <c r="J131" s="168">
        <v>4.3999999999999997E-2</v>
      </c>
      <c r="K131" s="167">
        <v>68.154300000000006</v>
      </c>
      <c r="L131" s="163">
        <v>2452831.2230000002</v>
      </c>
      <c r="M131" s="169">
        <f t="shared" si="8"/>
        <v>0.22670034539526779</v>
      </c>
      <c r="N131" s="163">
        <v>7.1961694900071725E-3</v>
      </c>
      <c r="O131" s="163">
        <v>4.6280580848502194E-11</v>
      </c>
      <c r="P131" s="163">
        <v>6.4312799903850045E-9</v>
      </c>
      <c r="Q131" s="163">
        <v>0.54</v>
      </c>
      <c r="R131" s="163">
        <v>0.24</v>
      </c>
      <c r="S131" s="163">
        <v>2.221467880728105E-11</v>
      </c>
      <c r="T131" s="163">
        <v>3.0870143953848018E-9</v>
      </c>
      <c r="U131" s="163">
        <v>17</v>
      </c>
      <c r="V131" s="163" t="s">
        <v>330</v>
      </c>
      <c r="W131" s="163" t="s">
        <v>278</v>
      </c>
      <c r="X131" s="164"/>
      <c r="Y131" s="167">
        <v>12.840999999999999</v>
      </c>
      <c r="Z131" s="170">
        <v>1.23</v>
      </c>
      <c r="AA131" s="171">
        <v>0.95138396053611951</v>
      </c>
      <c r="AB131" s="69"/>
      <c r="AC131" s="69"/>
      <c r="AD131" s="73"/>
      <c r="AE131" s="69"/>
      <c r="AF131" s="50"/>
      <c r="AJ131" s="155"/>
      <c r="AK131" s="69"/>
      <c r="AL131" s="66"/>
      <c r="AM131" s="69"/>
      <c r="AN131" s="69"/>
      <c r="AR131" s="60"/>
      <c r="AS131" s="69"/>
      <c r="AT131" s="69"/>
      <c r="AU131" s="73"/>
      <c r="BD131"/>
      <c r="BE131" s="66"/>
      <c r="BF131"/>
      <c r="BG131" s="122">
        <v>6</v>
      </c>
      <c r="BH131" s="119">
        <v>0.41775099999999998</v>
      </c>
      <c r="BI131" s="120">
        <v>4.5605815000000004E-12</v>
      </c>
      <c r="BJ131" s="616">
        <v>4.0000000000000002E-9</v>
      </c>
      <c r="BK131" s="617">
        <v>7.1199126000000001E-2</v>
      </c>
      <c r="BL131" s="121">
        <v>1.6898780999999999E-3</v>
      </c>
      <c r="BM131" s="121">
        <v>5.5072363000000001E-3</v>
      </c>
      <c r="BN131" s="121">
        <v>0.25197565</v>
      </c>
      <c r="BO131" s="139"/>
      <c r="BP131" s="601">
        <v>6</v>
      </c>
      <c r="BQ131" s="215">
        <v>0.41775099999999998</v>
      </c>
      <c r="BR131" s="602">
        <v>4.5605815000000004E-12</v>
      </c>
      <c r="BS131" s="598">
        <v>2.3200456176627863E-9</v>
      </c>
      <c r="BT131" s="619">
        <v>7.1199126000000001E-2</v>
      </c>
      <c r="BU131" s="603">
        <v>1.6898780999999999E-3</v>
      </c>
      <c r="BV131" s="603">
        <v>5.5072363000000001E-3</v>
      </c>
      <c r="BW131" s="603">
        <v>0.25197565</v>
      </c>
      <c r="BX131" s="593"/>
      <c r="BY131"/>
      <c r="BZ131"/>
      <c r="CA131"/>
      <c r="CB131"/>
      <c r="CC131"/>
      <c r="CD131"/>
      <c r="CE131"/>
      <c r="CF131"/>
      <c r="CG131"/>
      <c r="CH131"/>
      <c r="CI131"/>
    </row>
    <row r="132" spans="1:87" s="36" customFormat="1" ht="15.6">
      <c r="A132" s="163"/>
      <c r="B132" s="163">
        <v>21</v>
      </c>
      <c r="C132" s="163" t="s">
        <v>331</v>
      </c>
      <c r="D132" s="163">
        <v>7.26</v>
      </c>
      <c r="E132" s="167">
        <v>33.046900000000001</v>
      </c>
      <c r="F132" s="163" t="s">
        <v>309</v>
      </c>
      <c r="G132" s="168">
        <v>1.8189</v>
      </c>
      <c r="H132" s="168">
        <v>3.73753</v>
      </c>
      <c r="I132" s="167">
        <v>2597</v>
      </c>
      <c r="J132" s="168">
        <v>0.14399999999999999</v>
      </c>
      <c r="K132" s="167">
        <v>73</v>
      </c>
      <c r="L132" s="163">
        <v>2450630</v>
      </c>
      <c r="M132" s="169">
        <f t="shared" si="8"/>
        <v>0.11309774895678566</v>
      </c>
      <c r="N132" s="163">
        <v>4.5404759918443094E-3</v>
      </c>
      <c r="O132" s="163">
        <v>3.7116847288651123E-11</v>
      </c>
      <c r="P132" s="163">
        <v>8.1746599597313419E-9</v>
      </c>
      <c r="Q132" s="163">
        <v>0.61</v>
      </c>
      <c r="R132" s="163">
        <v>0.27</v>
      </c>
      <c r="S132" s="163">
        <v>2.0043097535871612E-11</v>
      </c>
      <c r="T132" s="163">
        <v>4.4143163782549253E-9</v>
      </c>
      <c r="U132" s="163">
        <v>37</v>
      </c>
      <c r="V132" s="163" t="s">
        <v>332</v>
      </c>
      <c r="W132" s="163" t="s">
        <v>278</v>
      </c>
      <c r="X132" s="164"/>
      <c r="Y132" s="167">
        <v>12.949</v>
      </c>
      <c r="Z132" s="170">
        <v>1.21</v>
      </c>
      <c r="AA132" s="171">
        <v>0.97524324610594038</v>
      </c>
      <c r="AB132" s="69"/>
      <c r="AC132" s="69"/>
      <c r="AD132" s="73"/>
      <c r="AE132" s="69"/>
      <c r="AF132" s="50"/>
      <c r="AJ132" s="155"/>
      <c r="AK132" s="69"/>
      <c r="AL132" s="66"/>
      <c r="AM132" s="69"/>
      <c r="AN132" s="69"/>
      <c r="AR132" s="60"/>
      <c r="AS132" s="69"/>
      <c r="AT132" s="69"/>
      <c r="AU132" s="73"/>
      <c r="BD132"/>
      <c r="BE132" s="66"/>
      <c r="BF132"/>
      <c r="BG132" s="122">
        <v>6.2</v>
      </c>
      <c r="BH132" s="119">
        <v>0.43167699999999998</v>
      </c>
      <c r="BI132" s="120">
        <v>5.1237215000000004E-12</v>
      </c>
      <c r="BJ132" s="616">
        <v>4.0000000000000002E-9</v>
      </c>
      <c r="BK132" s="617">
        <v>7.1005682000000001E-2</v>
      </c>
      <c r="BL132" s="121">
        <v>1.6868432E-3</v>
      </c>
      <c r="BM132" s="121">
        <v>5.5010049999999998E-3</v>
      </c>
      <c r="BN132" s="121">
        <v>0.25129105000000002</v>
      </c>
      <c r="BO132" s="139"/>
      <c r="BP132" s="601">
        <v>6.2</v>
      </c>
      <c r="BQ132" s="215">
        <v>0.43167699999999998</v>
      </c>
      <c r="BR132" s="602">
        <v>5.1237215000000004E-12</v>
      </c>
      <c r="BS132" s="598">
        <v>2.6112141630413322E-9</v>
      </c>
      <c r="BT132" s="619">
        <v>7.1005682000000001E-2</v>
      </c>
      <c r="BU132" s="603">
        <v>1.6868432E-3</v>
      </c>
      <c r="BV132" s="603">
        <v>5.5010049999999998E-3</v>
      </c>
      <c r="BW132" s="603">
        <v>0.25129105000000002</v>
      </c>
      <c r="BX132" s="593"/>
      <c r="BY132"/>
      <c r="BZ132"/>
      <c r="CA132"/>
      <c r="CB132"/>
      <c r="CC132"/>
      <c r="CD132"/>
      <c r="CE132"/>
      <c r="CF132"/>
      <c r="CG132"/>
      <c r="CH132"/>
      <c r="CI132"/>
    </row>
    <row r="133" spans="1:87" s="36" customFormat="1" ht="15.6">
      <c r="A133" s="163"/>
      <c r="B133" s="163">
        <v>22</v>
      </c>
      <c r="C133" s="163" t="s">
        <v>333</v>
      </c>
      <c r="D133" s="163">
        <v>6.47</v>
      </c>
      <c r="E133" s="167">
        <v>26.205500000000001</v>
      </c>
      <c r="F133" s="163" t="s">
        <v>334</v>
      </c>
      <c r="G133" s="168">
        <v>0.80492600000000003</v>
      </c>
      <c r="H133" s="168">
        <v>5.8251299999999997</v>
      </c>
      <c r="I133" s="167">
        <v>5000</v>
      </c>
      <c r="J133" s="168">
        <v>0.12</v>
      </c>
      <c r="K133" s="167">
        <v>195</v>
      </c>
      <c r="L133" s="163">
        <v>2451100</v>
      </c>
      <c r="M133" s="169">
        <f t="shared" si="8"/>
        <v>0.22228654290129932</v>
      </c>
      <c r="N133" s="163">
        <v>9.3994270939099251E-3</v>
      </c>
      <c r="O133" s="163">
        <v>3.1632186363467653E-11</v>
      </c>
      <c r="P133" s="163">
        <v>3.3653313172632375E-9</v>
      </c>
      <c r="Q133" s="163">
        <v>0.51</v>
      </c>
      <c r="R133" s="163">
        <v>0.23</v>
      </c>
      <c r="S133" s="163">
        <v>1.4550805727195121E-11</v>
      </c>
      <c r="T133" s="163">
        <v>1.5480524059410893E-9</v>
      </c>
      <c r="U133" s="163">
        <v>18</v>
      </c>
      <c r="V133" s="163" t="s">
        <v>335</v>
      </c>
      <c r="W133" s="163" t="s">
        <v>278</v>
      </c>
      <c r="X133" s="164"/>
      <c r="Y133" s="167">
        <v>12.808999999999999</v>
      </c>
      <c r="Z133" s="170">
        <v>1.23</v>
      </c>
      <c r="AA133" s="171">
        <v>0.94901309481404517</v>
      </c>
      <c r="AB133" s="69"/>
      <c r="AC133" s="69"/>
      <c r="AD133" s="73"/>
      <c r="AE133" s="69"/>
      <c r="AF133" s="50"/>
      <c r="AJ133" s="155"/>
      <c r="AK133" s="69"/>
      <c r="AL133" s="66"/>
      <c r="AM133" s="69"/>
      <c r="AN133" s="69"/>
      <c r="AR133" s="60"/>
      <c r="AS133" s="69"/>
      <c r="AT133" s="69"/>
      <c r="AU133" s="73"/>
      <c r="BD133"/>
      <c r="BE133" s="66"/>
      <c r="BF133"/>
      <c r="BG133" s="122">
        <v>6.4</v>
      </c>
      <c r="BH133" s="119">
        <v>0.445602</v>
      </c>
      <c r="BI133" s="120">
        <v>4.5031251E-12</v>
      </c>
      <c r="BJ133" s="616">
        <v>4.0000000000000002E-9</v>
      </c>
      <c r="BK133" s="617">
        <v>7.0666870000000007E-2</v>
      </c>
      <c r="BL133" s="121">
        <v>1.6821392000000001E-3</v>
      </c>
      <c r="BM133" s="121">
        <v>5.4877544000000002E-3</v>
      </c>
      <c r="BN133" s="121">
        <v>0.25009198999999999</v>
      </c>
      <c r="BO133" s="139"/>
      <c r="BP133" s="601">
        <v>6.4</v>
      </c>
      <c r="BQ133" s="215">
        <v>0.445602</v>
      </c>
      <c r="BR133" s="602">
        <v>4.5031251E-12</v>
      </c>
      <c r="BS133" s="598">
        <v>2.3013559652531559E-9</v>
      </c>
      <c r="BT133" s="619">
        <v>7.0666870000000007E-2</v>
      </c>
      <c r="BU133" s="603">
        <v>1.6821392000000001E-3</v>
      </c>
      <c r="BV133" s="603">
        <v>5.4877544000000002E-3</v>
      </c>
      <c r="BW133" s="603">
        <v>0.25009198999999999</v>
      </c>
      <c r="BX133" s="593"/>
      <c r="BY133"/>
      <c r="BZ133"/>
      <c r="CA133"/>
      <c r="CB133"/>
      <c r="CC133"/>
      <c r="CD133"/>
      <c r="CE133"/>
      <c r="CF133"/>
      <c r="CG133"/>
      <c r="CH133"/>
      <c r="CI133"/>
    </row>
    <row r="134" spans="1:87" s="36" customFormat="1" ht="15.6">
      <c r="A134" s="163"/>
      <c r="B134" s="163">
        <v>23</v>
      </c>
      <c r="C134" s="163" t="s">
        <v>336</v>
      </c>
      <c r="D134" s="163">
        <v>7.57</v>
      </c>
      <c r="E134" s="167">
        <v>18.204999999999998</v>
      </c>
      <c r="F134" s="163" t="s">
        <v>316</v>
      </c>
      <c r="G134" s="168">
        <v>1.7557100000000001</v>
      </c>
      <c r="H134" s="168">
        <v>3.5764800000000001</v>
      </c>
      <c r="I134" s="167">
        <v>2754</v>
      </c>
      <c r="J134" s="168">
        <v>0.53</v>
      </c>
      <c r="K134" s="167">
        <v>291</v>
      </c>
      <c r="L134" s="163">
        <v>2451139</v>
      </c>
      <c r="M134" s="169">
        <f t="shared" si="8"/>
        <v>0.19645591870365287</v>
      </c>
      <c r="N134" s="163">
        <v>3.4127257052102016E-3</v>
      </c>
      <c r="O134" s="163">
        <v>3.0466941109480428E-11</v>
      </c>
      <c r="P134" s="163">
        <v>8.9274508827259717E-9</v>
      </c>
      <c r="Q134" s="163">
        <v>0.21</v>
      </c>
      <c r="R134" s="163">
        <v>0.09</v>
      </c>
      <c r="S134" s="163">
        <v>5.4840493997064768E-12</v>
      </c>
      <c r="T134" s="163">
        <v>1.6069411588906747E-9</v>
      </c>
      <c r="U134" s="163">
        <v>19</v>
      </c>
      <c r="V134" s="163" t="s">
        <v>337</v>
      </c>
      <c r="W134" s="163" t="s">
        <v>270</v>
      </c>
      <c r="X134" s="164"/>
      <c r="Y134" s="167">
        <v>12.605</v>
      </c>
      <c r="Z134" s="170">
        <v>1.21</v>
      </c>
      <c r="AA134" s="171">
        <v>0.94933517006451296</v>
      </c>
      <c r="AB134" s="69"/>
      <c r="AC134" s="69"/>
      <c r="AD134" s="73"/>
      <c r="AE134" s="69"/>
      <c r="AF134" s="50"/>
      <c r="AJ134" s="155"/>
      <c r="AK134" s="69"/>
      <c r="AL134" s="66"/>
      <c r="AM134" s="69"/>
      <c r="AN134" s="69"/>
      <c r="AR134" s="60"/>
      <c r="AS134" s="69"/>
      <c r="AT134" s="69"/>
      <c r="AU134" s="73"/>
      <c r="AV134"/>
      <c r="BD134"/>
      <c r="BE134" s="66"/>
      <c r="BF134"/>
      <c r="BG134" s="122">
        <v>6.6</v>
      </c>
      <c r="BH134" s="119">
        <v>0.45952700000000002</v>
      </c>
      <c r="BI134" s="120">
        <v>4.4082158E-12</v>
      </c>
      <c r="BJ134" s="616">
        <v>4.0000000000000002E-9</v>
      </c>
      <c r="BK134" s="617">
        <v>7.0182692000000005E-2</v>
      </c>
      <c r="BL134" s="121">
        <v>1.675766E-3</v>
      </c>
      <c r="BM134" s="121">
        <v>5.4674846000000001E-3</v>
      </c>
      <c r="BN134" s="121">
        <v>0.24837846</v>
      </c>
      <c r="BO134" s="139"/>
      <c r="BP134" s="601">
        <v>6.6</v>
      </c>
      <c r="BQ134" s="215">
        <v>0.45952700000000002</v>
      </c>
      <c r="BR134" s="602">
        <v>4.4082158E-12</v>
      </c>
      <c r="BS134" s="598">
        <v>2.261419744394155E-9</v>
      </c>
      <c r="BT134" s="619">
        <v>7.0182692000000005E-2</v>
      </c>
      <c r="BU134" s="603">
        <v>1.675766E-3</v>
      </c>
      <c r="BV134" s="603">
        <v>5.4674846000000001E-3</v>
      </c>
      <c r="BW134" s="603">
        <v>0.24837846</v>
      </c>
      <c r="BX134" s="593"/>
      <c r="BY134"/>
      <c r="BZ134"/>
      <c r="CA134"/>
      <c r="CB134"/>
      <c r="CC134"/>
      <c r="CD134"/>
      <c r="CE134"/>
      <c r="CF134"/>
      <c r="CG134"/>
      <c r="CH134"/>
      <c r="CI134"/>
    </row>
    <row r="135" spans="1:87" s="36" customFormat="1" ht="15.6">
      <c r="A135" s="163"/>
      <c r="B135" s="163">
        <v>24</v>
      </c>
      <c r="C135" s="163" t="s">
        <v>338</v>
      </c>
      <c r="D135" s="163">
        <v>7.12</v>
      </c>
      <c r="E135" s="167">
        <v>49.1</v>
      </c>
      <c r="F135" s="163" t="s">
        <v>339</v>
      </c>
      <c r="G135" s="168">
        <v>2.0263300000000002</v>
      </c>
      <c r="H135" s="168">
        <v>5.1386399999999997</v>
      </c>
      <c r="I135" s="167">
        <v>3999</v>
      </c>
      <c r="J135" s="168">
        <v>0.16</v>
      </c>
      <c r="K135" s="167">
        <v>137</v>
      </c>
      <c r="L135" s="163">
        <v>2456319</v>
      </c>
      <c r="M135" s="169">
        <f t="shared" si="8"/>
        <v>0.10465661914460284</v>
      </c>
      <c r="N135" s="163">
        <v>5.1653693789482924E-3</v>
      </c>
      <c r="O135" s="163">
        <v>2.2337988770478576E-11</v>
      </c>
      <c r="P135" s="163">
        <v>4.3245675442918195E-9</v>
      </c>
      <c r="Q135" s="163">
        <v>0.63</v>
      </c>
      <c r="R135" s="163">
        <v>0.28000000000000003</v>
      </c>
      <c r="S135" s="163">
        <v>1.2509273711468004E-11</v>
      </c>
      <c r="T135" s="163">
        <v>2.4217578248034191E-9</v>
      </c>
      <c r="U135" s="163">
        <v>42</v>
      </c>
      <c r="V135" s="163" t="s">
        <v>340</v>
      </c>
      <c r="W135" s="163" t="s">
        <v>294</v>
      </c>
      <c r="X135" s="164"/>
      <c r="Y135" s="167">
        <v>12.938000000000001</v>
      </c>
      <c r="Z135" s="170">
        <v>1.2</v>
      </c>
      <c r="AA135" s="171">
        <v>0.98253491343756105</v>
      </c>
      <c r="AB135" s="69"/>
      <c r="AC135" s="69"/>
      <c r="AD135" s="73"/>
      <c r="AE135" s="69"/>
      <c r="AF135" s="50"/>
      <c r="AJ135" s="155"/>
      <c r="AK135" s="69"/>
      <c r="AL135" s="66"/>
      <c r="AM135" s="69"/>
      <c r="AN135" s="69"/>
      <c r="AR135" s="60"/>
      <c r="AS135" s="69"/>
      <c r="AT135" s="69"/>
      <c r="AU135" s="73"/>
      <c r="AV135"/>
      <c r="BD135"/>
      <c r="BE135" s="66"/>
      <c r="BF135"/>
      <c r="BG135" s="122">
        <v>6.8</v>
      </c>
      <c r="BH135" s="119">
        <v>0.47345199999999998</v>
      </c>
      <c r="BI135" s="120">
        <v>4.2487639999999996E-12</v>
      </c>
      <c r="BJ135" s="616">
        <v>4.0000000000000002E-9</v>
      </c>
      <c r="BK135" s="617">
        <v>6.9553141999999998E-2</v>
      </c>
      <c r="BL135" s="121">
        <v>1.6677236000000001E-3</v>
      </c>
      <c r="BM135" s="121">
        <v>5.4401954000000002E-3</v>
      </c>
      <c r="BN135" s="121">
        <v>0.24615048</v>
      </c>
      <c r="BO135" s="139"/>
      <c r="BP135" s="601">
        <v>6.8</v>
      </c>
      <c r="BQ135" s="215">
        <v>0.47345199999999998</v>
      </c>
      <c r="BR135" s="602">
        <v>4.2487639999999996E-12</v>
      </c>
      <c r="BS135" s="598">
        <v>2.1901317079136988E-9</v>
      </c>
      <c r="BT135" s="619">
        <v>6.9553141999999998E-2</v>
      </c>
      <c r="BU135" s="603">
        <v>1.6677236000000001E-3</v>
      </c>
      <c r="BV135" s="603">
        <v>5.4401954000000002E-3</v>
      </c>
      <c r="BW135" s="603">
        <v>0.24615048</v>
      </c>
      <c r="BX135" s="593"/>
      <c r="BY135"/>
      <c r="BZ135"/>
      <c r="CA135"/>
      <c r="CB135"/>
      <c r="CC135"/>
      <c r="CD135"/>
      <c r="CE135"/>
      <c r="CF135"/>
      <c r="CG135"/>
      <c r="CH135"/>
      <c r="CI135"/>
    </row>
    <row r="136" spans="1:87" s="36" customFormat="1" ht="15.6">
      <c r="A136" s="163"/>
      <c r="B136" s="163">
        <v>25</v>
      </c>
      <c r="C136" s="163" t="s">
        <v>341</v>
      </c>
      <c r="D136" s="163">
        <v>8.3800000000000008</v>
      </c>
      <c r="E136" s="167">
        <v>26.759399999999999</v>
      </c>
      <c r="F136" s="163" t="s">
        <v>342</v>
      </c>
      <c r="G136" s="168">
        <v>0.53548200000000001</v>
      </c>
      <c r="H136" s="168">
        <v>3.0220799999999999</v>
      </c>
      <c r="I136" s="167">
        <v>2172</v>
      </c>
      <c r="J136" s="168">
        <v>0.48</v>
      </c>
      <c r="K136" s="167">
        <v>330</v>
      </c>
      <c r="L136" s="163">
        <v>2452154</v>
      </c>
      <c r="M136" s="169">
        <f t="shared" si="8"/>
        <v>0.11293526760689701</v>
      </c>
      <c r="N136" s="163">
        <v>1.6184578135875535E-3</v>
      </c>
      <c r="O136" s="163">
        <v>2.0236180345542314E-11</v>
      </c>
      <c r="P136" s="163">
        <v>1.2503372145787229E-8</v>
      </c>
      <c r="Q136" s="163">
        <v>0.46</v>
      </c>
      <c r="R136" s="163">
        <v>0.21</v>
      </c>
      <c r="S136" s="163">
        <v>8.4991957451277728E-12</v>
      </c>
      <c r="T136" s="163">
        <v>5.2514163012306368E-9</v>
      </c>
      <c r="U136" s="163">
        <v>38</v>
      </c>
      <c r="V136" s="163" t="s">
        <v>343</v>
      </c>
      <c r="W136" s="163" t="s">
        <v>307</v>
      </c>
      <c r="X136" s="164"/>
      <c r="Y136" s="167">
        <v>12.659000000000001</v>
      </c>
      <c r="Z136" s="170">
        <v>1.28</v>
      </c>
      <c r="AA136" s="171">
        <v>0.90126295620503216</v>
      </c>
      <c r="AB136" s="69"/>
      <c r="AC136" s="69"/>
      <c r="AD136" s="73"/>
      <c r="AE136" s="69"/>
      <c r="AF136" s="50"/>
      <c r="AJ136" s="155"/>
      <c r="AK136" s="69"/>
      <c r="AL136" s="66"/>
      <c r="AM136" s="69"/>
      <c r="AN136" s="69"/>
      <c r="AR136" s="60"/>
      <c r="AS136" s="69"/>
      <c r="AT136" s="69"/>
      <c r="AU136" s="73"/>
      <c r="AV136"/>
      <c r="BD136"/>
      <c r="BE136" s="66"/>
      <c r="BF136"/>
      <c r="BG136" s="122">
        <v>7</v>
      </c>
      <c r="BH136" s="119">
        <v>0.487377</v>
      </c>
      <c r="BI136" s="120">
        <v>4.6538338999999996E-12</v>
      </c>
      <c r="BJ136" s="616">
        <v>4.0000000000000002E-9</v>
      </c>
      <c r="BK136" s="617">
        <v>6.8778227999999997E-2</v>
      </c>
      <c r="BL136" s="121">
        <v>1.6580121E-3</v>
      </c>
      <c r="BM136" s="121">
        <v>5.4058871999999999E-3</v>
      </c>
      <c r="BN136" s="121">
        <v>0.24340803</v>
      </c>
      <c r="BO136" s="139"/>
      <c r="BP136" s="601">
        <v>7</v>
      </c>
      <c r="BQ136" s="215">
        <v>0.487377</v>
      </c>
      <c r="BR136" s="602">
        <v>4.6538338999999996E-12</v>
      </c>
      <c r="BS136" s="598">
        <v>2.4129864165975143E-9</v>
      </c>
      <c r="BT136" s="619">
        <v>6.8778227999999997E-2</v>
      </c>
      <c r="BU136" s="603">
        <v>1.6580121E-3</v>
      </c>
      <c r="BV136" s="603">
        <v>5.4058871999999999E-3</v>
      </c>
      <c r="BW136" s="603">
        <v>0.24340803</v>
      </c>
      <c r="BX136" s="593"/>
      <c r="BY136"/>
      <c r="BZ136"/>
      <c r="CA136"/>
      <c r="CB136"/>
      <c r="CC136"/>
      <c r="CD136"/>
      <c r="CE136"/>
      <c r="CF136"/>
      <c r="CG136"/>
      <c r="CH136"/>
      <c r="CI136"/>
    </row>
    <row r="137" spans="1:87" s="36" customFormat="1" ht="15.6">
      <c r="A137" s="163"/>
      <c r="B137" s="163">
        <v>26</v>
      </c>
      <c r="C137" s="163" t="s">
        <v>344</v>
      </c>
      <c r="D137" s="163">
        <v>7.5</v>
      </c>
      <c r="E137" s="167">
        <v>46.598300000000002</v>
      </c>
      <c r="F137" s="163" t="s">
        <v>339</v>
      </c>
      <c r="G137" s="168">
        <v>4.02189</v>
      </c>
      <c r="H137" s="168">
        <v>4.9240599999999999</v>
      </c>
      <c r="I137" s="167">
        <v>3668</v>
      </c>
      <c r="J137" s="168">
        <v>0.04</v>
      </c>
      <c r="K137" s="167">
        <v>154</v>
      </c>
      <c r="L137" s="163">
        <v>2454308</v>
      </c>
      <c r="M137" s="169">
        <f t="shared" si="8"/>
        <v>0.10567037853312244</v>
      </c>
      <c r="N137" s="163">
        <v>3.64E-3</v>
      </c>
      <c r="O137" s="163">
        <v>1.7143274622020054E-11</v>
      </c>
      <c r="P137" s="163">
        <v>4.7096908302252891E-9</v>
      </c>
      <c r="Q137" s="163">
        <v>0.45</v>
      </c>
      <c r="R137" s="163">
        <v>0.2</v>
      </c>
      <c r="S137" s="163">
        <v>6.8573098488080213E-12</v>
      </c>
      <c r="T137" s="163">
        <v>1.8838763320901157E-9</v>
      </c>
      <c r="U137" s="163">
        <v>41</v>
      </c>
      <c r="V137" s="163" t="s">
        <v>345</v>
      </c>
      <c r="W137" s="163" t="s">
        <v>294</v>
      </c>
      <c r="X137" s="164"/>
      <c r="Y137" s="167">
        <v>13.134</v>
      </c>
      <c r="Z137" s="170">
        <v>1.17</v>
      </c>
      <c r="AA137" s="171">
        <v>1.0229943638963679</v>
      </c>
      <c r="AB137" s="69"/>
      <c r="AC137" s="69"/>
      <c r="AD137" s="73"/>
      <c r="AE137" s="69"/>
      <c r="AF137" s="50"/>
      <c r="AJ137" s="155"/>
      <c r="AK137" s="69"/>
      <c r="AL137" s="66"/>
      <c r="AM137" s="69"/>
      <c r="AN137" s="69"/>
      <c r="AR137" s="60"/>
      <c r="AS137" s="69"/>
      <c r="AT137" s="69"/>
      <c r="AU137" s="73"/>
      <c r="AV137"/>
      <c r="BD137"/>
      <c r="BE137" s="66"/>
      <c r="BF137"/>
      <c r="BG137" s="122">
        <v>7.2</v>
      </c>
      <c r="BH137" s="119">
        <v>0.50130200000000003</v>
      </c>
      <c r="BI137" s="120">
        <v>5.2174673E-12</v>
      </c>
      <c r="BJ137" s="616">
        <v>4.0000000000000002E-9</v>
      </c>
      <c r="BK137" s="617">
        <v>6.7857942000000004E-2</v>
      </c>
      <c r="BL137" s="121">
        <v>1.6466314999999999E-3</v>
      </c>
      <c r="BM137" s="121">
        <v>5.3645595000000003E-3</v>
      </c>
      <c r="BN137" s="121">
        <v>0.24015112</v>
      </c>
      <c r="BO137" s="139"/>
      <c r="BP137" s="601">
        <v>7.2</v>
      </c>
      <c r="BQ137" s="215">
        <v>0.50130200000000003</v>
      </c>
      <c r="BR137" s="602">
        <v>5.2174673E-12</v>
      </c>
      <c r="BS137" s="598">
        <v>2.7239241877853828E-9</v>
      </c>
      <c r="BT137" s="619">
        <v>6.7857942000000004E-2</v>
      </c>
      <c r="BU137" s="603">
        <v>1.6466314999999999E-3</v>
      </c>
      <c r="BV137" s="603">
        <v>5.3645595000000003E-3</v>
      </c>
      <c r="BW137" s="603">
        <v>0.24015112</v>
      </c>
      <c r="BX137" s="593"/>
      <c r="BY137"/>
      <c r="BZ137"/>
      <c r="CA137"/>
      <c r="CB137"/>
      <c r="CC137"/>
      <c r="CD137"/>
      <c r="CE137"/>
      <c r="CF137"/>
      <c r="CG137"/>
      <c r="CH137"/>
      <c r="CI137"/>
    </row>
    <row r="138" spans="1:87" s="36" customFormat="1" ht="15.6">
      <c r="A138" s="163"/>
      <c r="B138" s="163">
        <v>27</v>
      </c>
      <c r="C138" s="163" t="s">
        <v>346</v>
      </c>
      <c r="D138" s="163">
        <v>7.61</v>
      </c>
      <c r="E138" s="167">
        <v>44.228200000000001</v>
      </c>
      <c r="F138" s="163" t="s">
        <v>339</v>
      </c>
      <c r="G138" s="168">
        <v>1.88123</v>
      </c>
      <c r="H138" s="168">
        <v>5.1493099999999998</v>
      </c>
      <c r="I138" s="167">
        <v>4218</v>
      </c>
      <c r="J138" s="168">
        <v>0.02</v>
      </c>
      <c r="K138" s="167">
        <v>290</v>
      </c>
      <c r="L138" s="163">
        <v>2454494</v>
      </c>
      <c r="M138" s="169">
        <f t="shared" si="8"/>
        <v>0.11642594543752628</v>
      </c>
      <c r="N138" s="163">
        <v>3.289284084349176E-3</v>
      </c>
      <c r="O138" s="163">
        <v>1.4165841506732499E-11</v>
      </c>
      <c r="P138" s="163">
        <v>4.3066640470901678E-9</v>
      </c>
      <c r="Q138" s="163">
        <v>0.52</v>
      </c>
      <c r="R138" s="163">
        <v>0.23</v>
      </c>
      <c r="S138" s="163">
        <v>6.5162870930969494E-12</v>
      </c>
      <c r="T138" s="163">
        <v>1.9810654616614772E-9</v>
      </c>
      <c r="U138" s="163">
        <v>35</v>
      </c>
      <c r="V138" s="163" t="s">
        <v>347</v>
      </c>
      <c r="W138" s="163" t="s">
        <v>294</v>
      </c>
      <c r="X138" s="164"/>
      <c r="Y138" s="167">
        <v>12.936</v>
      </c>
      <c r="Z138" s="170">
        <v>1.2</v>
      </c>
      <c r="AA138" s="171">
        <v>0.98238302985224069</v>
      </c>
      <c r="AB138" s="69"/>
      <c r="AC138" s="69"/>
      <c r="AD138" s="73"/>
      <c r="AE138" s="69"/>
      <c r="AF138" s="50"/>
      <c r="AJ138" s="155"/>
      <c r="AK138" s="69"/>
      <c r="AL138" s="66"/>
      <c r="AM138" s="69"/>
      <c r="AN138" s="69"/>
      <c r="AR138" s="60"/>
      <c r="AS138" s="69"/>
      <c r="AT138" s="69"/>
      <c r="AU138" s="73"/>
      <c r="AV138"/>
      <c r="BD138"/>
      <c r="BE138" s="66"/>
      <c r="BF138"/>
      <c r="BG138" s="122">
        <v>7.4</v>
      </c>
      <c r="BH138" s="119">
        <v>0.51522699999999999</v>
      </c>
      <c r="BI138" s="120">
        <v>5.4110696000000001E-12</v>
      </c>
      <c r="BJ138" s="616">
        <v>4.0000000000000002E-9</v>
      </c>
      <c r="BK138" s="617">
        <v>6.6792292000000003E-2</v>
      </c>
      <c r="BL138" s="121">
        <v>1.6335817000000001E-3</v>
      </c>
      <c r="BM138" s="121">
        <v>5.3162128000000001E-3</v>
      </c>
      <c r="BN138" s="121">
        <v>0.23637975</v>
      </c>
      <c r="BO138" s="139"/>
      <c r="BP138" s="601">
        <v>7.4</v>
      </c>
      <c r="BQ138" s="215">
        <v>0.51522699999999999</v>
      </c>
      <c r="BR138" s="602">
        <v>5.4110696000000001E-12</v>
      </c>
      <c r="BS138" s="598">
        <v>2.8475669779007104E-9</v>
      </c>
      <c r="BT138" s="619">
        <v>6.6792292000000003E-2</v>
      </c>
      <c r="BU138" s="603">
        <v>1.6335817000000001E-3</v>
      </c>
      <c r="BV138" s="603">
        <v>5.3162128000000001E-3</v>
      </c>
      <c r="BW138" s="603">
        <v>0.23637975</v>
      </c>
      <c r="BX138" s="593"/>
      <c r="BY138"/>
      <c r="BZ138"/>
      <c r="CA138"/>
      <c r="CB138"/>
      <c r="CC138"/>
      <c r="CD138"/>
      <c r="CE138"/>
      <c r="CF138"/>
      <c r="CG138"/>
      <c r="CH138"/>
      <c r="CI138"/>
    </row>
    <row r="139" spans="1:87" s="36" customFormat="1" ht="15.6">
      <c r="A139" s="163"/>
      <c r="B139" s="163">
        <v>28</v>
      </c>
      <c r="C139" s="163" t="s">
        <v>348</v>
      </c>
      <c r="D139" s="163">
        <v>7.83</v>
      </c>
      <c r="E139" s="167">
        <v>48.262599999999999</v>
      </c>
      <c r="F139" s="163" t="s">
        <v>349</v>
      </c>
      <c r="G139" s="168">
        <v>1.9421999999999999</v>
      </c>
      <c r="H139" s="168">
        <v>4.8314599999999999</v>
      </c>
      <c r="I139" s="167">
        <v>3805.6705000000002</v>
      </c>
      <c r="J139" s="168">
        <v>0.25208599999999998</v>
      </c>
      <c r="K139" s="167">
        <v>242.97300000000001</v>
      </c>
      <c r="L139" s="163">
        <v>2453580.0359999998</v>
      </c>
      <c r="M139" s="169">
        <f t="shared" si="8"/>
        <v>0.10010774388449856</v>
      </c>
      <c r="N139" s="163">
        <v>2.6859713976699257E-3</v>
      </c>
      <c r="O139" s="163">
        <v>1.313964639599215E-11</v>
      </c>
      <c r="P139" s="163">
        <v>4.8919532082101713E-9</v>
      </c>
      <c r="Q139" s="163">
        <v>0.53</v>
      </c>
      <c r="R139" s="163">
        <v>0.24</v>
      </c>
      <c r="S139" s="163">
        <v>6.3070302700762326E-12</v>
      </c>
      <c r="T139" s="163">
        <v>2.3481375399408821E-9</v>
      </c>
      <c r="U139" s="163">
        <v>45</v>
      </c>
      <c r="V139" s="163" t="s">
        <v>350</v>
      </c>
      <c r="W139" s="163" t="s">
        <v>278</v>
      </c>
      <c r="X139" s="164"/>
      <c r="Y139" s="167">
        <v>12.944000000000001</v>
      </c>
      <c r="Z139" s="170">
        <v>1.2</v>
      </c>
      <c r="AA139" s="171">
        <v>0.98299056419352226</v>
      </c>
      <c r="AB139" s="69"/>
      <c r="AC139" s="69"/>
      <c r="AD139" s="73"/>
      <c r="AE139" s="69"/>
      <c r="AF139" s="50"/>
      <c r="AJ139" s="155"/>
      <c r="AK139" s="69"/>
      <c r="AL139" s="66"/>
      <c r="AM139" s="69"/>
      <c r="AN139" s="69"/>
      <c r="AR139" s="60"/>
      <c r="AS139" s="69"/>
      <c r="AT139" s="69"/>
      <c r="AU139" s="73"/>
      <c r="AV139"/>
      <c r="BD139"/>
      <c r="BE139" s="66"/>
      <c r="BF139"/>
      <c r="BG139" s="122">
        <v>7.6</v>
      </c>
      <c r="BH139" s="119">
        <v>0.52915199999999996</v>
      </c>
      <c r="BI139" s="120">
        <v>4.9947449000000002E-12</v>
      </c>
      <c r="BJ139" s="616">
        <v>4.0000000000000002E-9</v>
      </c>
      <c r="BK139" s="617">
        <v>6.5581273999999995E-2</v>
      </c>
      <c r="BL139" s="121">
        <v>1.6188628E-3</v>
      </c>
      <c r="BM139" s="121">
        <v>5.2608467999999999E-3</v>
      </c>
      <c r="BN139" s="121">
        <v>0.23209392000000001</v>
      </c>
      <c r="BO139" s="139"/>
      <c r="BP139" s="601">
        <v>7.6</v>
      </c>
      <c r="BQ139" s="215">
        <v>0.52915199999999996</v>
      </c>
      <c r="BR139" s="602">
        <v>4.9947449000000002E-12</v>
      </c>
      <c r="BS139" s="598">
        <v>2.6523752415049532E-9</v>
      </c>
      <c r="BT139" s="619">
        <v>6.5581273999999995E-2</v>
      </c>
      <c r="BU139" s="603">
        <v>1.6188628E-3</v>
      </c>
      <c r="BV139" s="603">
        <v>5.2608467999999999E-3</v>
      </c>
      <c r="BW139" s="603">
        <v>0.23209392000000001</v>
      </c>
      <c r="BX139" s="593"/>
      <c r="BY139"/>
      <c r="BZ139"/>
      <c r="CA139"/>
      <c r="CB139"/>
      <c r="CC139"/>
      <c r="CD139"/>
      <c r="CE139"/>
      <c r="CF139"/>
      <c r="CG139"/>
      <c r="CH139"/>
      <c r="CI139"/>
    </row>
    <row r="140" spans="1:87" s="36" customFormat="1" ht="15.6">
      <c r="A140" s="163"/>
      <c r="B140" s="163">
        <v>29</v>
      </c>
      <c r="C140" s="163" t="s">
        <v>351</v>
      </c>
      <c r="D140" s="163">
        <v>8.66</v>
      </c>
      <c r="E140" s="167">
        <v>4.9536800000000003</v>
      </c>
      <c r="F140" s="163" t="s">
        <v>352</v>
      </c>
      <c r="G140" s="168">
        <v>0.684002</v>
      </c>
      <c r="H140" s="168">
        <v>3.5615299999999999</v>
      </c>
      <c r="I140" s="167">
        <v>3657</v>
      </c>
      <c r="J140" s="168">
        <v>0.08</v>
      </c>
      <c r="K140" s="167">
        <v>246</v>
      </c>
      <c r="L140" s="163">
        <v>2451211</v>
      </c>
      <c r="M140" s="169">
        <f t="shared" si="8"/>
        <v>0.71896650570888709</v>
      </c>
      <c r="N140" s="163">
        <v>1.2505509303555426E-3</v>
      </c>
      <c r="O140" s="163">
        <v>1.1258155445694178E-11</v>
      </c>
      <c r="P140" s="163">
        <v>9.0025565312189119E-9</v>
      </c>
      <c r="Q140" s="163">
        <v>0.46</v>
      </c>
      <c r="R140" s="420">
        <v>0.22222222222220001</v>
      </c>
      <c r="S140" s="163">
        <v>4.7284252871915541E-12</v>
      </c>
      <c r="T140" s="163">
        <v>3.7810737431119426E-9</v>
      </c>
      <c r="U140" s="163">
        <v>4</v>
      </c>
      <c r="V140" s="163" t="s">
        <v>353</v>
      </c>
      <c r="W140" s="163" t="s">
        <v>354</v>
      </c>
      <c r="X140" s="164"/>
      <c r="Y140" s="167">
        <v>12.766999999999999</v>
      </c>
      <c r="Z140" s="170">
        <v>1.27</v>
      </c>
      <c r="AA140" s="171">
        <v>0.91610916556787558</v>
      </c>
      <c r="AB140" s="69"/>
      <c r="AC140" s="69"/>
      <c r="AD140" s="73"/>
      <c r="AE140" s="69"/>
      <c r="AF140" s="50"/>
      <c r="AJ140" s="155"/>
      <c r="AK140" s="69"/>
      <c r="AL140" s="66"/>
      <c r="AM140" s="69"/>
      <c r="AN140" s="69"/>
      <c r="AR140" s="60"/>
      <c r="AS140" s="69"/>
      <c r="AT140" s="69"/>
      <c r="AU140" s="73"/>
      <c r="AV140"/>
      <c r="BD140"/>
      <c r="BE140" s="66"/>
      <c r="BF140"/>
      <c r="BG140" s="122">
        <v>7.8</v>
      </c>
      <c r="BH140" s="119">
        <v>0.54307700000000003</v>
      </c>
      <c r="BI140" s="120">
        <v>4.6694647999999997E-12</v>
      </c>
      <c r="BJ140" s="616">
        <v>4.0000000000000002E-9</v>
      </c>
      <c r="BK140" s="617">
        <v>6.4224883999999996E-2</v>
      </c>
      <c r="BL140" s="121">
        <v>1.6024748000000001E-3</v>
      </c>
      <c r="BM140" s="121">
        <v>5.1984613999999998E-3</v>
      </c>
      <c r="BN140" s="121">
        <v>0.22729362</v>
      </c>
      <c r="BO140" s="139"/>
      <c r="BP140" s="601">
        <v>7.8</v>
      </c>
      <c r="BQ140" s="215">
        <v>0.54307700000000003</v>
      </c>
      <c r="BR140" s="602">
        <v>4.6694647999999997E-12</v>
      </c>
      <c r="BS140" s="598">
        <v>2.5049992878943798E-9</v>
      </c>
      <c r="BT140" s="619">
        <v>6.4224883999999996E-2</v>
      </c>
      <c r="BU140" s="603">
        <v>1.6024748000000001E-3</v>
      </c>
      <c r="BV140" s="603">
        <v>5.1984613999999998E-3</v>
      </c>
      <c r="BW140" s="603">
        <v>0.22729362</v>
      </c>
      <c r="BX140" s="593"/>
      <c r="BY140"/>
      <c r="BZ140"/>
      <c r="CA140"/>
      <c r="CB140"/>
      <c r="CC140"/>
      <c r="CD140"/>
      <c r="CE140"/>
      <c r="CF140"/>
      <c r="CG140"/>
      <c r="CH140"/>
      <c r="CI140"/>
    </row>
    <row r="141" spans="1:87" s="36" customFormat="1" ht="15.6">
      <c r="A141" s="163"/>
      <c r="B141" s="163">
        <v>30</v>
      </c>
      <c r="C141" s="163" t="s">
        <v>355</v>
      </c>
      <c r="D141" s="163">
        <v>5.77</v>
      </c>
      <c r="E141" s="167">
        <v>26.420100000000001</v>
      </c>
      <c r="F141" s="163" t="s">
        <v>356</v>
      </c>
      <c r="G141" s="168">
        <v>1.3325400000000001</v>
      </c>
      <c r="H141" s="168">
        <v>2.34083</v>
      </c>
      <c r="I141" s="167">
        <v>1157</v>
      </c>
      <c r="J141" s="168">
        <v>0.76</v>
      </c>
      <c r="K141" s="167">
        <v>81</v>
      </c>
      <c r="L141" s="163">
        <v>2450131.5</v>
      </c>
      <c r="M141" s="169">
        <f t="shared" si="8"/>
        <v>8.8600345948728426E-2</v>
      </c>
      <c r="N141" s="163">
        <v>1.7910239098804806E-2</v>
      </c>
      <c r="O141" s="163">
        <v>3.7325076388481291E-10</v>
      </c>
      <c r="P141" s="163">
        <v>2.0840077110401101E-8</v>
      </c>
      <c r="Q141" s="163">
        <v>0.4</v>
      </c>
      <c r="R141" s="163">
        <v>0.18</v>
      </c>
      <c r="S141" s="163">
        <v>1.3437027499853264E-10</v>
      </c>
      <c r="T141" s="163">
        <v>7.5024277597443959E-9</v>
      </c>
      <c r="U141" s="163">
        <v>59</v>
      </c>
      <c r="V141" s="163" t="s">
        <v>357</v>
      </c>
      <c r="W141" s="163" t="s">
        <v>286</v>
      </c>
      <c r="X141" s="164"/>
      <c r="Y141" s="167">
        <v>12.885</v>
      </c>
      <c r="Z141" s="170">
        <v>1.22</v>
      </c>
      <c r="AA141" s="171">
        <v>0.96246885091138124</v>
      </c>
      <c r="AB141" s="69"/>
      <c r="AC141" s="69"/>
      <c r="AD141" s="73"/>
      <c r="AE141" s="69"/>
      <c r="AF141" s="50"/>
      <c r="AJ141" s="155"/>
      <c r="AK141" s="69"/>
      <c r="AL141" s="66"/>
      <c r="AM141" s="69"/>
      <c r="AN141" s="69"/>
      <c r="AR141" s="60"/>
      <c r="AS141" s="69"/>
      <c r="AT141" s="69"/>
      <c r="AU141" s="73"/>
      <c r="AV141"/>
      <c r="BD141"/>
      <c r="BE141" s="66"/>
      <c r="BF141"/>
      <c r="BG141" s="122">
        <v>8</v>
      </c>
      <c r="BH141" s="119">
        <v>0.557002</v>
      </c>
      <c r="BI141" s="120">
        <v>4.2744007E-12</v>
      </c>
      <c r="BJ141" s="616">
        <v>4.0000000000000002E-9</v>
      </c>
      <c r="BK141" s="617">
        <v>6.2723130000000002E-2</v>
      </c>
      <c r="BL141" s="121">
        <v>1.5844176000000001E-3</v>
      </c>
      <c r="BM141" s="121">
        <v>5.1290570000000002E-3</v>
      </c>
      <c r="BN141" s="121">
        <v>0.22197886999999999</v>
      </c>
      <c r="BO141" s="139"/>
      <c r="BP141" s="601">
        <v>8</v>
      </c>
      <c r="BQ141" s="215">
        <v>0.557002</v>
      </c>
      <c r="BR141" s="602">
        <v>4.2744007E-12</v>
      </c>
      <c r="BS141" s="598">
        <v>2.3191949743445864E-9</v>
      </c>
      <c r="BT141" s="619">
        <v>6.2723130000000002E-2</v>
      </c>
      <c r="BU141" s="603">
        <v>1.5844176000000001E-3</v>
      </c>
      <c r="BV141" s="603">
        <v>5.1290570000000002E-3</v>
      </c>
      <c r="BW141" s="603">
        <v>0.22197886999999999</v>
      </c>
      <c r="BX141" s="593"/>
      <c r="BY141"/>
      <c r="BZ141"/>
      <c r="CA141"/>
      <c r="CB141"/>
      <c r="CC141"/>
      <c r="CD141"/>
      <c r="CE141"/>
      <c r="CF141"/>
      <c r="CG141"/>
      <c r="CH141"/>
      <c r="CI141"/>
    </row>
    <row r="142" spans="1:87" s="36" customFormat="1" ht="15.6">
      <c r="A142" s="163"/>
      <c r="B142" s="163">
        <v>31</v>
      </c>
      <c r="C142" s="163" t="s">
        <v>358</v>
      </c>
      <c r="D142" s="163">
        <v>5.7</v>
      </c>
      <c r="E142" s="167">
        <v>20.6</v>
      </c>
      <c r="F142" s="163" t="s">
        <v>359</v>
      </c>
      <c r="G142" s="168">
        <v>5.3</v>
      </c>
      <c r="H142" s="168">
        <v>6.8</v>
      </c>
      <c r="I142" s="167">
        <v>6005</v>
      </c>
      <c r="J142" s="168">
        <v>0.21</v>
      </c>
      <c r="K142" s="167">
        <v>250</v>
      </c>
      <c r="L142" s="163">
        <v>2455954</v>
      </c>
      <c r="M142" s="169">
        <f t="shared" si="8"/>
        <v>0.33009708737864074</v>
      </c>
      <c r="N142" s="163">
        <v>1.9102991553091697E-2</v>
      </c>
      <c r="O142" s="163">
        <v>4.717616451249259E-11</v>
      </c>
      <c r="P142" s="163">
        <v>2.4695694588661131E-9</v>
      </c>
      <c r="Q142" s="163">
        <v>0.42</v>
      </c>
      <c r="R142" s="163">
        <v>0.19</v>
      </c>
      <c r="S142" s="163">
        <v>1.7926942514747182E-11</v>
      </c>
      <c r="T142" s="163">
        <v>9.3843639436912288E-10</v>
      </c>
      <c r="U142" s="163">
        <v>12</v>
      </c>
      <c r="V142" s="163" t="s">
        <v>360</v>
      </c>
      <c r="W142" s="163" t="s">
        <v>286</v>
      </c>
      <c r="X142" s="164"/>
      <c r="Y142" s="167">
        <v>13.09</v>
      </c>
      <c r="Z142" s="170">
        <v>1.1499999999999999</v>
      </c>
      <c r="AA142" s="171">
        <v>1.0372988513967758</v>
      </c>
      <c r="AB142" s="69"/>
      <c r="AC142" s="69"/>
      <c r="AD142" s="73"/>
      <c r="AE142" s="69"/>
      <c r="AF142" s="50"/>
      <c r="AJ142" s="155"/>
      <c r="AK142" s="69"/>
      <c r="AL142" s="66"/>
      <c r="AM142" s="69"/>
      <c r="AN142" s="69"/>
      <c r="AR142" s="60"/>
      <c r="AS142" s="69"/>
      <c r="AT142" s="69"/>
      <c r="AU142" s="73"/>
      <c r="AV142"/>
      <c r="BD142"/>
      <c r="BE142" s="66"/>
      <c r="BF142"/>
      <c r="BG142" s="122">
        <v>8.1999999999999993</v>
      </c>
      <c r="BH142" s="119">
        <v>0.57092699999999996</v>
      </c>
      <c r="BI142" s="120">
        <v>4.5633865E-12</v>
      </c>
      <c r="BJ142" s="616">
        <v>4.0000000000000002E-9</v>
      </c>
      <c r="BK142" s="617">
        <v>5.6864376000000001E-2</v>
      </c>
      <c r="BL142" s="121">
        <v>1.4710922999999999E-3</v>
      </c>
      <c r="BM142" s="121">
        <v>5.0067395999999998E-3</v>
      </c>
      <c r="BN142" s="121">
        <v>0.20124458000000001</v>
      </c>
      <c r="BO142" s="139"/>
      <c r="BP142" s="601">
        <v>8.1999999999999993</v>
      </c>
      <c r="BQ142" s="215">
        <v>0.57092699999999996</v>
      </c>
      <c r="BR142" s="602">
        <v>4.5633865E-12</v>
      </c>
      <c r="BS142" s="598">
        <v>2.6667299227206913E-9</v>
      </c>
      <c r="BT142" s="619">
        <v>5.6864376000000001E-2</v>
      </c>
      <c r="BU142" s="603">
        <v>1.4710922999999999E-3</v>
      </c>
      <c r="BV142" s="603">
        <v>5.0067395999999998E-3</v>
      </c>
      <c r="BW142" s="603">
        <v>0.20124458000000001</v>
      </c>
      <c r="BX142" s="593"/>
      <c r="BY142"/>
      <c r="BZ142"/>
      <c r="CA142"/>
      <c r="CB142"/>
      <c r="CC142"/>
      <c r="CD142"/>
      <c r="CE142"/>
      <c r="CF142"/>
      <c r="CG142"/>
      <c r="CH142"/>
      <c r="CI142"/>
    </row>
    <row r="143" spans="1:87" s="36" customFormat="1" ht="15.6">
      <c r="A143" s="163"/>
      <c r="B143" s="163">
        <v>32</v>
      </c>
      <c r="C143" s="163" t="s">
        <v>361</v>
      </c>
      <c r="D143" s="163">
        <v>3.34</v>
      </c>
      <c r="E143" s="167">
        <v>46.8</v>
      </c>
      <c r="F143" s="163" t="s">
        <v>362</v>
      </c>
      <c r="G143" s="168">
        <v>27</v>
      </c>
      <c r="H143" s="168">
        <v>6.1</v>
      </c>
      <c r="I143" s="167">
        <v>3186</v>
      </c>
      <c r="J143" s="168">
        <v>0.18</v>
      </c>
      <c r="K143" s="167">
        <v>0</v>
      </c>
      <c r="L143" s="163">
        <v>2453038</v>
      </c>
      <c r="M143" s="169">
        <f t="shared" si="8"/>
        <v>0.13034188034188035</v>
      </c>
      <c r="N143" s="163">
        <v>0.16791959713997812</v>
      </c>
      <c r="O143" s="163">
        <v>5.1532449297515957E-10</v>
      </c>
      <c r="P143" s="163">
        <v>3.0688764250999486E-9</v>
      </c>
      <c r="Q143" s="163">
        <v>0.12</v>
      </c>
      <c r="R143" s="163">
        <v>0.05</v>
      </c>
      <c r="S143" s="163">
        <v>5.1532449297515955E-11</v>
      </c>
      <c r="T143" s="163">
        <v>3.0688764250999483E-10</v>
      </c>
      <c r="U143" s="163">
        <v>30</v>
      </c>
      <c r="V143" s="163" t="s">
        <v>363</v>
      </c>
      <c r="W143" s="163" t="s">
        <v>278</v>
      </c>
      <c r="X143" s="164" t="s">
        <v>364</v>
      </c>
      <c r="Y143" s="167">
        <v>11.419</v>
      </c>
      <c r="Z143" s="170">
        <v>1.07</v>
      </c>
      <c r="AA143" s="171">
        <v>0.97253756678885583</v>
      </c>
      <c r="AB143" s="69"/>
      <c r="AC143" s="69"/>
      <c r="AD143" s="73"/>
      <c r="AE143" s="69"/>
      <c r="AF143" s="50"/>
      <c r="AJ143" s="155"/>
      <c r="AK143" s="69"/>
      <c r="AL143" s="66"/>
      <c r="AM143" s="69"/>
      <c r="AN143" s="69"/>
      <c r="AR143" s="60"/>
      <c r="AS143" s="69"/>
      <c r="AT143" s="69"/>
      <c r="AU143" s="73"/>
      <c r="AV143"/>
      <c r="BD143"/>
      <c r="BE143" s="66"/>
      <c r="BF143"/>
      <c r="BG143" s="122">
        <v>8.4</v>
      </c>
      <c r="BH143" s="119">
        <v>0.58485200000000004</v>
      </c>
      <c r="BI143" s="120">
        <v>6.1716808999999999E-12</v>
      </c>
      <c r="BJ143" s="616">
        <v>4.0000000000000002E-9</v>
      </c>
      <c r="BK143" s="617">
        <v>5.0094468000000003E-2</v>
      </c>
      <c r="BL143" s="121">
        <v>1.3390788999999999E-3</v>
      </c>
      <c r="BM143" s="121">
        <v>4.8690581000000004E-3</v>
      </c>
      <c r="BN143" s="121">
        <v>0.17728569</v>
      </c>
      <c r="BO143" s="139"/>
      <c r="BP143" s="601">
        <v>8.4</v>
      </c>
      <c r="BQ143" s="215">
        <v>0.58485200000000004</v>
      </c>
      <c r="BR143" s="602">
        <v>6.1716808999999999E-12</v>
      </c>
      <c r="BS143" s="598">
        <v>3.9621323792344217E-9</v>
      </c>
      <c r="BT143" s="619">
        <v>5.0094468000000003E-2</v>
      </c>
      <c r="BU143" s="603">
        <v>1.3390788999999999E-3</v>
      </c>
      <c r="BV143" s="603">
        <v>4.8690581000000004E-3</v>
      </c>
      <c r="BW143" s="603">
        <v>0.17728569</v>
      </c>
      <c r="BX143" s="593"/>
      <c r="BY143"/>
      <c r="BZ143"/>
      <c r="CA143"/>
      <c r="CB143"/>
      <c r="CC143"/>
      <c r="CD143"/>
      <c r="CE143"/>
      <c r="CF143"/>
      <c r="CG143"/>
      <c r="CH143"/>
      <c r="CI143"/>
    </row>
    <row r="144" spans="1:87" s="36" customFormat="1" ht="15.6">
      <c r="A144" s="163"/>
      <c r="B144" s="163">
        <v>33</v>
      </c>
      <c r="C144" s="163" t="s">
        <v>365</v>
      </c>
      <c r="D144" s="163">
        <v>5.81</v>
      </c>
      <c r="E144" s="167">
        <v>22.04</v>
      </c>
      <c r="F144" s="163" t="s">
        <v>366</v>
      </c>
      <c r="G144" s="168">
        <v>1.53</v>
      </c>
      <c r="H144" s="168">
        <v>4.43</v>
      </c>
      <c r="I144" s="167">
        <v>3117</v>
      </c>
      <c r="J144" s="168">
        <v>0.4</v>
      </c>
      <c r="K144" s="167">
        <v>64</v>
      </c>
      <c r="L144" s="163">
        <v>2449344</v>
      </c>
      <c r="M144" s="169">
        <f t="shared" si="8"/>
        <v>0.20099818511796733</v>
      </c>
      <c r="N144" s="163">
        <v>1.7262408263472903E-2</v>
      </c>
      <c r="O144" s="163">
        <v>1.0044608220464208E-10</v>
      </c>
      <c r="P144" s="163">
        <v>5.8187757276709223E-9</v>
      </c>
      <c r="Q144" s="163">
        <v>0.64</v>
      </c>
      <c r="R144" s="163">
        <v>0.28999999999999998</v>
      </c>
      <c r="S144" s="163">
        <v>5.8258727678692409E-11</v>
      </c>
      <c r="T144" s="163">
        <v>3.374889922049135E-9</v>
      </c>
      <c r="U144" s="163">
        <v>999</v>
      </c>
      <c r="V144" s="163" t="s">
        <v>367</v>
      </c>
      <c r="W144" s="163" t="s">
        <v>286</v>
      </c>
      <c r="X144" s="164" t="s">
        <v>368</v>
      </c>
      <c r="Y144" s="167">
        <v>12</v>
      </c>
      <c r="Z144" s="170">
        <v>1.21</v>
      </c>
      <c r="AA144" s="171">
        <v>0.90377009446839784</v>
      </c>
      <c r="AB144" s="69"/>
      <c r="AC144" s="69"/>
      <c r="AD144" s="73"/>
      <c r="AE144" s="69"/>
      <c r="AF144" s="50"/>
      <c r="AJ144" s="155"/>
      <c r="AK144" s="69"/>
      <c r="AL144" s="66"/>
      <c r="AM144" s="69"/>
      <c r="AN144" s="69"/>
      <c r="AR144" s="60"/>
      <c r="AS144" s="69"/>
      <c r="AT144" s="69"/>
      <c r="AU144" s="73"/>
      <c r="AV144"/>
      <c r="BD144"/>
      <c r="BE144" s="66"/>
      <c r="BF144"/>
      <c r="BG144" s="122">
        <v>8.6</v>
      </c>
      <c r="BH144" s="119">
        <v>0.598777</v>
      </c>
      <c r="BI144" s="120">
        <v>9.2761410999999995E-12</v>
      </c>
      <c r="BJ144" s="616">
        <v>4.0000000000000002E-9</v>
      </c>
      <c r="BK144" s="617">
        <v>4.1905480000000002E-2</v>
      </c>
      <c r="BL144" s="121">
        <v>1.1118962999999999E-3</v>
      </c>
      <c r="BM144" s="121">
        <v>4.7479228000000002E-3</v>
      </c>
      <c r="BN144" s="121">
        <v>0.14830463999999999</v>
      </c>
      <c r="BO144" s="139"/>
      <c r="BP144" s="601">
        <v>8.6</v>
      </c>
      <c r="BQ144" s="215">
        <v>0.598777</v>
      </c>
      <c r="BR144" s="602">
        <v>9.2761410999999995E-12</v>
      </c>
      <c r="BS144" s="598">
        <v>7.1719087839117882E-9</v>
      </c>
      <c r="BT144" s="619">
        <v>4.1905480000000002E-2</v>
      </c>
      <c r="BU144" s="603">
        <v>1.1118962999999999E-3</v>
      </c>
      <c r="BV144" s="603">
        <v>4.7479228000000002E-3</v>
      </c>
      <c r="BW144" s="603">
        <v>0.14830463999999999</v>
      </c>
      <c r="BX144" s="593"/>
      <c r="BY144"/>
      <c r="BZ144"/>
      <c r="CA144"/>
      <c r="CB144"/>
      <c r="CC144"/>
      <c r="CD144"/>
      <c r="CE144"/>
      <c r="CF144"/>
      <c r="CG144"/>
      <c r="CH144"/>
      <c r="CI144"/>
    </row>
    <row r="145" spans="1:87" s="36" customFormat="1" ht="15.6">
      <c r="A145" s="163"/>
      <c r="B145" s="163">
        <v>34</v>
      </c>
      <c r="C145" s="163" t="s">
        <v>369</v>
      </c>
      <c r="D145" s="163">
        <v>5.9</v>
      </c>
      <c r="E145" s="167">
        <v>36.603200000000001</v>
      </c>
      <c r="F145" s="163" t="s">
        <v>359</v>
      </c>
      <c r="G145" s="168">
        <v>4.0640700000000001</v>
      </c>
      <c r="H145" s="168">
        <v>3.6018400000000002</v>
      </c>
      <c r="I145" s="167">
        <v>2102</v>
      </c>
      <c r="J145" s="168">
        <v>0.33</v>
      </c>
      <c r="K145" s="167">
        <v>252</v>
      </c>
      <c r="L145" s="163">
        <v>2452516</v>
      </c>
      <c r="M145" s="169">
        <f t="shared" si="8"/>
        <v>9.8402325479739483E-2</v>
      </c>
      <c r="N145" s="163">
        <v>1.5889176293542018E-2</v>
      </c>
      <c r="O145" s="163">
        <v>1.3985938721140411E-10</v>
      </c>
      <c r="P145" s="163">
        <v>8.802179837871673E-9</v>
      </c>
      <c r="Q145" s="163">
        <v>0.35</v>
      </c>
      <c r="R145" s="163">
        <v>0.16</v>
      </c>
      <c r="S145" s="163">
        <v>4.4755003907649318E-11</v>
      </c>
      <c r="T145" s="163">
        <v>2.8166975481189355E-9</v>
      </c>
      <c r="U145" s="163">
        <v>46</v>
      </c>
      <c r="V145" s="163" t="s">
        <v>370</v>
      </c>
      <c r="W145" s="163" t="s">
        <v>286</v>
      </c>
      <c r="X145" s="164"/>
      <c r="Y145" s="167">
        <v>13.132999999999999</v>
      </c>
      <c r="Z145" s="170">
        <v>1.17</v>
      </c>
      <c r="AA145" s="171">
        <v>1.0229164748782549</v>
      </c>
      <c r="AB145" s="69"/>
      <c r="AC145" s="69"/>
      <c r="AD145" s="73"/>
      <c r="AE145" s="69"/>
      <c r="AF145" s="50"/>
      <c r="AJ145" s="155"/>
      <c r="AK145" s="69"/>
      <c r="AL145" s="66"/>
      <c r="AM145" s="69"/>
      <c r="AN145" s="69"/>
      <c r="AR145" s="60"/>
      <c r="AS145" s="69"/>
      <c r="AT145" s="69"/>
      <c r="AU145" s="73"/>
      <c r="AV145"/>
      <c r="BD145"/>
      <c r="BE145" s="66"/>
      <c r="BF145"/>
      <c r="BG145" s="122">
        <v>8.8000000000000007</v>
      </c>
      <c r="BH145" s="119">
        <v>0.61270199999999997</v>
      </c>
      <c r="BI145" s="120">
        <v>1.2595295E-11</v>
      </c>
      <c r="BJ145" s="616">
        <v>4.0000000000000002E-9</v>
      </c>
      <c r="BK145" s="617">
        <v>3.2466712000000002E-2</v>
      </c>
      <c r="BL145" s="121">
        <v>8.1503806999999996E-4</v>
      </c>
      <c r="BM145" s="121">
        <v>4.6326965000000001E-3</v>
      </c>
      <c r="BN145" s="121">
        <v>0.11490058</v>
      </c>
      <c r="BO145" s="139"/>
      <c r="BP145" s="601">
        <v>8.8000000000000007</v>
      </c>
      <c r="BQ145" s="215">
        <v>0.61270199999999997</v>
      </c>
      <c r="BR145" s="602">
        <v>1.2595295E-11</v>
      </c>
      <c r="BS145" s="598">
        <v>1.3285018090096049E-8</v>
      </c>
      <c r="BT145" s="619">
        <v>3.2466712000000002E-2</v>
      </c>
      <c r="BU145" s="603">
        <v>8.1503806999999996E-4</v>
      </c>
      <c r="BV145" s="603">
        <v>4.6326965000000001E-3</v>
      </c>
      <c r="BW145" s="603">
        <v>0.11490058</v>
      </c>
      <c r="BX145" s="593"/>
      <c r="BY145"/>
      <c r="BZ145"/>
      <c r="CA145"/>
      <c r="CB145"/>
      <c r="CC145"/>
      <c r="CD145"/>
      <c r="CE145"/>
      <c r="CF145"/>
      <c r="CG145"/>
      <c r="CH145"/>
      <c r="CI145"/>
    </row>
    <row r="146" spans="1:87" s="36" customFormat="1" ht="15.6">
      <c r="A146" s="163"/>
      <c r="B146" s="224">
        <v>35</v>
      </c>
      <c r="C146" s="224" t="s">
        <v>426</v>
      </c>
      <c r="D146" s="224">
        <v>4.83</v>
      </c>
      <c r="E146" s="224">
        <v>10</v>
      </c>
      <c r="F146" s="224" t="s">
        <v>299</v>
      </c>
      <c r="G146" s="225"/>
      <c r="H146" s="225">
        <v>3</v>
      </c>
      <c r="I146" s="235"/>
      <c r="J146" s="224"/>
      <c r="K146" s="224"/>
      <c r="L146" s="224"/>
      <c r="M146" s="224">
        <f t="shared" si="8"/>
        <v>0.3</v>
      </c>
      <c r="N146" s="224"/>
      <c r="O146" s="224"/>
      <c r="P146" s="224"/>
      <c r="Q146" s="224"/>
      <c r="R146" s="225">
        <v>0.2</v>
      </c>
      <c r="S146" s="224"/>
      <c r="T146" s="224"/>
      <c r="U146" s="224"/>
      <c r="V146" s="224"/>
      <c r="W146" s="224"/>
      <c r="X146" s="226"/>
      <c r="Y146" s="224"/>
      <c r="Z146" s="225">
        <v>1</v>
      </c>
      <c r="AA146" s="224"/>
      <c r="AB146" s="69"/>
      <c r="AC146" s="69"/>
      <c r="AD146" s="73"/>
      <c r="AE146" s="69"/>
      <c r="AF146" s="50"/>
      <c r="AJ146" s="155"/>
      <c r="AK146" s="69"/>
      <c r="AL146" s="66"/>
      <c r="AM146" s="69"/>
      <c r="AN146" s="69"/>
      <c r="AR146" s="60"/>
      <c r="AS146" s="69"/>
      <c r="AT146" s="69"/>
      <c r="AU146" s="73"/>
      <c r="AV146"/>
      <c r="BD146"/>
      <c r="BE146" s="66"/>
      <c r="BF146"/>
      <c r="BG146" s="122">
        <v>9</v>
      </c>
      <c r="BH146" s="119">
        <v>0.62662700000000005</v>
      </c>
      <c r="BI146" s="120">
        <v>1.5781341999999999E-11</v>
      </c>
      <c r="BJ146" s="616">
        <v>4.0000000000000002E-9</v>
      </c>
      <c r="BK146" s="617">
        <v>2.3925005999999999E-2</v>
      </c>
      <c r="BL146" s="121">
        <v>5.2536586E-4</v>
      </c>
      <c r="BM146" s="121">
        <v>4.6090604999999996E-3</v>
      </c>
      <c r="BN146" s="121">
        <v>8.4671251000000003E-2</v>
      </c>
      <c r="BO146" s="139"/>
      <c r="BP146" s="601">
        <v>9</v>
      </c>
      <c r="BQ146" s="215">
        <v>0.62662700000000005</v>
      </c>
      <c r="BR146" s="602">
        <v>1.5781341999999999E-11</v>
      </c>
      <c r="BS146" s="598">
        <v>2.5823421510739239E-8</v>
      </c>
      <c r="BT146" s="619">
        <v>2.3925005999999999E-2</v>
      </c>
      <c r="BU146" s="603">
        <v>5.2536586E-4</v>
      </c>
      <c r="BV146" s="603">
        <v>4.6090604999999996E-3</v>
      </c>
      <c r="BW146" s="603">
        <v>8.4671251000000003E-2</v>
      </c>
      <c r="BX146" s="593"/>
      <c r="BY146"/>
      <c r="BZ146"/>
      <c r="CA146"/>
      <c r="CB146"/>
      <c r="CC146"/>
      <c r="CD146"/>
      <c r="CE146"/>
      <c r="CF146"/>
      <c r="CG146"/>
      <c r="CH146"/>
      <c r="CI146"/>
    </row>
    <row r="147" spans="1:87" s="36" customFormat="1" ht="15.6">
      <c r="A147" s="163"/>
      <c r="B147" s="165">
        <v>36</v>
      </c>
      <c r="C147" s="224" t="s">
        <v>449</v>
      </c>
      <c r="D147" s="165">
        <v>5.03</v>
      </c>
      <c r="E147" s="165">
        <v>14.0627</v>
      </c>
      <c r="F147" s="165" t="s">
        <v>292</v>
      </c>
      <c r="G147" s="165">
        <v>0.54577399999999998</v>
      </c>
      <c r="H147" s="165">
        <v>3.1</v>
      </c>
      <c r="I147" s="165">
        <v>2391</v>
      </c>
      <c r="J147" s="165">
        <v>9.8000000000000004E-2</v>
      </c>
      <c r="K147" s="165">
        <v>295</v>
      </c>
      <c r="L147" s="165">
        <v>2452441</v>
      </c>
      <c r="M147" s="165">
        <v>0.2540031430664097</v>
      </c>
      <c r="N147" s="165">
        <v>3.5407998945481502E-2</v>
      </c>
      <c r="O147" s="165">
        <v>3.1690190452514649E-10</v>
      </c>
      <c r="P147" s="165">
        <v>8.9500088670101779E-9</v>
      </c>
      <c r="Q147" s="165">
        <v>0.63</v>
      </c>
      <c r="R147" s="228">
        <v>0.191</v>
      </c>
      <c r="S147" s="165">
        <v>1.7746506653408203E-10</v>
      </c>
      <c r="T147" s="165">
        <v>5.0120049655256999E-9</v>
      </c>
      <c r="U147" s="165">
        <v>14</v>
      </c>
      <c r="V147" s="165" t="s">
        <v>293</v>
      </c>
      <c r="W147" s="165" t="s">
        <v>294</v>
      </c>
      <c r="X147" s="227"/>
      <c r="Y147" s="165">
        <v>12.659000000000001</v>
      </c>
      <c r="Z147" s="228">
        <v>1.27</v>
      </c>
      <c r="AA147" s="165">
        <v>0.90835951491530798</v>
      </c>
      <c r="AB147" s="69"/>
      <c r="AC147" s="69"/>
      <c r="AD147" s="73"/>
      <c r="AE147" s="69"/>
      <c r="AF147" s="50"/>
      <c r="AJ147" s="155"/>
      <c r="AK147" s="69"/>
      <c r="AL147" s="66"/>
      <c r="AM147" s="69"/>
      <c r="AN147" s="69"/>
      <c r="AR147" s="60"/>
      <c r="AS147" s="69"/>
      <c r="AT147" s="69"/>
      <c r="AU147" s="73"/>
      <c r="AV147"/>
      <c r="BD147"/>
      <c r="BE147" s="66"/>
      <c r="BF147"/>
      <c r="BG147" s="139"/>
      <c r="BH147" s="139"/>
      <c r="BI147" s="139"/>
      <c r="BJ147" s="595">
        <f>(2*PI()*0.2*SUMPRODUCT($BG116:$BG146,BJ116:BJ146))/(2*PI()*0.2*SUM($BG116:$BG146))</f>
        <v>4.1827956989247309E-9</v>
      </c>
      <c r="BK147" s="139"/>
      <c r="BL147" s="139"/>
      <c r="BM147" s="139"/>
      <c r="BN147" s="139"/>
      <c r="BO147" s="139"/>
      <c r="BP147" s="604"/>
      <c r="BQ147" s="589"/>
      <c r="BR147" s="605"/>
      <c r="BS147" s="595">
        <f>(2*PI()*0.2*SUMPRODUCT($BP116:$BP146,BS116:BS146))/(2*PI()*0.2*SUM($BP116:$BP146))</f>
        <v>4.1944444444444445E-9</v>
      </c>
      <c r="BT147" s="600">
        <f>(2*PI()*0.2*SUMPRODUCT($BP116:$BP146,BT116:BT146))/(2*PI()*0.2*SUM($BP116:$BP146))</f>
        <v>6.2224410754838685E-2</v>
      </c>
      <c r="BU147" s="592"/>
      <c r="BV147" s="592"/>
      <c r="BW147" s="592"/>
      <c r="BX147" s="593"/>
      <c r="BY147"/>
      <c r="BZ147"/>
      <c r="CA147"/>
      <c r="CB147"/>
      <c r="CC147"/>
      <c r="CD147"/>
      <c r="CE147"/>
      <c r="CF147"/>
      <c r="CG147"/>
      <c r="CH147"/>
      <c r="CI147"/>
    </row>
    <row r="148" spans="1:87" s="36" customFormat="1" ht="15.6">
      <c r="A148" s="163"/>
      <c r="B148" s="165">
        <v>37</v>
      </c>
      <c r="C148" s="224" t="s">
        <v>573</v>
      </c>
      <c r="D148" s="165">
        <f>AB81</f>
        <v>5</v>
      </c>
      <c r="E148" s="165">
        <v>10</v>
      </c>
      <c r="F148" s="165" t="s">
        <v>292</v>
      </c>
      <c r="G148" s="165"/>
      <c r="H148" s="165">
        <f>AB82</f>
        <v>1.5</v>
      </c>
      <c r="I148" s="165"/>
      <c r="J148" s="165"/>
      <c r="K148" s="165"/>
      <c r="L148" s="165"/>
      <c r="M148" s="224">
        <f>H148/E148</f>
        <v>0.15</v>
      </c>
      <c r="N148" s="165"/>
      <c r="O148" s="165"/>
      <c r="P148" s="165"/>
      <c r="Q148" s="165"/>
      <c r="R148" s="228">
        <v>0.2</v>
      </c>
      <c r="S148" s="165"/>
      <c r="T148" s="165"/>
      <c r="U148" s="165"/>
      <c r="V148" s="165"/>
      <c r="W148" s="165"/>
      <c r="X148" s="227"/>
      <c r="Y148" s="165"/>
      <c r="Z148" s="228">
        <v>1</v>
      </c>
      <c r="AA148" s="165"/>
      <c r="AB148" s="69"/>
      <c r="AC148" s="69"/>
      <c r="AD148" s="73"/>
      <c r="AE148" s="69"/>
      <c r="AF148" s="50"/>
      <c r="AJ148" s="155"/>
      <c r="AK148" s="69"/>
      <c r="AL148" s="66"/>
      <c r="AM148" s="69"/>
      <c r="AN148" s="69"/>
      <c r="AR148" s="60"/>
      <c r="AS148" s="69"/>
      <c r="AT148" s="69"/>
      <c r="AU148" s="73"/>
      <c r="AV148"/>
      <c r="BD148"/>
      <c r="BE148" s="66"/>
      <c r="BF148"/>
      <c r="BG148" s="139"/>
      <c r="BH148" s="139"/>
      <c r="BI148" s="139"/>
      <c r="BJ148" s="139"/>
      <c r="BK148" s="139"/>
      <c r="BL148" s="139"/>
      <c r="BM148" s="139"/>
      <c r="BN148" s="139"/>
      <c r="BO148" s="139"/>
      <c r="BP148" s="604"/>
      <c r="BQ148" s="589"/>
      <c r="BR148" s="605"/>
      <c r="BS148" s="606"/>
      <c r="BT148" s="607"/>
      <c r="BU148" s="592"/>
      <c r="BV148" s="592"/>
      <c r="BW148" s="592"/>
      <c r="BX148" s="593"/>
      <c r="BY148" s="113"/>
      <c r="CH148"/>
      <c r="CI148"/>
    </row>
    <row r="149" spans="1:87" s="36" customFormat="1" ht="15.6">
      <c r="A149" s="163"/>
      <c r="B149" s="165">
        <v>38</v>
      </c>
      <c r="C149" s="224" t="s">
        <v>427</v>
      </c>
      <c r="D149" s="165"/>
      <c r="E149" s="165"/>
      <c r="F149" s="165"/>
      <c r="G149" s="165"/>
      <c r="H149" s="165"/>
      <c r="I149" s="165"/>
      <c r="J149" s="165"/>
      <c r="K149" s="165"/>
      <c r="L149" s="165"/>
      <c r="M149" s="165"/>
      <c r="N149" s="165"/>
      <c r="O149" s="165"/>
      <c r="P149" s="165"/>
      <c r="Q149" s="165"/>
      <c r="R149" s="228"/>
      <c r="S149" s="165"/>
      <c r="T149" s="165"/>
      <c r="U149" s="165"/>
      <c r="V149" s="165"/>
      <c r="W149" s="165"/>
      <c r="X149" s="227"/>
      <c r="Y149" s="165"/>
      <c r="Z149" s="228"/>
      <c r="AA149" s="165"/>
      <c r="AB149" s="69"/>
      <c r="AC149" s="69"/>
      <c r="AD149" s="73"/>
      <c r="AE149" s="69"/>
      <c r="AF149" s="50"/>
      <c r="AJ149" s="155"/>
      <c r="AK149" s="69"/>
      <c r="AL149" s="66"/>
      <c r="AM149" s="69"/>
      <c r="AN149" s="69"/>
      <c r="AR149" s="60"/>
      <c r="AS149" s="69"/>
      <c r="AT149" s="69"/>
      <c r="AU149" s="73"/>
      <c r="AV149"/>
      <c r="BD149"/>
      <c r="BE149" s="66"/>
      <c r="BF149"/>
      <c r="BG149" s="593" t="s">
        <v>646</v>
      </c>
      <c r="BH149" s="139"/>
      <c r="BI149" s="139"/>
      <c r="BJ149" s="139"/>
      <c r="BK149" s="139"/>
      <c r="BL149" s="139"/>
      <c r="BM149" s="139"/>
      <c r="BN149" s="139"/>
      <c r="BO149" s="139"/>
      <c r="BP149" s="593" t="s">
        <v>644</v>
      </c>
      <c r="BQ149"/>
      <c r="BR149" s="588"/>
      <c r="BS149" s="588"/>
      <c r="BT149" s="588"/>
      <c r="BU149" s="588"/>
      <c r="BV149" s="588"/>
      <c r="BW149" s="588"/>
      <c r="BX149"/>
      <c r="BY149"/>
      <c r="BZ149"/>
      <c r="CA149"/>
      <c r="CB149"/>
      <c r="CC149"/>
      <c r="CD149"/>
      <c r="CE149"/>
      <c r="CF149"/>
      <c r="CG149"/>
      <c r="CH149"/>
      <c r="CI149"/>
    </row>
    <row r="150" spans="1:87" s="36" customFormat="1" ht="18">
      <c r="A150" s="163"/>
      <c r="B150" s="165">
        <v>39</v>
      </c>
      <c r="C150" s="224" t="s">
        <v>428</v>
      </c>
      <c r="D150" s="165"/>
      <c r="E150" s="165"/>
      <c r="F150" s="165"/>
      <c r="G150" s="165"/>
      <c r="H150" s="165"/>
      <c r="I150" s="165"/>
      <c r="J150" s="165"/>
      <c r="K150" s="165"/>
      <c r="L150" s="165"/>
      <c r="M150" s="165"/>
      <c r="N150" s="165"/>
      <c r="O150" s="165"/>
      <c r="P150" s="165"/>
      <c r="Q150" s="165"/>
      <c r="R150" s="228"/>
      <c r="S150" s="165"/>
      <c r="T150" s="165"/>
      <c r="U150" s="165"/>
      <c r="V150" s="165"/>
      <c r="W150" s="165"/>
      <c r="X150" s="227"/>
      <c r="Y150" s="165"/>
      <c r="Z150" s="228"/>
      <c r="AA150" s="165"/>
      <c r="AB150" s="69"/>
      <c r="AC150" s="69"/>
      <c r="AD150" s="73"/>
      <c r="AE150" s="69"/>
      <c r="AF150" s="50"/>
      <c r="AJ150" s="155"/>
      <c r="AK150" s="69"/>
      <c r="AL150" s="66"/>
      <c r="AM150" s="69"/>
      <c r="AN150" s="69"/>
      <c r="AR150" s="60"/>
      <c r="AS150" s="69"/>
      <c r="AT150" s="69"/>
      <c r="AU150" s="73"/>
      <c r="AV150"/>
      <c r="BD150"/>
      <c r="BE150" s="66"/>
      <c r="BF150"/>
      <c r="BG150" s="618" t="s">
        <v>642</v>
      </c>
      <c r="BH150" s="139"/>
      <c r="BI150" s="139"/>
      <c r="BJ150" s="139"/>
      <c r="BK150" s="139"/>
      <c r="BL150" s="139"/>
      <c r="BM150" s="139"/>
      <c r="BN150" s="139"/>
      <c r="BO150" s="139"/>
      <c r="BP150" s="139"/>
      <c r="BQ150" s="593"/>
      <c r="BR150" s="588"/>
      <c r="BS150" s="588"/>
      <c r="BT150" s="588"/>
      <c r="BU150" s="588"/>
      <c r="BV150" s="588"/>
      <c r="BW150" s="588"/>
      <c r="BX150"/>
      <c r="BY150"/>
      <c r="BZ150"/>
      <c r="CA150"/>
      <c r="CB150"/>
      <c r="CC150"/>
      <c r="CD150"/>
      <c r="CE150"/>
      <c r="CF150"/>
      <c r="CG150"/>
      <c r="CH150"/>
      <c r="CI150"/>
    </row>
    <row r="151" spans="1:87" s="36" customFormat="1">
      <c r="B151" s="69"/>
      <c r="C151" s="69"/>
      <c r="D151" s="72"/>
      <c r="E151" s="69"/>
      <c r="F151" s="72"/>
      <c r="G151" s="69"/>
      <c r="H151" s="69"/>
      <c r="I151" s="90"/>
      <c r="J151" s="69"/>
      <c r="K151" s="69"/>
      <c r="L151" s="54"/>
      <c r="M151" s="54"/>
      <c r="N151"/>
      <c r="O151"/>
      <c r="P151"/>
      <c r="Q151"/>
      <c r="R151" s="631" t="s">
        <v>526</v>
      </c>
      <c r="S151" s="632"/>
      <c r="T151" s="632"/>
      <c r="U151" s="632"/>
      <c r="V151" s="69"/>
      <c r="W151" s="69"/>
      <c r="X151" s="69"/>
      <c r="Y151" s="69"/>
      <c r="Z151" s="69"/>
      <c r="AA151" s="69"/>
      <c r="AB151" s="69"/>
      <c r="AC151" s="69"/>
      <c r="AD151" s="73"/>
      <c r="AE151" s="69"/>
      <c r="AF151" s="50"/>
      <c r="AJ151" s="155"/>
      <c r="AK151" s="69"/>
      <c r="AL151" s="66"/>
      <c r="AM151" s="69"/>
      <c r="AN151" s="69"/>
      <c r="AR151" s="60"/>
      <c r="AS151" s="69"/>
      <c r="AT151" s="69"/>
      <c r="AU151" s="73"/>
      <c r="AV151"/>
      <c r="BD151"/>
      <c r="BE151" s="66"/>
      <c r="BF151"/>
      <c r="BG151" s="117" t="s">
        <v>164</v>
      </c>
      <c r="BH151" s="117" t="s">
        <v>165</v>
      </c>
      <c r="BI151" s="117" t="s">
        <v>52</v>
      </c>
      <c r="BJ151" s="117" t="s">
        <v>166</v>
      </c>
      <c r="BK151" s="117" t="s">
        <v>167</v>
      </c>
      <c r="BL151" s="117" t="s">
        <v>168</v>
      </c>
      <c r="BM151" s="117" t="s">
        <v>666</v>
      </c>
      <c r="BN151" s="117" t="s">
        <v>169</v>
      </c>
      <c r="BO151" s="139"/>
      <c r="BP151" s="596" t="s">
        <v>164</v>
      </c>
      <c r="BQ151" s="596" t="s">
        <v>165</v>
      </c>
      <c r="BR151" s="596" t="s">
        <v>52</v>
      </c>
      <c r="BS151" s="596" t="s">
        <v>166</v>
      </c>
      <c r="BT151" s="596" t="s">
        <v>167</v>
      </c>
      <c r="BU151" s="596" t="s">
        <v>168</v>
      </c>
      <c r="BV151" s="596" t="s">
        <v>666</v>
      </c>
      <c r="BW151" s="596" t="s">
        <v>169</v>
      </c>
      <c r="BX151"/>
      <c r="BY151"/>
      <c r="BZ151"/>
      <c r="CA151"/>
      <c r="CB151"/>
      <c r="CC151"/>
      <c r="CD151"/>
      <c r="CE151"/>
      <c r="CF151"/>
      <c r="CG151"/>
      <c r="CH151"/>
      <c r="CI151"/>
    </row>
    <row r="152" spans="1:87" s="36" customFormat="1">
      <c r="B152" s="69"/>
      <c r="C152" s="69"/>
      <c r="D152" s="72"/>
      <c r="E152" s="69"/>
      <c r="F152" s="72"/>
      <c r="G152" s="69"/>
      <c r="H152" s="69"/>
      <c r="I152" s="90"/>
      <c r="J152" s="69"/>
      <c r="K152" s="69"/>
      <c r="L152" s="54"/>
      <c r="M152" s="54"/>
      <c r="N152"/>
      <c r="O152"/>
      <c r="P152"/>
      <c r="Q152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73"/>
      <c r="AE152" s="69"/>
      <c r="AF152" s="50"/>
      <c r="AJ152" s="155"/>
      <c r="AK152" s="69"/>
      <c r="AL152" s="66"/>
      <c r="AM152" s="69"/>
      <c r="AN152" s="69"/>
      <c r="AR152" s="60"/>
      <c r="AS152" s="69"/>
      <c r="AT152" s="69"/>
      <c r="AU152" s="73"/>
      <c r="AV152"/>
      <c r="BD152"/>
      <c r="BE152" s="66"/>
      <c r="BF152"/>
      <c r="BG152" s="122">
        <v>3</v>
      </c>
      <c r="BH152" s="119">
        <v>0.20887600000000001</v>
      </c>
      <c r="BI152" s="120">
        <v>6.4727158000000003E-12</v>
      </c>
      <c r="BJ152" s="616">
        <v>6.9999999999999998E-9</v>
      </c>
      <c r="BK152" s="617">
        <v>4.4181020000000001E-2</v>
      </c>
      <c r="BL152" s="121">
        <v>1.2165047E-3</v>
      </c>
      <c r="BM152" s="121">
        <v>4.6681509999999997E-3</v>
      </c>
      <c r="BN152" s="121">
        <v>0.15635784</v>
      </c>
      <c r="BO152" s="139"/>
      <c r="BP152" s="601">
        <v>3</v>
      </c>
      <c r="BQ152" s="215">
        <v>0.20887600000000001</v>
      </c>
      <c r="BR152" s="602">
        <v>6.4727158000000003E-12</v>
      </c>
      <c r="BS152" s="608">
        <v>4.8164229936641075E-9</v>
      </c>
      <c r="BT152" s="620">
        <v>4.4181020000000001E-2</v>
      </c>
      <c r="BU152" s="603">
        <v>1.2165047E-3</v>
      </c>
      <c r="BV152" s="603">
        <v>4.6681509999999997E-3</v>
      </c>
      <c r="BW152" s="603">
        <v>0.15635784</v>
      </c>
      <c r="BX152"/>
      <c r="BY152"/>
      <c r="BZ152"/>
      <c r="CA152"/>
      <c r="CB152"/>
      <c r="CC152"/>
      <c r="CD152"/>
      <c r="CE152"/>
      <c r="CF152"/>
      <c r="CG152"/>
      <c r="CH152"/>
      <c r="CI152"/>
    </row>
    <row r="153" spans="1:87" s="36" customFormat="1">
      <c r="B153" s="69"/>
      <c r="C153" s="69"/>
      <c r="D153" s="72"/>
      <c r="E153" s="69"/>
      <c r="F153" s="72"/>
      <c r="G153" s="69"/>
      <c r="H153" s="69"/>
      <c r="I153" s="90"/>
      <c r="J153" s="69"/>
      <c r="K153" s="69"/>
      <c r="L153" s="54"/>
      <c r="M153" s="54"/>
      <c r="N153"/>
      <c r="O153"/>
      <c r="P153"/>
      <c r="Q153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73"/>
      <c r="AE153" s="69"/>
      <c r="AF153" s="50"/>
      <c r="AJ153" s="155"/>
      <c r="AK153" s="69"/>
      <c r="AL153" s="66"/>
      <c r="AM153" s="69"/>
      <c r="AN153" s="69"/>
      <c r="AR153" s="60"/>
      <c r="AS153" s="69"/>
      <c r="AT153" s="69"/>
      <c r="AU153" s="73"/>
      <c r="AV153"/>
      <c r="BD153"/>
      <c r="BE153" s="66"/>
      <c r="BF153"/>
      <c r="BG153" s="122">
        <v>3.2</v>
      </c>
      <c r="BH153" s="119">
        <v>0.222801</v>
      </c>
      <c r="BI153" s="120">
        <v>4.7216962000000002E-12</v>
      </c>
      <c r="BJ153" s="616">
        <v>6.9999999999999998E-9</v>
      </c>
      <c r="BK153" s="617">
        <v>5.1539613999999997E-2</v>
      </c>
      <c r="BL153" s="121">
        <v>1.4025865000000001E-3</v>
      </c>
      <c r="BM153" s="121">
        <v>4.7942108000000004E-3</v>
      </c>
      <c r="BN153" s="121">
        <v>0.18240010000000001</v>
      </c>
      <c r="BO153" s="139"/>
      <c r="BP153" s="601">
        <v>3.2</v>
      </c>
      <c r="BQ153" s="215">
        <v>0.222801</v>
      </c>
      <c r="BR153" s="602">
        <v>4.7216962000000002E-12</v>
      </c>
      <c r="BS153" s="608">
        <v>3.0473353466561051E-9</v>
      </c>
      <c r="BT153" s="620">
        <v>5.1539613999999997E-2</v>
      </c>
      <c r="BU153" s="603">
        <v>1.4025865000000001E-3</v>
      </c>
      <c r="BV153" s="603">
        <v>4.7942108000000004E-3</v>
      </c>
      <c r="BW153" s="603">
        <v>0.18240010000000001</v>
      </c>
      <c r="BX153"/>
      <c r="BY153"/>
      <c r="BZ153"/>
      <c r="CA153"/>
      <c r="CB153"/>
      <c r="CC153"/>
      <c r="CD153"/>
      <c r="CE153"/>
      <c r="CF153"/>
      <c r="CG153"/>
      <c r="CH153"/>
      <c r="CI153"/>
    </row>
    <row r="154" spans="1:87" s="36" customFormat="1" ht="27.6">
      <c r="B154" s="69"/>
      <c r="C154" s="32" t="s">
        <v>74</v>
      </c>
      <c r="D154" s="33" t="s">
        <v>73</v>
      </c>
      <c r="E154" s="33" t="s">
        <v>204</v>
      </c>
      <c r="F154" s="32" t="s">
        <v>209</v>
      </c>
      <c r="G154" s="32" t="s">
        <v>205</v>
      </c>
      <c r="H154" s="32" t="s">
        <v>72</v>
      </c>
      <c r="I154" s="32" t="s">
        <v>71</v>
      </c>
      <c r="J154" s="32" t="s">
        <v>70</v>
      </c>
      <c r="K154" s="1"/>
      <c r="L154" s="54"/>
      <c r="M154" s="54"/>
      <c r="N154"/>
      <c r="O154"/>
      <c r="P154"/>
      <c r="Q154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73"/>
      <c r="AE154" s="69"/>
      <c r="AF154" s="50"/>
      <c r="AJ154" s="155"/>
      <c r="AK154" s="69"/>
      <c r="AL154" s="66"/>
      <c r="AM154" s="69"/>
      <c r="AN154" s="69"/>
      <c r="AR154" s="60"/>
      <c r="AS154" s="69"/>
      <c r="AT154" s="69"/>
      <c r="AU154" s="73"/>
      <c r="AV154"/>
      <c r="BD154"/>
      <c r="BE154" s="66"/>
      <c r="BF154"/>
      <c r="BG154" s="122">
        <v>3.4</v>
      </c>
      <c r="BH154" s="119">
        <v>0.23672599999999999</v>
      </c>
      <c r="BI154" s="120">
        <v>5.0607030000000002E-12</v>
      </c>
      <c r="BJ154" s="616">
        <v>6.9999999999999998E-9</v>
      </c>
      <c r="BK154" s="617">
        <v>5.8143052000000001E-2</v>
      </c>
      <c r="BL154" s="121">
        <v>1.5205151999999999E-3</v>
      </c>
      <c r="BM154" s="121">
        <v>4.9754214E-3</v>
      </c>
      <c r="BN154" s="121">
        <v>0.20576985</v>
      </c>
      <c r="BO154" s="139"/>
      <c r="BP154" s="601">
        <v>3.4</v>
      </c>
      <c r="BQ154" s="215">
        <v>0.23672599999999999</v>
      </c>
      <c r="BR154" s="602">
        <v>5.0607030000000002E-12</v>
      </c>
      <c r="BS154" s="608">
        <v>3.0128114318331679E-9</v>
      </c>
      <c r="BT154" s="620">
        <v>5.8143052000000001E-2</v>
      </c>
      <c r="BU154" s="603">
        <v>1.5205151999999999E-3</v>
      </c>
      <c r="BV154" s="603">
        <v>4.9754214E-3</v>
      </c>
      <c r="BW154" s="603">
        <v>0.20576985</v>
      </c>
      <c r="BX154"/>
      <c r="BY154"/>
      <c r="BZ154"/>
      <c r="CA154"/>
      <c r="CB154"/>
      <c r="CC154"/>
      <c r="CD154"/>
      <c r="CE154"/>
      <c r="CF154"/>
      <c r="CG154"/>
      <c r="CH154"/>
      <c r="CI154"/>
    </row>
    <row r="155" spans="1:87" s="36" customFormat="1">
      <c r="B155" s="69"/>
      <c r="C155" s="37" t="s">
        <v>67</v>
      </c>
      <c r="D155" s="29">
        <v>0.36</v>
      </c>
      <c r="E155" s="31">
        <v>6.8000000000000005E-2</v>
      </c>
      <c r="F155" s="30">
        <v>4.3499999999999999E-8</v>
      </c>
      <c r="G155" s="30">
        <f t="shared" ref="G155:G168" si="9">F155/(h_planck*c_light/(D155*0.000001))</f>
        <v>78834267232.357346</v>
      </c>
      <c r="H155" s="30">
        <f t="shared" ref="H155:H168" si="10">G155*(1/1000)*(1/100)^2</f>
        <v>7883.4267232357361</v>
      </c>
      <c r="I155" s="30">
        <f t="shared" ref="I155:I168" si="11">G155*E155</f>
        <v>5360730171.8002996</v>
      </c>
      <c r="J155" s="29">
        <f t="shared" ref="J155:J168" si="12">LOG10(F155)</f>
        <v>-7.361510743045363</v>
      </c>
      <c r="K155" s="1"/>
      <c r="L155" s="54"/>
      <c r="M155" s="54"/>
      <c r="N155"/>
      <c r="O155"/>
      <c r="P155"/>
      <c r="Q155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73"/>
      <c r="AE155" s="69"/>
      <c r="AF155" s="50"/>
      <c r="AJ155" s="155"/>
      <c r="AK155" s="69"/>
      <c r="AL155" s="66"/>
      <c r="AM155" s="69"/>
      <c r="AN155" s="69"/>
      <c r="AR155" s="60"/>
      <c r="AS155" s="69"/>
      <c r="AT155" s="69"/>
      <c r="AU155" s="73"/>
      <c r="AV155"/>
      <c r="BD155"/>
      <c r="BE155" s="66"/>
      <c r="BF155"/>
      <c r="BG155" s="122">
        <v>3.6</v>
      </c>
      <c r="BH155" s="119">
        <v>0.25065100000000001</v>
      </c>
      <c r="BI155" s="120">
        <v>3.5196561000000001E-12</v>
      </c>
      <c r="BJ155" s="616">
        <v>6.9999999999999998E-9</v>
      </c>
      <c r="BK155" s="617">
        <v>6.2181743999999997E-2</v>
      </c>
      <c r="BL155" s="121">
        <v>1.5961043E-3</v>
      </c>
      <c r="BM155" s="121">
        <v>5.0345119999999997E-3</v>
      </c>
      <c r="BN155" s="121">
        <v>0.22006289000000001</v>
      </c>
      <c r="BO155" s="139"/>
      <c r="BP155" s="601">
        <v>3.6</v>
      </c>
      <c r="BQ155" s="215">
        <v>0.25065100000000001</v>
      </c>
      <c r="BR155" s="602">
        <v>3.5196561000000001E-12</v>
      </c>
      <c r="BS155" s="608">
        <v>1.9961391733860087E-9</v>
      </c>
      <c r="BT155" s="620">
        <v>6.2181743999999997E-2</v>
      </c>
      <c r="BU155" s="603">
        <v>1.5961043E-3</v>
      </c>
      <c r="BV155" s="603">
        <v>5.0345119999999997E-3</v>
      </c>
      <c r="BW155" s="603">
        <v>0.22006289000000001</v>
      </c>
      <c r="BX155"/>
      <c r="BY155"/>
      <c r="BZ155"/>
      <c r="CA155"/>
      <c r="CB155"/>
      <c r="CC155"/>
      <c r="CD155"/>
      <c r="CE155"/>
      <c r="CF155"/>
      <c r="CG155"/>
      <c r="CH155"/>
      <c r="CI155"/>
    </row>
    <row r="156" spans="1:87" s="36" customFormat="1">
      <c r="B156" s="69"/>
      <c r="C156" s="38" t="s">
        <v>63</v>
      </c>
      <c r="D156" s="26">
        <v>0.44</v>
      </c>
      <c r="E156" s="28">
        <v>9.8000000000000004E-2</v>
      </c>
      <c r="F156" s="27">
        <v>7.1999999999999996E-8</v>
      </c>
      <c r="G156" s="27">
        <f t="shared" si="9"/>
        <v>159480816470.05624</v>
      </c>
      <c r="H156" s="27">
        <f t="shared" si="10"/>
        <v>15948.081647005625</v>
      </c>
      <c r="I156" s="27">
        <f t="shared" si="11"/>
        <v>15629120014.065512</v>
      </c>
      <c r="J156" s="26">
        <f t="shared" si="12"/>
        <v>-7.1426675035687319</v>
      </c>
      <c r="K156" s="1"/>
      <c r="L156" s="54"/>
      <c r="M156" s="54"/>
      <c r="N156"/>
      <c r="O156"/>
      <c r="P156"/>
      <c r="Q156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73"/>
      <c r="AE156" s="69"/>
      <c r="AF156" s="50"/>
      <c r="AJ156" s="155"/>
      <c r="AK156" s="69"/>
      <c r="AL156" s="66"/>
      <c r="AM156" s="69"/>
      <c r="AN156" s="69"/>
      <c r="AR156" s="60"/>
      <c r="AS156" s="69"/>
      <c r="AT156" s="69"/>
      <c r="AU156" s="73"/>
      <c r="AV156"/>
      <c r="BD156"/>
      <c r="BE156" s="66"/>
      <c r="BF156"/>
      <c r="BG156" s="122">
        <v>3.8</v>
      </c>
      <c r="BH156" s="119">
        <v>0.26457599999999998</v>
      </c>
      <c r="BI156" s="120">
        <v>3.3005912000000001E-12</v>
      </c>
      <c r="BJ156" s="616">
        <v>6.9999999999999998E-9</v>
      </c>
      <c r="BK156" s="617">
        <v>6.5714702E-2</v>
      </c>
      <c r="BL156" s="121">
        <v>1.6612665E-3</v>
      </c>
      <c r="BM156" s="121">
        <v>5.0905721999999999E-3</v>
      </c>
      <c r="BN156" s="121">
        <v>0.23256613000000001</v>
      </c>
      <c r="BO156" s="139"/>
      <c r="BP156" s="601">
        <v>3.8</v>
      </c>
      <c r="BQ156" s="215">
        <v>0.26457599999999998</v>
      </c>
      <c r="BR156" s="602">
        <v>3.3005912000000001E-12</v>
      </c>
      <c r="BS156" s="608">
        <v>1.7984745556711223E-9</v>
      </c>
      <c r="BT156" s="620">
        <v>6.5714702E-2</v>
      </c>
      <c r="BU156" s="603">
        <v>1.6612665E-3</v>
      </c>
      <c r="BV156" s="603">
        <v>5.0905721999999999E-3</v>
      </c>
      <c r="BW156" s="603">
        <v>0.23256613000000001</v>
      </c>
      <c r="BX156"/>
      <c r="BY156"/>
      <c r="BZ156"/>
      <c r="CA156"/>
      <c r="CB156"/>
      <c r="CC156"/>
      <c r="CD156"/>
      <c r="CE156"/>
      <c r="CF156"/>
      <c r="CG156"/>
      <c r="CH156"/>
      <c r="CI156"/>
    </row>
    <row r="157" spans="1:87" s="36" customFormat="1">
      <c r="B157" s="69"/>
      <c r="C157" s="39" t="s">
        <v>14</v>
      </c>
      <c r="D157" s="23">
        <v>0.55000000000000004</v>
      </c>
      <c r="E157" s="25">
        <v>8.8999999999999996E-2</v>
      </c>
      <c r="F157" s="24">
        <v>3.92E-8</v>
      </c>
      <c r="G157" s="24">
        <f t="shared" si="9"/>
        <v>108535555653.23273</v>
      </c>
      <c r="H157" s="24">
        <f t="shared" si="10"/>
        <v>10853.555565323273</v>
      </c>
      <c r="I157" s="24">
        <f t="shared" si="11"/>
        <v>9659664453.1377125</v>
      </c>
      <c r="J157" s="23">
        <f t="shared" si="12"/>
        <v>-7.4067139329795424</v>
      </c>
      <c r="K157" s="1">
        <f>E157/D157</f>
        <v>0.16181818181818181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 s="69"/>
      <c r="AC157" s="69"/>
      <c r="AD157" s="73"/>
      <c r="AE157" s="69"/>
      <c r="AF157" s="50"/>
      <c r="AJ157" s="155"/>
      <c r="AK157" s="69"/>
      <c r="AL157" s="66"/>
      <c r="AM157" s="69"/>
      <c r="AN157" s="69"/>
      <c r="AR157" s="60"/>
      <c r="AS157" s="69"/>
      <c r="AT157" s="69"/>
      <c r="AU157" s="73"/>
      <c r="AV157"/>
      <c r="BD157"/>
      <c r="BE157" s="66"/>
      <c r="BF157"/>
      <c r="BG157" s="122">
        <v>4</v>
      </c>
      <c r="BH157" s="119">
        <v>0.278501</v>
      </c>
      <c r="BI157" s="120">
        <v>2.9093909000000001E-12</v>
      </c>
      <c r="BJ157" s="616">
        <v>5.0000000000000001E-9</v>
      </c>
      <c r="BK157" s="617">
        <v>6.8741936000000003E-2</v>
      </c>
      <c r="BL157" s="121">
        <v>1.7160019000000001E-3</v>
      </c>
      <c r="BM157" s="121">
        <v>5.1436023000000003E-3</v>
      </c>
      <c r="BN157" s="121">
        <v>0.24327958999999999</v>
      </c>
      <c r="BO157" s="139"/>
      <c r="BP157" s="601">
        <v>4</v>
      </c>
      <c r="BQ157" s="215">
        <v>0.278501</v>
      </c>
      <c r="BR157" s="602">
        <v>2.9093909000000001E-12</v>
      </c>
      <c r="BS157" s="608">
        <v>1.5347448831605273E-9</v>
      </c>
      <c r="BT157" s="620">
        <v>6.8741936000000003E-2</v>
      </c>
      <c r="BU157" s="603">
        <v>1.7160019000000001E-3</v>
      </c>
      <c r="BV157" s="603">
        <v>5.1436023000000003E-3</v>
      </c>
      <c r="BW157" s="603">
        <v>0.24327958999999999</v>
      </c>
      <c r="BX157"/>
      <c r="BY157"/>
      <c r="BZ157"/>
      <c r="CA157"/>
      <c r="CB157"/>
      <c r="CC157"/>
      <c r="CD157"/>
      <c r="CE157"/>
      <c r="CF157"/>
      <c r="CG157"/>
      <c r="CH157"/>
      <c r="CI157"/>
    </row>
    <row r="158" spans="1:87" s="36" customFormat="1">
      <c r="B158" s="69"/>
      <c r="C158" s="40" t="s">
        <v>57</v>
      </c>
      <c r="D158" s="22">
        <v>0.7</v>
      </c>
      <c r="E158" s="21">
        <v>0.22</v>
      </c>
      <c r="F158" s="20">
        <v>1.7599999999999999E-8</v>
      </c>
      <c r="G158" s="20">
        <f t="shared" si="9"/>
        <v>62020317516.132988</v>
      </c>
      <c r="H158" s="20">
        <f t="shared" si="10"/>
        <v>6202.0317516132991</v>
      </c>
      <c r="I158" s="20">
        <f t="shared" si="11"/>
        <v>13644469853.549257</v>
      </c>
      <c r="J158" s="19">
        <f t="shared" si="12"/>
        <v>-7.7544873321858505</v>
      </c>
      <c r="K158" s="1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 s="69"/>
      <c r="AC158" s="69"/>
      <c r="AD158" s="73"/>
      <c r="AE158" s="69"/>
      <c r="AF158" s="50"/>
      <c r="AJ158" s="155"/>
      <c r="AK158" s="69"/>
      <c r="AL158" s="66"/>
      <c r="AM158" s="69"/>
      <c r="AN158" s="69"/>
      <c r="AR158" s="60"/>
      <c r="AS158" s="69"/>
      <c r="AT158" s="69"/>
      <c r="AU158" s="73"/>
      <c r="AV158"/>
      <c r="BD158"/>
      <c r="BE158" s="66"/>
      <c r="BF158"/>
      <c r="BG158" s="122">
        <v>4.2</v>
      </c>
      <c r="BH158" s="119">
        <v>0.29242600000000002</v>
      </c>
      <c r="BI158" s="120">
        <v>2.41178E-12</v>
      </c>
      <c r="BJ158" s="616">
        <v>5.0000000000000001E-9</v>
      </c>
      <c r="BK158" s="617">
        <v>7.1263439999999997E-2</v>
      </c>
      <c r="BL158" s="121">
        <v>1.7603104999999999E-3</v>
      </c>
      <c r="BM158" s="121">
        <v>5.1936020999999999E-3</v>
      </c>
      <c r="BN158" s="121">
        <v>0.25220326999999998</v>
      </c>
      <c r="BO158" s="139"/>
      <c r="BP158" s="601">
        <v>4.2</v>
      </c>
      <c r="BQ158" s="215">
        <v>0.29242600000000002</v>
      </c>
      <c r="BR158" s="602">
        <v>2.41178E-12</v>
      </c>
      <c r="BS158" s="608">
        <v>1.2402244941395127E-9</v>
      </c>
      <c r="BT158" s="620">
        <v>7.1263439999999997E-2</v>
      </c>
      <c r="BU158" s="603">
        <v>1.7603104999999999E-3</v>
      </c>
      <c r="BV158" s="603">
        <v>5.1936020999999999E-3</v>
      </c>
      <c r="BW158" s="603">
        <v>0.25220326999999998</v>
      </c>
      <c r="BX158"/>
      <c r="BY158"/>
      <c r="BZ158"/>
      <c r="CA158"/>
      <c r="CB158"/>
      <c r="CC158"/>
      <c r="CD158"/>
      <c r="CE158"/>
      <c r="CF158"/>
      <c r="CG158"/>
      <c r="CH158"/>
      <c r="CI158"/>
    </row>
    <row r="159" spans="1:87" s="36" customFormat="1">
      <c r="B159" s="69"/>
      <c r="C159" s="41" t="s">
        <v>55</v>
      </c>
      <c r="D159" s="15">
        <v>0.8</v>
      </c>
      <c r="E159" s="18">
        <v>0.2</v>
      </c>
      <c r="F159" s="17">
        <v>1.2100000000000001E-8</v>
      </c>
      <c r="G159" s="16">
        <f t="shared" si="9"/>
        <v>48730249476.961639</v>
      </c>
      <c r="H159" s="16">
        <f t="shared" si="10"/>
        <v>4873.0249476961644</v>
      </c>
      <c r="I159" s="16">
        <f t="shared" si="11"/>
        <v>9746049895.3923283</v>
      </c>
      <c r="J159" s="15">
        <f t="shared" si="12"/>
        <v>-7.9172146296835502</v>
      </c>
      <c r="K159" s="1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 s="69"/>
      <c r="AC159" s="69"/>
      <c r="AD159" s="73"/>
      <c r="AE159" s="69"/>
      <c r="AF159" s="50"/>
      <c r="AJ159" s="155"/>
      <c r="AK159" s="69"/>
      <c r="AL159" s="66"/>
      <c r="AM159" s="69"/>
      <c r="AN159" s="69"/>
      <c r="AR159" s="60"/>
      <c r="AS159" s="69"/>
      <c r="AT159" s="69"/>
      <c r="AU159" s="73"/>
      <c r="AV159"/>
      <c r="BD159"/>
      <c r="BE159" s="66"/>
      <c r="BF159"/>
      <c r="BG159" s="122">
        <v>4.4000000000000004</v>
      </c>
      <c r="BH159" s="119">
        <v>0.30635099999999998</v>
      </c>
      <c r="BI159" s="120">
        <v>1.9626469999999998E-12</v>
      </c>
      <c r="BJ159" s="616">
        <v>5.0000000000000001E-9</v>
      </c>
      <c r="BK159" s="617">
        <v>7.3279211999999996E-2</v>
      </c>
      <c r="BL159" s="121">
        <v>1.7941921E-3</v>
      </c>
      <c r="BM159" s="121">
        <v>5.2405715E-3</v>
      </c>
      <c r="BN159" s="121">
        <v>0.25933713000000003</v>
      </c>
      <c r="BO159" s="139"/>
      <c r="BP159" s="601">
        <v>4.4000000000000004</v>
      </c>
      <c r="BQ159" s="215">
        <v>0.30635099999999998</v>
      </c>
      <c r="BR159" s="602">
        <v>1.9626469999999998E-12</v>
      </c>
      <c r="BS159" s="608">
        <v>9.9020503112959208E-10</v>
      </c>
      <c r="BT159" s="620">
        <v>7.3279211999999996E-2</v>
      </c>
      <c r="BU159" s="603">
        <v>1.7941921E-3</v>
      </c>
      <c r="BV159" s="603">
        <v>5.2405715E-3</v>
      </c>
      <c r="BW159" s="603">
        <v>0.25933713000000003</v>
      </c>
      <c r="BX159"/>
      <c r="BY159"/>
      <c r="BZ159"/>
      <c r="CA159"/>
      <c r="CB159"/>
      <c r="CC159"/>
      <c r="CD159"/>
      <c r="CE159"/>
      <c r="CF159"/>
      <c r="CG159"/>
      <c r="CH159"/>
      <c r="CI159"/>
    </row>
    <row r="160" spans="1:87" s="36" customFormat="1">
      <c r="B160" s="69"/>
      <c r="C160" s="42" t="s">
        <v>52</v>
      </c>
      <c r="D160" s="12">
        <v>0.9</v>
      </c>
      <c r="E160" s="14">
        <v>0.24</v>
      </c>
      <c r="F160" s="13">
        <v>8.2999999999999999E-9</v>
      </c>
      <c r="G160" s="6">
        <f t="shared" si="9"/>
        <v>37604851610.837128</v>
      </c>
      <c r="H160" s="6">
        <f t="shared" si="10"/>
        <v>3760.4851610837131</v>
      </c>
      <c r="I160" s="6">
        <f t="shared" si="11"/>
        <v>9025164386.6009102</v>
      </c>
      <c r="J160" s="12">
        <f t="shared" si="12"/>
        <v>-8.0809219076239263</v>
      </c>
      <c r="K160" s="1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s="69"/>
      <c r="AC160" s="69"/>
      <c r="AD160" s="73"/>
      <c r="AE160" s="69"/>
      <c r="AF160" s="50"/>
      <c r="AJ160" s="155"/>
      <c r="AK160" s="69"/>
      <c r="AL160" s="66"/>
      <c r="AM160" s="69"/>
      <c r="AN160" s="69"/>
      <c r="AR160" s="60"/>
      <c r="AS160" s="69"/>
      <c r="AT160" s="69"/>
      <c r="AU160" s="73"/>
      <c r="AV160"/>
      <c r="BD160"/>
      <c r="BE160" s="66"/>
      <c r="BF160"/>
      <c r="BG160" s="122">
        <v>4.5999999999999996</v>
      </c>
      <c r="BH160" s="119">
        <v>0.32027600000000001</v>
      </c>
      <c r="BI160" s="120">
        <v>2.0999273E-12</v>
      </c>
      <c r="BJ160" s="616">
        <v>5.0000000000000001E-9</v>
      </c>
      <c r="BK160" s="617">
        <v>7.4789253999999999E-2</v>
      </c>
      <c r="BL160" s="121">
        <v>1.8176468000000001E-3</v>
      </c>
      <c r="BM160" s="121">
        <v>5.2845106000000003E-3</v>
      </c>
      <c r="BN160" s="121">
        <v>0.26468121</v>
      </c>
      <c r="BO160" s="139"/>
      <c r="BP160" s="601">
        <v>4.5999999999999996</v>
      </c>
      <c r="BQ160" s="215">
        <v>0.32027600000000001</v>
      </c>
      <c r="BR160" s="602">
        <v>2.0999273E-12</v>
      </c>
      <c r="BS160" s="608">
        <v>1.0457952063363081E-9</v>
      </c>
      <c r="BT160" s="620">
        <v>7.4789253999999999E-2</v>
      </c>
      <c r="BU160" s="603">
        <v>1.8176468000000001E-3</v>
      </c>
      <c r="BV160" s="603">
        <v>5.2845106000000003E-3</v>
      </c>
      <c r="BW160" s="603">
        <v>0.26468121</v>
      </c>
      <c r="BX160"/>
      <c r="BY160"/>
      <c r="BZ160"/>
      <c r="CA160"/>
      <c r="CB160"/>
      <c r="CC160"/>
      <c r="CD160"/>
      <c r="CE160"/>
      <c r="CF160"/>
      <c r="CG160"/>
      <c r="CH160"/>
      <c r="CI160"/>
    </row>
    <row r="161" spans="2:87" s="36" customFormat="1">
      <c r="B161" s="69"/>
      <c r="C161" s="43" t="s">
        <v>46</v>
      </c>
      <c r="D161" s="8">
        <v>1.05</v>
      </c>
      <c r="E161" s="10">
        <v>0.2</v>
      </c>
      <c r="F161" s="9">
        <v>5.7200000000000001E-9</v>
      </c>
      <c r="G161" s="6">
        <f t="shared" si="9"/>
        <v>30234904789.11483</v>
      </c>
      <c r="H161" s="6">
        <f t="shared" si="10"/>
        <v>3023.490478911483</v>
      </c>
      <c r="I161" s="6">
        <f t="shared" si="11"/>
        <v>6046980957.8229666</v>
      </c>
      <c r="J161" s="8">
        <f t="shared" si="12"/>
        <v>-8.2426039712069752</v>
      </c>
      <c r="K161" s="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 s="69"/>
      <c r="AC161" s="69"/>
      <c r="AD161" s="73"/>
      <c r="AE161" s="69"/>
      <c r="AF161" s="50"/>
      <c r="AJ161" s="155"/>
      <c r="AK161" s="69"/>
      <c r="AL161" s="66"/>
      <c r="AM161" s="69"/>
      <c r="AN161" s="69"/>
      <c r="AR161" s="60"/>
      <c r="AS161" s="69"/>
      <c r="AT161" s="69"/>
      <c r="AU161" s="73"/>
      <c r="AV161"/>
      <c r="BD161"/>
      <c r="BE161" s="66"/>
      <c r="BF161"/>
      <c r="BG161" s="122">
        <v>4.8</v>
      </c>
      <c r="BH161" s="119">
        <v>0.33420100000000003</v>
      </c>
      <c r="BI161" s="120">
        <v>2.6897384000000001E-12</v>
      </c>
      <c r="BJ161" s="616">
        <v>5.0000000000000001E-9</v>
      </c>
      <c r="BK161" s="617">
        <v>7.5793568000000006E-2</v>
      </c>
      <c r="BL161" s="121">
        <v>1.8306748000000001E-3</v>
      </c>
      <c r="BM161" s="121">
        <v>5.3254195000000002E-3</v>
      </c>
      <c r="BN161" s="121">
        <v>0.26823551000000001</v>
      </c>
      <c r="BO161" s="139"/>
      <c r="BP161" s="601">
        <v>4.8</v>
      </c>
      <c r="BQ161" s="215">
        <v>0.33420100000000003</v>
      </c>
      <c r="BR161" s="602">
        <v>2.6897384000000001E-12</v>
      </c>
      <c r="BS161" s="608">
        <v>1.3299972274892484E-9</v>
      </c>
      <c r="BT161" s="620">
        <v>7.5793568000000006E-2</v>
      </c>
      <c r="BU161" s="603">
        <v>1.8306748000000001E-3</v>
      </c>
      <c r="BV161" s="603">
        <v>5.3254195000000002E-3</v>
      </c>
      <c r="BW161" s="603">
        <v>0.26823551000000001</v>
      </c>
      <c r="BX161"/>
      <c r="BY161"/>
      <c r="BZ161"/>
      <c r="CA161"/>
      <c r="CB161"/>
      <c r="CC161"/>
      <c r="CD161"/>
      <c r="CE161"/>
      <c r="CF161"/>
      <c r="CG161"/>
      <c r="CH161"/>
      <c r="CI161"/>
    </row>
    <row r="162" spans="2:87" s="36" customFormat="1">
      <c r="B162" s="69"/>
      <c r="C162" s="43" t="s">
        <v>43</v>
      </c>
      <c r="D162" s="8">
        <v>1.26</v>
      </c>
      <c r="E162" s="10">
        <v>0.26</v>
      </c>
      <c r="F162" s="9">
        <v>3.3999999999999998E-9</v>
      </c>
      <c r="G162" s="6">
        <f t="shared" si="9"/>
        <v>21566155863.564423</v>
      </c>
      <c r="H162" s="6">
        <f t="shared" si="10"/>
        <v>2156.6155863564427</v>
      </c>
      <c r="I162" s="6">
        <f t="shared" si="11"/>
        <v>5607200524.5267496</v>
      </c>
      <c r="J162" s="8">
        <f t="shared" si="12"/>
        <v>-8.4685210829577446</v>
      </c>
      <c r="K162" s="1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 s="69"/>
      <c r="AC162" s="69"/>
      <c r="AD162" s="73"/>
      <c r="AE162" s="69"/>
      <c r="AF162" s="50"/>
      <c r="AJ162" s="155"/>
      <c r="AK162" s="69"/>
      <c r="AL162" s="66"/>
      <c r="AM162" s="69"/>
      <c r="AN162" s="69"/>
      <c r="AR162" s="60"/>
      <c r="AS162" s="69"/>
      <c r="AT162" s="69"/>
      <c r="AU162" s="73"/>
      <c r="AV162"/>
      <c r="BD162"/>
      <c r="BE162" s="66"/>
      <c r="BF162"/>
      <c r="BG162" s="122">
        <v>5</v>
      </c>
      <c r="BH162" s="119">
        <v>0.34812599999999999</v>
      </c>
      <c r="BI162" s="120">
        <v>3.3944247999999999E-12</v>
      </c>
      <c r="BJ162" s="616">
        <v>4.0000000000000002E-9</v>
      </c>
      <c r="BK162" s="617">
        <v>7.6292152000000002E-2</v>
      </c>
      <c r="BL162" s="121">
        <v>1.8332757999999999E-3</v>
      </c>
      <c r="BM162" s="121">
        <v>5.3632979999999999E-3</v>
      </c>
      <c r="BN162" s="121">
        <v>0.27000001000000001</v>
      </c>
      <c r="BO162" s="139"/>
      <c r="BP162" s="601">
        <v>5</v>
      </c>
      <c r="BQ162" s="215">
        <v>0.34812599999999999</v>
      </c>
      <c r="BR162" s="602">
        <v>3.3944247999999999E-12</v>
      </c>
      <c r="BS162" s="608">
        <v>1.6760627467424835E-9</v>
      </c>
      <c r="BT162" s="620">
        <v>7.6292152000000002E-2</v>
      </c>
      <c r="BU162" s="603">
        <v>1.8332757999999999E-3</v>
      </c>
      <c r="BV162" s="603">
        <v>5.3632979999999999E-3</v>
      </c>
      <c r="BW162" s="603">
        <v>0.27000001000000001</v>
      </c>
      <c r="BX162"/>
      <c r="BY162"/>
      <c r="BZ162"/>
      <c r="CA162"/>
      <c r="CB162"/>
      <c r="CC162"/>
      <c r="CD162"/>
      <c r="CE162"/>
      <c r="CF162"/>
      <c r="CG162"/>
      <c r="CH162"/>
      <c r="CI162"/>
    </row>
    <row r="163" spans="2:87" s="36" customFormat="1">
      <c r="B163" s="69"/>
      <c r="C163" s="43" t="s">
        <v>40</v>
      </c>
      <c r="D163" s="8">
        <v>1.64</v>
      </c>
      <c r="E163" s="10">
        <v>0.33</v>
      </c>
      <c r="F163" s="9">
        <v>1.1800000000000001E-9</v>
      </c>
      <c r="G163" s="6">
        <f t="shared" si="9"/>
        <v>9742022602.047123</v>
      </c>
      <c r="H163" s="6">
        <f t="shared" si="10"/>
        <v>974.20226020471239</v>
      </c>
      <c r="I163" s="6">
        <f t="shared" si="11"/>
        <v>3214867458.6755509</v>
      </c>
      <c r="J163" s="11">
        <f t="shared" si="12"/>
        <v>-8.9281179926938741</v>
      </c>
      <c r="K163" s="1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 s="69"/>
      <c r="AC163" s="69"/>
      <c r="AD163" s="73"/>
      <c r="AE163" s="69"/>
      <c r="AF163" s="50"/>
      <c r="AJ163" s="155"/>
      <c r="AK163" s="69"/>
      <c r="AL163" s="66"/>
      <c r="AM163" s="69"/>
      <c r="AN163" s="69"/>
      <c r="AR163" s="60"/>
      <c r="AS163" s="69"/>
      <c r="AT163" s="69"/>
      <c r="AU163" s="73"/>
      <c r="AV163"/>
      <c r="BD163"/>
      <c r="BE163" s="66"/>
      <c r="BF163"/>
      <c r="BG163" s="122">
        <v>5.2</v>
      </c>
      <c r="BH163" s="119">
        <v>0.36205100000000001</v>
      </c>
      <c r="BI163" s="120">
        <v>4.3269864999999999E-12</v>
      </c>
      <c r="BJ163" s="616">
        <v>4.0000000000000002E-9</v>
      </c>
      <c r="BK163" s="617">
        <v>7.6285006000000002E-2</v>
      </c>
      <c r="BL163" s="121">
        <v>1.8254499999999999E-3</v>
      </c>
      <c r="BM163" s="121">
        <v>5.3981463E-3</v>
      </c>
      <c r="BN163" s="121">
        <v>0.26997472</v>
      </c>
      <c r="BO163" s="139"/>
      <c r="BP163" s="601">
        <v>5.2</v>
      </c>
      <c r="BQ163" s="215">
        <v>0.36205100000000001</v>
      </c>
      <c r="BR163" s="602">
        <v>4.3269864999999999E-12</v>
      </c>
      <c r="BS163" s="608">
        <v>2.1456925044899995E-9</v>
      </c>
      <c r="BT163" s="620">
        <v>7.6285006000000002E-2</v>
      </c>
      <c r="BU163" s="603">
        <v>1.8254499999999999E-3</v>
      </c>
      <c r="BV163" s="603">
        <v>5.3981463E-3</v>
      </c>
      <c r="BW163" s="603">
        <v>0.26997472</v>
      </c>
      <c r="BX163"/>
      <c r="BY163"/>
      <c r="BZ163"/>
      <c r="CA163"/>
      <c r="CB163"/>
      <c r="CC163"/>
      <c r="CD163"/>
      <c r="CE163"/>
      <c r="CF163"/>
      <c r="CG163"/>
      <c r="CH163"/>
      <c r="CI163"/>
    </row>
    <row r="164" spans="2:87" s="36" customFormat="1">
      <c r="B164" s="69"/>
      <c r="C164" s="43" t="s">
        <v>37</v>
      </c>
      <c r="D164" s="8">
        <v>2.1800000000000002</v>
      </c>
      <c r="E164" s="10">
        <v>0.44</v>
      </c>
      <c r="F164" s="9">
        <v>3.9E-10</v>
      </c>
      <c r="G164" s="6">
        <f t="shared" si="9"/>
        <v>4280006002.6149564</v>
      </c>
      <c r="H164" s="6">
        <f t="shared" si="10"/>
        <v>428.00060026149566</v>
      </c>
      <c r="I164" s="6">
        <f t="shared" si="11"/>
        <v>1883202641.1505809</v>
      </c>
      <c r="J164" s="8">
        <f t="shared" si="12"/>
        <v>-9.4089353929735005</v>
      </c>
      <c r="K164" s="1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 s="69"/>
      <c r="AC164" s="69"/>
      <c r="AD164" s="73"/>
      <c r="AE164" s="69"/>
      <c r="AF164" s="50"/>
      <c r="AJ164" s="155"/>
      <c r="AK164" s="69"/>
      <c r="AL164" s="66"/>
      <c r="AM164" s="69"/>
      <c r="AN164" s="69"/>
      <c r="AR164" s="60"/>
      <c r="AS164" s="69"/>
      <c r="AT164" s="69"/>
      <c r="AU164" s="73"/>
      <c r="AV164"/>
      <c r="BD164"/>
      <c r="BE164" s="66"/>
      <c r="BF164"/>
      <c r="BG164" s="122">
        <v>5.4</v>
      </c>
      <c r="BH164" s="119">
        <v>0.37597599999999998</v>
      </c>
      <c r="BI164" s="120">
        <v>4.0161170000000003E-12</v>
      </c>
      <c r="BJ164" s="616">
        <v>4.0000000000000002E-9</v>
      </c>
      <c r="BK164" s="617">
        <v>7.5772129999999993E-2</v>
      </c>
      <c r="BL164" s="121">
        <v>1.8071973000000001E-3</v>
      </c>
      <c r="BM164" s="121">
        <v>5.4299641999999999E-3</v>
      </c>
      <c r="BN164" s="121">
        <v>0.26815963999999998</v>
      </c>
      <c r="BO164" s="139"/>
      <c r="BP164" s="601">
        <v>5.4</v>
      </c>
      <c r="BQ164" s="215">
        <v>0.37597599999999998</v>
      </c>
      <c r="BR164" s="602">
        <v>4.0161170000000003E-12</v>
      </c>
      <c r="BS164" s="608">
        <v>2.0116511233685419E-9</v>
      </c>
      <c r="BT164" s="620">
        <v>7.5772129999999993E-2</v>
      </c>
      <c r="BU164" s="603">
        <v>1.8071973000000001E-3</v>
      </c>
      <c r="BV164" s="603">
        <v>5.4299641999999999E-3</v>
      </c>
      <c r="BW164" s="603">
        <v>0.26815963999999998</v>
      </c>
      <c r="BX164"/>
      <c r="BY164"/>
      <c r="BZ164"/>
      <c r="CA164"/>
      <c r="CB164"/>
      <c r="CC164"/>
      <c r="CD164"/>
      <c r="CE164"/>
      <c r="CF164"/>
      <c r="CG164"/>
      <c r="CH164"/>
      <c r="CI164"/>
    </row>
    <row r="165" spans="2:87" s="36" customFormat="1">
      <c r="B165" s="69"/>
      <c r="C165" s="44" t="s">
        <v>34</v>
      </c>
      <c r="D165" s="5">
        <v>3.4</v>
      </c>
      <c r="E165" s="7">
        <v>0.55000000000000004</v>
      </c>
      <c r="F165" s="6">
        <v>7.3000000000000006E-11</v>
      </c>
      <c r="G165" s="6">
        <f t="shared" si="9"/>
        <v>1249467760.3493674</v>
      </c>
      <c r="H165" s="6">
        <f t="shared" si="10"/>
        <v>124.94677603493676</v>
      </c>
      <c r="I165" s="6">
        <f t="shared" si="11"/>
        <v>687207268.19215214</v>
      </c>
      <c r="J165" s="5">
        <f t="shared" si="12"/>
        <v>-10.136677139879543</v>
      </c>
      <c r="K165" s="1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s="69"/>
      <c r="AC165" s="69"/>
      <c r="AD165" s="73"/>
      <c r="AE165" s="69"/>
      <c r="AF165" s="50"/>
      <c r="AJ165" s="155"/>
      <c r="AK165" s="69"/>
      <c r="AL165" s="66"/>
      <c r="AM165" s="69"/>
      <c r="AN165" s="69"/>
      <c r="AR165" s="60"/>
      <c r="AS165" s="69"/>
      <c r="AT165" s="69"/>
      <c r="AU165" s="73"/>
      <c r="AV165"/>
      <c r="BD165"/>
      <c r="BE165" s="66"/>
      <c r="BF165"/>
      <c r="BG165" s="122">
        <v>5.6</v>
      </c>
      <c r="BH165" s="119">
        <v>0.389901</v>
      </c>
      <c r="BI165" s="120">
        <v>4.1078711999999998E-12</v>
      </c>
      <c r="BJ165" s="616">
        <v>4.0000000000000002E-9</v>
      </c>
      <c r="BK165" s="617">
        <v>7.4753526000000001E-2</v>
      </c>
      <c r="BL165" s="121">
        <v>1.7785177999999999E-3</v>
      </c>
      <c r="BM165" s="121">
        <v>5.4587519000000003E-3</v>
      </c>
      <c r="BN165" s="121">
        <v>0.26455476999999999</v>
      </c>
      <c r="BO165" s="139"/>
      <c r="BP165" s="601">
        <v>5.6</v>
      </c>
      <c r="BQ165" s="215">
        <v>0.389901</v>
      </c>
      <c r="BR165" s="602">
        <v>4.1078711999999998E-12</v>
      </c>
      <c r="BS165" s="608">
        <v>2.0907902928917107E-9</v>
      </c>
      <c r="BT165" s="620">
        <v>7.4753526000000001E-2</v>
      </c>
      <c r="BU165" s="603">
        <v>1.7785177999999999E-3</v>
      </c>
      <c r="BV165" s="603">
        <v>5.4587519000000003E-3</v>
      </c>
      <c r="BW165" s="603">
        <v>0.26455476999999999</v>
      </c>
      <c r="BX165"/>
      <c r="BY165"/>
      <c r="BZ165"/>
      <c r="CA165"/>
      <c r="CB165"/>
      <c r="CC165"/>
      <c r="CD165"/>
      <c r="CE165"/>
      <c r="CF165"/>
      <c r="CG165"/>
      <c r="CH165"/>
      <c r="CI165"/>
    </row>
    <row r="166" spans="2:87" s="36" customFormat="1">
      <c r="B166" s="69"/>
      <c r="C166" s="44" t="s">
        <v>32</v>
      </c>
      <c r="D166" s="5">
        <v>5</v>
      </c>
      <c r="E166" s="7">
        <v>0.3</v>
      </c>
      <c r="F166" s="6">
        <v>2.1199999999999999E-11</v>
      </c>
      <c r="G166" s="6">
        <f t="shared" si="9"/>
        <v>533616368.23945582</v>
      </c>
      <c r="H166" s="6">
        <f t="shared" si="10"/>
        <v>53.361636823945588</v>
      </c>
      <c r="I166" s="6">
        <f t="shared" si="11"/>
        <v>160084910.47183675</v>
      </c>
      <c r="J166" s="5">
        <f t="shared" si="12"/>
        <v>-10.673664139071249</v>
      </c>
      <c r="K166" s="1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s="69"/>
      <c r="AC166" s="69"/>
      <c r="AD166" s="73"/>
      <c r="AE166" s="69"/>
      <c r="AF166" s="50"/>
      <c r="AJ166" s="155"/>
      <c r="AK166" s="69"/>
      <c r="AL166" s="66"/>
      <c r="AM166" s="69"/>
      <c r="AN166" s="69"/>
      <c r="AR166" s="60"/>
      <c r="AS166" s="69"/>
      <c r="AT166" s="69"/>
      <c r="AU166" s="73"/>
      <c r="AV166"/>
      <c r="BD166"/>
      <c r="BE166" s="66"/>
      <c r="BF166"/>
      <c r="BG166" s="122">
        <v>5.8</v>
      </c>
      <c r="BH166" s="119">
        <v>0.40382600000000002</v>
      </c>
      <c r="BI166" s="120">
        <v>4.1775061000000002E-12</v>
      </c>
      <c r="BJ166" s="616">
        <v>4.0000000000000002E-9</v>
      </c>
      <c r="BK166" s="617">
        <v>7.3229188000000001E-2</v>
      </c>
      <c r="BL166" s="121">
        <v>1.7394113000000001E-3</v>
      </c>
      <c r="BM166" s="121">
        <v>5.4845092999999999E-3</v>
      </c>
      <c r="BN166" s="121">
        <v>0.2591601</v>
      </c>
      <c r="BO166" s="139"/>
      <c r="BP166" s="601">
        <v>5.8</v>
      </c>
      <c r="BQ166" s="215">
        <v>0.40382600000000002</v>
      </c>
      <c r="BR166" s="602">
        <v>4.1775061000000002E-12</v>
      </c>
      <c r="BS166" s="608">
        <v>2.1740356999419137E-9</v>
      </c>
      <c r="BT166" s="620">
        <v>7.3229188000000001E-2</v>
      </c>
      <c r="BU166" s="603">
        <v>1.7394113000000001E-3</v>
      </c>
      <c r="BV166" s="603">
        <v>5.4845092999999999E-3</v>
      </c>
      <c r="BW166" s="603">
        <v>0.2591601</v>
      </c>
      <c r="BX166"/>
      <c r="BY166"/>
      <c r="BZ166"/>
      <c r="CA166"/>
      <c r="CB166"/>
      <c r="CC166"/>
      <c r="CD166"/>
      <c r="CE166"/>
      <c r="CF166"/>
      <c r="CG166"/>
      <c r="CH166"/>
      <c r="CI166"/>
    </row>
    <row r="167" spans="2:87" s="36" customFormat="1">
      <c r="B167" s="69"/>
      <c r="C167" s="44" t="s">
        <v>28</v>
      </c>
      <c r="D167" s="5">
        <v>10.199999999999999</v>
      </c>
      <c r="E167" s="7">
        <v>5</v>
      </c>
      <c r="F167" s="6">
        <v>1.23E-12</v>
      </c>
      <c r="G167" s="6">
        <f t="shared" si="9"/>
        <v>63158027.88615296</v>
      </c>
      <c r="H167" s="6">
        <f t="shared" si="10"/>
        <v>6.3158027886152963</v>
      </c>
      <c r="I167" s="6">
        <f t="shared" si="11"/>
        <v>315790139.43076479</v>
      </c>
      <c r="J167" s="5">
        <f t="shared" si="12"/>
        <v>-11.910094888560602</v>
      </c>
      <c r="K167" s="1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 s="69"/>
      <c r="AC167" s="69"/>
      <c r="AD167" s="73"/>
      <c r="AE167" s="69"/>
      <c r="AF167" s="50"/>
      <c r="AJ167" s="155"/>
      <c r="AK167" s="69"/>
      <c r="AL167" s="66"/>
      <c r="AM167" s="69"/>
      <c r="AN167" s="69"/>
      <c r="AR167" s="60"/>
      <c r="AS167" s="69"/>
      <c r="AT167" s="69"/>
      <c r="AU167" s="73"/>
      <c r="AV167"/>
      <c r="BD167"/>
      <c r="BE167" s="66"/>
      <c r="BF167"/>
      <c r="BG167" s="122">
        <v>6</v>
      </c>
      <c r="BH167" s="119">
        <v>0.41775099999999998</v>
      </c>
      <c r="BI167" s="120">
        <v>4.5605815000000004E-12</v>
      </c>
      <c r="BJ167" s="616">
        <v>4.0000000000000002E-9</v>
      </c>
      <c r="BK167" s="617">
        <v>7.1199126000000001E-2</v>
      </c>
      <c r="BL167" s="121">
        <v>1.6898780999999999E-3</v>
      </c>
      <c r="BM167" s="121">
        <v>5.5072363000000001E-3</v>
      </c>
      <c r="BN167" s="121">
        <v>0.25197565</v>
      </c>
      <c r="BO167" s="139"/>
      <c r="BP167" s="601">
        <v>6</v>
      </c>
      <c r="BQ167" s="215">
        <v>0.41775099999999998</v>
      </c>
      <c r="BR167" s="602">
        <v>4.5605815000000004E-12</v>
      </c>
      <c r="BS167" s="608">
        <v>2.4429619417773716E-9</v>
      </c>
      <c r="BT167" s="620">
        <v>7.1199126000000001E-2</v>
      </c>
      <c r="BU167" s="603">
        <v>1.6898780999999999E-3</v>
      </c>
      <c r="BV167" s="603">
        <v>5.5072363000000001E-3</v>
      </c>
      <c r="BW167" s="603">
        <v>0.25197565</v>
      </c>
      <c r="BX167"/>
      <c r="BY167"/>
      <c r="BZ167"/>
      <c r="CA167"/>
      <c r="CB167"/>
      <c r="CC167"/>
      <c r="CD167"/>
      <c r="CE167"/>
      <c r="CF167"/>
      <c r="CG167"/>
      <c r="CH167"/>
      <c r="CI167"/>
    </row>
    <row r="168" spans="2:87" s="36" customFormat="1">
      <c r="B168" s="69"/>
      <c r="C168" s="44" t="s">
        <v>25</v>
      </c>
      <c r="D168" s="5">
        <v>21</v>
      </c>
      <c r="E168" s="7">
        <v>8</v>
      </c>
      <c r="F168" s="6">
        <v>6.8000000000000001E-14</v>
      </c>
      <c r="G168" s="6">
        <f t="shared" si="9"/>
        <v>7188718.6211881414</v>
      </c>
      <c r="H168" s="6">
        <f t="shared" si="10"/>
        <v>0.71887186211881415</v>
      </c>
      <c r="I168" s="6">
        <f t="shared" si="11"/>
        <v>57509748.969505131</v>
      </c>
      <c r="J168" s="5">
        <f t="shared" si="12"/>
        <v>-13.167491087293763</v>
      </c>
      <c r="K168" s="1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 s="69"/>
      <c r="AC168" s="69"/>
      <c r="AD168" s="73"/>
      <c r="AE168" s="69"/>
      <c r="AF168" s="50"/>
      <c r="AJ168" s="155"/>
      <c r="AK168" s="69"/>
      <c r="AL168" s="66"/>
      <c r="AM168" s="69"/>
      <c r="AN168" s="69"/>
      <c r="AR168" s="60"/>
      <c r="AS168" s="69"/>
      <c r="AT168" s="69"/>
      <c r="AU168" s="73"/>
      <c r="AV168"/>
      <c r="BD168"/>
      <c r="BE168" s="66"/>
      <c r="BF168"/>
      <c r="BG168" s="122">
        <v>6.2</v>
      </c>
      <c r="BH168" s="119">
        <v>0.43167699999999998</v>
      </c>
      <c r="BI168" s="120">
        <v>5.1237215000000004E-12</v>
      </c>
      <c r="BJ168" s="616">
        <v>4.0000000000000002E-9</v>
      </c>
      <c r="BK168" s="617">
        <v>7.1005682000000001E-2</v>
      </c>
      <c r="BL168" s="121">
        <v>1.6868432E-3</v>
      </c>
      <c r="BM168" s="121">
        <v>5.5010049999999998E-3</v>
      </c>
      <c r="BN168" s="121">
        <v>0.25129105000000002</v>
      </c>
      <c r="BO168" s="139"/>
      <c r="BP168" s="601">
        <v>6.2</v>
      </c>
      <c r="BQ168" s="215">
        <v>0.43167699999999998</v>
      </c>
      <c r="BR168" s="602">
        <v>5.1237215000000004E-12</v>
      </c>
      <c r="BS168" s="608">
        <v>2.7495566352554426E-9</v>
      </c>
      <c r="BT168" s="620">
        <v>7.1005682000000001E-2</v>
      </c>
      <c r="BU168" s="603">
        <v>1.6868432E-3</v>
      </c>
      <c r="BV168" s="603">
        <v>5.5010049999999998E-3</v>
      </c>
      <c r="BW168" s="603">
        <v>0.25129105000000002</v>
      </c>
      <c r="BX168"/>
      <c r="BY168"/>
      <c r="BZ168"/>
      <c r="CA168"/>
      <c r="CB168"/>
      <c r="CC168"/>
      <c r="CD168"/>
      <c r="CE168"/>
      <c r="CF168"/>
      <c r="CG168"/>
      <c r="CH168"/>
      <c r="CI168"/>
    </row>
    <row r="169" spans="2:87" s="36" customFormat="1">
      <c r="B169" s="69"/>
      <c r="C169" s="63" t="s">
        <v>75</v>
      </c>
      <c r="D169" s="1"/>
      <c r="E169" s="1"/>
      <c r="F169" s="1"/>
      <c r="G169" s="1"/>
      <c r="H169" s="1"/>
      <c r="I169" s="1"/>
      <c r="J169" s="1"/>
      <c r="K169" s="1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 s="69"/>
      <c r="AC169" s="69"/>
      <c r="AD169" s="73"/>
      <c r="AE169" s="69"/>
      <c r="AF169" s="50"/>
      <c r="AJ169" s="155"/>
      <c r="AK169" s="69"/>
      <c r="AL169" s="66"/>
      <c r="AM169" s="69"/>
      <c r="AN169" s="69"/>
      <c r="AR169" s="60"/>
      <c r="AS169" s="69"/>
      <c r="AT169" s="69"/>
      <c r="AU169" s="73"/>
      <c r="AV169"/>
      <c r="BD169"/>
      <c r="BE169" s="66"/>
      <c r="BF169"/>
      <c r="BG169" s="122">
        <v>6.4</v>
      </c>
      <c r="BH169" s="119">
        <v>0.445602</v>
      </c>
      <c r="BI169" s="120">
        <v>4.5031251E-12</v>
      </c>
      <c r="BJ169" s="616">
        <v>4.0000000000000002E-9</v>
      </c>
      <c r="BK169" s="617">
        <v>7.0666870000000007E-2</v>
      </c>
      <c r="BL169" s="121">
        <v>1.6821392000000001E-3</v>
      </c>
      <c r="BM169" s="121">
        <v>5.4877544000000002E-3</v>
      </c>
      <c r="BN169" s="121">
        <v>0.25009198999999999</v>
      </c>
      <c r="BO169" s="139"/>
      <c r="BP169" s="601">
        <v>6.4</v>
      </c>
      <c r="BQ169" s="215">
        <v>0.445602</v>
      </c>
      <c r="BR169" s="602">
        <v>4.5031251E-12</v>
      </c>
      <c r="BS169" s="608">
        <v>2.4232821091076285E-9</v>
      </c>
      <c r="BT169" s="620">
        <v>7.0666870000000007E-2</v>
      </c>
      <c r="BU169" s="603">
        <v>1.6821392000000001E-3</v>
      </c>
      <c r="BV169" s="603">
        <v>5.4877544000000002E-3</v>
      </c>
      <c r="BW169" s="603">
        <v>0.25009198999999999</v>
      </c>
      <c r="BX169"/>
      <c r="BY169"/>
      <c r="BZ169"/>
      <c r="CA169"/>
      <c r="CB169"/>
      <c r="CC169"/>
      <c r="CD169"/>
      <c r="CE169"/>
      <c r="CF169"/>
      <c r="CG169"/>
      <c r="CH169"/>
      <c r="CI169"/>
    </row>
    <row r="170" spans="2:87" s="36" customFormat="1">
      <c r="B170" s="69"/>
      <c r="C170" s="45" t="s">
        <v>24</v>
      </c>
      <c r="D170" s="4"/>
      <c r="E170" s="4"/>
      <c r="F170" s="4"/>
      <c r="G170" s="4"/>
      <c r="H170" s="4"/>
      <c r="I170" s="4"/>
      <c r="J170" s="1"/>
      <c r="K170" s="1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 s="69"/>
      <c r="AC170" s="69"/>
      <c r="AD170" s="73"/>
      <c r="AE170" s="69"/>
      <c r="AF170" s="50"/>
      <c r="AJ170" s="155"/>
      <c r="AK170" s="69"/>
      <c r="AL170" s="66"/>
      <c r="AM170" s="69"/>
      <c r="AN170" s="69"/>
      <c r="AR170" s="60"/>
      <c r="AS170" s="69"/>
      <c r="AT170" s="69"/>
      <c r="AU170" s="73"/>
      <c r="AV170"/>
      <c r="BD170"/>
      <c r="BE170" s="66"/>
      <c r="BF170"/>
      <c r="BG170" s="122">
        <v>6.6</v>
      </c>
      <c r="BH170" s="119">
        <v>0.45952700000000002</v>
      </c>
      <c r="BI170" s="120">
        <v>4.4082158E-12</v>
      </c>
      <c r="BJ170" s="616">
        <v>4.0000000000000002E-9</v>
      </c>
      <c r="BK170" s="617">
        <v>7.0182692000000005E-2</v>
      </c>
      <c r="BL170" s="121">
        <v>1.675766E-3</v>
      </c>
      <c r="BM170" s="121">
        <v>5.4674846000000001E-3</v>
      </c>
      <c r="BN170" s="121">
        <v>0.24837846</v>
      </c>
      <c r="BO170" s="139"/>
      <c r="BP170" s="601">
        <v>6.6</v>
      </c>
      <c r="BQ170" s="215">
        <v>0.45952700000000002</v>
      </c>
      <c r="BR170" s="602">
        <v>4.4082158E-12</v>
      </c>
      <c r="BS170" s="608">
        <v>2.3812300619779517E-9</v>
      </c>
      <c r="BT170" s="620">
        <v>7.0182692000000005E-2</v>
      </c>
      <c r="BU170" s="603">
        <v>1.675766E-3</v>
      </c>
      <c r="BV170" s="603">
        <v>5.4674846000000001E-3</v>
      </c>
      <c r="BW170" s="603">
        <v>0.24837846</v>
      </c>
      <c r="BX170"/>
      <c r="BY170"/>
      <c r="BZ170"/>
      <c r="CA170"/>
      <c r="CB170"/>
      <c r="CC170"/>
      <c r="CD170"/>
      <c r="CE170"/>
      <c r="CF170"/>
      <c r="CG170"/>
      <c r="CH170"/>
      <c r="CI170"/>
    </row>
    <row r="171" spans="2:87" s="36" customFormat="1">
      <c r="B171" s="69"/>
      <c r="C171" s="46" t="s">
        <v>23</v>
      </c>
      <c r="D171" s="4"/>
      <c r="E171" s="4"/>
      <c r="F171" s="4"/>
      <c r="G171" s="4"/>
      <c r="H171" s="4"/>
      <c r="I171" s="4"/>
      <c r="J171" s="1"/>
      <c r="K171" s="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 s="69"/>
      <c r="AC171" s="69"/>
      <c r="AD171" s="73"/>
      <c r="AE171" s="69"/>
      <c r="AF171" s="50"/>
      <c r="AJ171" s="155"/>
      <c r="AK171" s="69"/>
      <c r="AL171" s="66"/>
      <c r="AM171" s="69"/>
      <c r="AN171" s="69"/>
      <c r="AR171" s="60"/>
      <c r="AS171" s="69"/>
      <c r="AT171" s="69"/>
      <c r="AU171" s="73"/>
      <c r="AV171"/>
      <c r="BD171"/>
      <c r="BE171" s="66"/>
      <c r="BF171"/>
      <c r="BG171" s="122">
        <v>6.8</v>
      </c>
      <c r="BH171" s="119">
        <v>0.47345199999999998</v>
      </c>
      <c r="BI171" s="120">
        <v>4.2487639999999996E-12</v>
      </c>
      <c r="BJ171" s="616">
        <v>4.0000000000000002E-9</v>
      </c>
      <c r="BK171" s="617">
        <v>6.9553141999999998E-2</v>
      </c>
      <c r="BL171" s="121">
        <v>1.6677236000000001E-3</v>
      </c>
      <c r="BM171" s="121">
        <v>5.4401954000000002E-3</v>
      </c>
      <c r="BN171" s="121">
        <v>0.24615048</v>
      </c>
      <c r="BO171" s="139"/>
      <c r="BP171" s="601">
        <v>6.8</v>
      </c>
      <c r="BQ171" s="215">
        <v>0.47345199999999998</v>
      </c>
      <c r="BR171" s="602">
        <v>4.2487639999999996E-12</v>
      </c>
      <c r="BS171" s="608">
        <v>2.3061651758826367E-9</v>
      </c>
      <c r="BT171" s="620">
        <v>6.9553141999999998E-2</v>
      </c>
      <c r="BU171" s="603">
        <v>1.6677236000000001E-3</v>
      </c>
      <c r="BV171" s="603">
        <v>5.4401954000000002E-3</v>
      </c>
      <c r="BW171" s="603">
        <v>0.24615048</v>
      </c>
      <c r="BX171"/>
      <c r="BY171"/>
      <c r="BZ171"/>
      <c r="CA171"/>
      <c r="CB171"/>
      <c r="CC171"/>
      <c r="CD171"/>
      <c r="CE171"/>
      <c r="CF171"/>
      <c r="CG171"/>
      <c r="CH171"/>
      <c r="CI171"/>
    </row>
    <row r="172" spans="2:87" s="36" customFormat="1">
      <c r="B172" s="69"/>
      <c r="J172" s="1"/>
      <c r="K172" s="1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 s="69"/>
      <c r="AC172" s="69"/>
      <c r="AD172" s="73"/>
      <c r="AE172" s="69"/>
      <c r="AF172" s="50"/>
      <c r="AJ172" s="155"/>
      <c r="AK172" s="69"/>
      <c r="AL172" s="66"/>
      <c r="AM172" s="69"/>
      <c r="AN172" s="69"/>
      <c r="AR172" s="60"/>
      <c r="AS172" s="69"/>
      <c r="AT172" s="69"/>
      <c r="AU172" s="73"/>
      <c r="AV172"/>
      <c r="BD172"/>
      <c r="BE172" s="66"/>
      <c r="BF172"/>
      <c r="BG172" s="122">
        <v>7</v>
      </c>
      <c r="BH172" s="119">
        <v>0.487377</v>
      </c>
      <c r="BI172" s="120">
        <v>4.6538338999999996E-12</v>
      </c>
      <c r="BJ172" s="616">
        <v>4.0000000000000002E-9</v>
      </c>
      <c r="BK172" s="617">
        <v>6.8778227999999997E-2</v>
      </c>
      <c r="BL172" s="121">
        <v>1.6580121E-3</v>
      </c>
      <c r="BM172" s="121">
        <v>5.4058871999999999E-3</v>
      </c>
      <c r="BN172" s="121">
        <v>0.24340803</v>
      </c>
      <c r="BO172" s="139"/>
      <c r="BP172" s="601">
        <v>7</v>
      </c>
      <c r="BQ172" s="215">
        <v>0.487377</v>
      </c>
      <c r="BR172" s="602">
        <v>4.6538338999999996E-12</v>
      </c>
      <c r="BS172" s="608">
        <v>2.5408267565497009E-9</v>
      </c>
      <c r="BT172" s="620">
        <v>6.8778227999999997E-2</v>
      </c>
      <c r="BU172" s="603">
        <v>1.6580121E-3</v>
      </c>
      <c r="BV172" s="603">
        <v>5.4058871999999999E-3</v>
      </c>
      <c r="BW172" s="603">
        <v>0.24340803</v>
      </c>
      <c r="BX172"/>
      <c r="BY172"/>
      <c r="BZ172"/>
      <c r="CA172"/>
      <c r="CB172"/>
      <c r="CC172"/>
      <c r="CD172"/>
      <c r="CE172"/>
      <c r="CF172"/>
      <c r="CG172"/>
      <c r="CH172"/>
      <c r="CI172"/>
    </row>
    <row r="173" spans="2:87" s="36" customFormat="1">
      <c r="B173" s="69"/>
      <c r="C173" s="47" t="s">
        <v>20</v>
      </c>
      <c r="D173" s="48"/>
      <c r="E173" s="48"/>
      <c r="F173" s="48"/>
      <c r="G173" s="48"/>
      <c r="H173" s="48"/>
      <c r="I173" s="49"/>
      <c r="J173" s="1"/>
      <c r="K173" s="1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s="69"/>
      <c r="AC173" s="69"/>
      <c r="AD173" s="73"/>
      <c r="AE173" s="69"/>
      <c r="AF173" s="50"/>
      <c r="AJ173" s="155"/>
      <c r="AK173" s="69"/>
      <c r="AL173" s="66"/>
      <c r="AM173" s="69"/>
      <c r="AN173" s="69"/>
      <c r="AR173" s="60"/>
      <c r="AS173" s="69"/>
      <c r="AT173" s="69"/>
      <c r="AU173" s="73"/>
      <c r="AV173"/>
      <c r="BD173"/>
      <c r="BE173" s="66"/>
      <c r="BF173"/>
      <c r="BG173" s="122">
        <v>7.2</v>
      </c>
      <c r="BH173" s="119">
        <v>0.50130200000000003</v>
      </c>
      <c r="BI173" s="120">
        <v>5.2174673E-12</v>
      </c>
      <c r="BJ173" s="616">
        <v>4.0000000000000002E-9</v>
      </c>
      <c r="BK173" s="617">
        <v>6.7857942000000004E-2</v>
      </c>
      <c r="BL173" s="121">
        <v>1.6466314999999999E-3</v>
      </c>
      <c r="BM173" s="121">
        <v>5.3645595000000003E-3</v>
      </c>
      <c r="BN173" s="121">
        <v>0.24015112</v>
      </c>
      <c r="BO173" s="139"/>
      <c r="BP173" s="601">
        <v>7.2</v>
      </c>
      <c r="BQ173" s="215">
        <v>0.50130200000000003</v>
      </c>
      <c r="BR173" s="602">
        <v>5.2174673E-12</v>
      </c>
      <c r="BS173" s="608">
        <v>2.8682380520389132E-9</v>
      </c>
      <c r="BT173" s="620">
        <v>6.7857942000000004E-2</v>
      </c>
      <c r="BU173" s="603">
        <v>1.6466314999999999E-3</v>
      </c>
      <c r="BV173" s="603">
        <v>5.3645595000000003E-3</v>
      </c>
      <c r="BW173" s="603">
        <v>0.24015112</v>
      </c>
      <c r="BX173"/>
      <c r="BY173"/>
      <c r="BZ173"/>
      <c r="CA173"/>
      <c r="CB173"/>
      <c r="CC173"/>
      <c r="CD173"/>
      <c r="CE173"/>
      <c r="CF173"/>
      <c r="CG173"/>
      <c r="CH173"/>
      <c r="CI173"/>
    </row>
    <row r="174" spans="2:87" s="36" customFormat="1">
      <c r="B174" s="69"/>
      <c r="C174" s="51" t="s">
        <v>18</v>
      </c>
      <c r="D174" s="52"/>
      <c r="E174" s="52"/>
      <c r="F174" s="52"/>
      <c r="G174" s="52"/>
      <c r="H174" s="52"/>
      <c r="I174" s="53"/>
      <c r="J174" s="1"/>
      <c r="K174" s="1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 s="69"/>
      <c r="AC174" s="69"/>
      <c r="AD174" s="73"/>
      <c r="AE174" s="69"/>
      <c r="AF174" s="50"/>
      <c r="AJ174" s="155"/>
      <c r="AK174" s="69"/>
      <c r="AL174" s="66"/>
      <c r="AM174" s="69"/>
      <c r="AN174" s="69"/>
      <c r="AR174" s="60"/>
      <c r="AS174" s="69"/>
      <c r="AT174" s="69"/>
      <c r="AU174" s="73"/>
      <c r="AV174"/>
      <c r="BD174"/>
      <c r="BE174" s="66"/>
      <c r="BF174"/>
      <c r="BG174" s="122">
        <v>7.4</v>
      </c>
      <c r="BH174" s="119">
        <v>0.51522699999999999</v>
      </c>
      <c r="BI174" s="120">
        <v>5.4110696000000001E-12</v>
      </c>
      <c r="BJ174" s="616">
        <v>4.0000000000000002E-9</v>
      </c>
      <c r="BK174" s="617">
        <v>6.6792292000000003E-2</v>
      </c>
      <c r="BL174" s="121">
        <v>1.6335817000000001E-3</v>
      </c>
      <c r="BM174" s="121">
        <v>5.3162128000000001E-3</v>
      </c>
      <c r="BN174" s="121">
        <v>0.23637975</v>
      </c>
      <c r="BO174" s="139"/>
      <c r="BP174" s="601">
        <v>7.4</v>
      </c>
      <c r="BQ174" s="215">
        <v>0.51522699999999999</v>
      </c>
      <c r="BR174" s="602">
        <v>5.4110696000000001E-12</v>
      </c>
      <c r="BS174" s="608">
        <v>2.9984314535510789E-9</v>
      </c>
      <c r="BT174" s="620">
        <v>6.6792292000000003E-2</v>
      </c>
      <c r="BU174" s="603">
        <v>1.6335817000000001E-3</v>
      </c>
      <c r="BV174" s="603">
        <v>5.3162128000000001E-3</v>
      </c>
      <c r="BW174" s="603">
        <v>0.23637975</v>
      </c>
      <c r="BX174"/>
      <c r="BY174"/>
      <c r="BZ174"/>
      <c r="CA174"/>
      <c r="CB174"/>
      <c r="CC174"/>
      <c r="CD174"/>
      <c r="CE174"/>
      <c r="CF174"/>
      <c r="CG174"/>
      <c r="CH174"/>
      <c r="CI174"/>
    </row>
    <row r="175" spans="2:87" s="36" customFormat="1">
      <c r="B175" s="69"/>
      <c r="C175" s="51" t="s">
        <v>17</v>
      </c>
      <c r="D175" s="52" t="s">
        <v>13</v>
      </c>
      <c r="E175" s="52" t="s">
        <v>16</v>
      </c>
      <c r="F175" s="52"/>
      <c r="G175" s="52"/>
      <c r="H175" s="52"/>
      <c r="I175" s="53"/>
      <c r="J175" s="1"/>
      <c r="K175" s="1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 s="69"/>
      <c r="AC175" s="69"/>
      <c r="AD175" s="73"/>
      <c r="AE175" s="69"/>
      <c r="AF175" s="50"/>
      <c r="AJ175" s="155"/>
      <c r="AK175" s="69"/>
      <c r="AL175" s="66"/>
      <c r="AM175" s="69"/>
      <c r="AN175" s="69"/>
      <c r="AR175" s="60"/>
      <c r="AS175" s="69"/>
      <c r="AT175" s="69"/>
      <c r="AU175" s="73"/>
      <c r="AV175"/>
      <c r="BD175"/>
      <c r="BE175" s="66"/>
      <c r="BF175"/>
      <c r="BG175" s="122">
        <v>7.6</v>
      </c>
      <c r="BH175" s="119">
        <v>0.52915199999999996</v>
      </c>
      <c r="BI175" s="120">
        <v>4.9947449000000002E-12</v>
      </c>
      <c r="BJ175" s="616">
        <v>4.0000000000000002E-9</v>
      </c>
      <c r="BK175" s="617">
        <v>6.5581273999999995E-2</v>
      </c>
      <c r="BL175" s="121">
        <v>1.6188628E-3</v>
      </c>
      <c r="BM175" s="121">
        <v>5.2608467999999999E-3</v>
      </c>
      <c r="BN175" s="121">
        <v>0.23209392000000001</v>
      </c>
      <c r="BO175" s="139"/>
      <c r="BP175" s="601">
        <v>7.6</v>
      </c>
      <c r="BQ175" s="215">
        <v>0.52915199999999996</v>
      </c>
      <c r="BR175" s="602">
        <v>4.9947449000000002E-12</v>
      </c>
      <c r="BS175" s="608">
        <v>2.7928984331078648E-9</v>
      </c>
      <c r="BT175" s="620">
        <v>6.5581273999999995E-2</v>
      </c>
      <c r="BU175" s="603">
        <v>1.6188628E-3</v>
      </c>
      <c r="BV175" s="603">
        <v>5.2608467999999999E-3</v>
      </c>
      <c r="BW175" s="603">
        <v>0.23209392000000001</v>
      </c>
      <c r="BX175"/>
      <c r="BY175"/>
      <c r="BZ175"/>
      <c r="CA175"/>
      <c r="CB175"/>
      <c r="CC175"/>
      <c r="CD175"/>
      <c r="CE175"/>
      <c r="CF175"/>
      <c r="CG175"/>
      <c r="CH175"/>
      <c r="CI175"/>
    </row>
    <row r="176" spans="2:87" s="36" customFormat="1">
      <c r="B176" s="69"/>
      <c r="C176" s="55">
        <f>lambda/0.000001</f>
        <v>0.56500000000000006</v>
      </c>
      <c r="D176" s="142">
        <f>AH10</f>
        <v>5.03</v>
      </c>
      <c r="E176" s="57">
        <f>10^(VLOOKUP(C176,fluxTable,7)-0.4*D176)*(C176*0.000001/(h_planck*c_light))*VLOOKUP(C176,fluxTable,2)</f>
        <v>96526775.552087337</v>
      </c>
      <c r="F176" s="56"/>
      <c r="G176" s="56"/>
      <c r="H176" s="56"/>
      <c r="I176" s="58"/>
      <c r="J176" s="1"/>
      <c r="K176" s="1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 s="69"/>
      <c r="AC176" s="69"/>
      <c r="AD176" s="73"/>
      <c r="AE176" s="69"/>
      <c r="AF176" s="50"/>
      <c r="AJ176" s="155"/>
      <c r="AK176" s="69"/>
      <c r="AL176" s="66"/>
      <c r="AM176" s="69"/>
      <c r="AN176" s="69"/>
      <c r="AR176" s="60"/>
      <c r="AS176" s="69"/>
      <c r="AT176" s="69"/>
      <c r="AU176" s="73"/>
      <c r="AV176"/>
      <c r="BD176"/>
      <c r="BE176" s="66"/>
      <c r="BF176"/>
      <c r="BG176" s="122">
        <v>7.8</v>
      </c>
      <c r="BH176" s="119">
        <v>0.54307700000000003</v>
      </c>
      <c r="BI176" s="120">
        <v>4.6694647999999997E-12</v>
      </c>
      <c r="BJ176" s="616">
        <v>4.0000000000000002E-9</v>
      </c>
      <c r="BK176" s="617">
        <v>6.4224883999999996E-2</v>
      </c>
      <c r="BL176" s="121">
        <v>1.6024748000000001E-3</v>
      </c>
      <c r="BM176" s="121">
        <v>5.1984613999999998E-3</v>
      </c>
      <c r="BN176" s="121">
        <v>0.22729362</v>
      </c>
      <c r="BO176" s="139"/>
      <c r="BP176" s="601">
        <v>7.8</v>
      </c>
      <c r="BQ176" s="215">
        <v>0.54307700000000003</v>
      </c>
      <c r="BR176" s="602">
        <v>4.6694647999999997E-12</v>
      </c>
      <c r="BS176" s="608">
        <v>2.6377144819550092E-9</v>
      </c>
      <c r="BT176" s="620">
        <v>6.4224883999999996E-2</v>
      </c>
      <c r="BU176" s="603">
        <v>1.6024748000000001E-3</v>
      </c>
      <c r="BV176" s="603">
        <v>5.1984613999999998E-3</v>
      </c>
      <c r="BW176" s="603">
        <v>0.22729362</v>
      </c>
      <c r="BX176"/>
      <c r="BY176"/>
      <c r="BZ176"/>
      <c r="CA176"/>
      <c r="CB176"/>
      <c r="CC176"/>
      <c r="CD176"/>
      <c r="CE176"/>
      <c r="CF176"/>
      <c r="CG176"/>
      <c r="CH176"/>
      <c r="CI176"/>
    </row>
    <row r="177" spans="2:87" s="36" customFormat="1">
      <c r="B177" s="69"/>
      <c r="C177" s="69"/>
      <c r="D177" s="72"/>
      <c r="E177" s="69"/>
      <c r="F177" s="72"/>
      <c r="G177" s="69"/>
      <c r="H177" s="69"/>
      <c r="I177" s="90"/>
      <c r="J177" s="69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 s="69"/>
      <c r="AC177" s="69"/>
      <c r="AD177" s="73"/>
      <c r="AE177" s="69"/>
      <c r="AF177" s="50"/>
      <c r="AJ177" s="155"/>
      <c r="AK177" s="69"/>
      <c r="AL177" s="66"/>
      <c r="AM177" s="69"/>
      <c r="AN177" s="69"/>
      <c r="AR177" s="60"/>
      <c r="AS177" s="69"/>
      <c r="AT177" s="69"/>
      <c r="AU177" s="73"/>
      <c r="AV177"/>
      <c r="BD177"/>
      <c r="BE177" s="66"/>
      <c r="BF177"/>
      <c r="BG177" s="122">
        <v>8</v>
      </c>
      <c r="BH177" s="119">
        <v>0.557002</v>
      </c>
      <c r="BI177" s="120">
        <v>4.2744007E-12</v>
      </c>
      <c r="BJ177" s="616">
        <v>4.0000000000000002E-9</v>
      </c>
      <c r="BK177" s="617">
        <v>6.2723130000000002E-2</v>
      </c>
      <c r="BL177" s="121">
        <v>1.5844176000000001E-3</v>
      </c>
      <c r="BM177" s="121">
        <v>5.1290570000000002E-3</v>
      </c>
      <c r="BN177" s="121">
        <v>0.22197886999999999</v>
      </c>
      <c r="BO177" s="139"/>
      <c r="BP177" s="601">
        <v>8</v>
      </c>
      <c r="BQ177" s="215">
        <v>0.557002</v>
      </c>
      <c r="BR177" s="602">
        <v>4.2744007E-12</v>
      </c>
      <c r="BS177" s="608">
        <v>2.4420662312635051E-9</v>
      </c>
      <c r="BT177" s="620">
        <v>6.2723130000000002E-2</v>
      </c>
      <c r="BU177" s="603">
        <v>1.5844176000000001E-3</v>
      </c>
      <c r="BV177" s="603">
        <v>5.1290570000000002E-3</v>
      </c>
      <c r="BW177" s="603">
        <v>0.22197886999999999</v>
      </c>
      <c r="BX177"/>
      <c r="BY177"/>
      <c r="BZ177"/>
      <c r="CA177"/>
      <c r="CB177"/>
      <c r="CC177"/>
      <c r="CD177"/>
      <c r="CE177"/>
      <c r="CF177"/>
      <c r="CG177"/>
      <c r="CH177"/>
      <c r="CI177"/>
    </row>
    <row r="178" spans="2:87" s="36" customFormat="1">
      <c r="B178" s="69"/>
      <c r="C178" s="69"/>
      <c r="D178" s="72"/>
      <c r="E178" s="69"/>
      <c r="F178" s="72"/>
      <c r="G178" s="69"/>
      <c r="H178" s="69"/>
      <c r="I178" s="90"/>
      <c r="J178" s="69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s="69"/>
      <c r="AC178" s="69"/>
      <c r="AD178" s="73"/>
      <c r="AE178" s="69"/>
      <c r="AF178" s="50"/>
      <c r="AJ178" s="155"/>
      <c r="AK178" s="69"/>
      <c r="AL178" s="66"/>
      <c r="AM178" s="69"/>
      <c r="AN178" s="69"/>
      <c r="AR178" s="60"/>
      <c r="AS178" s="69"/>
      <c r="AT178" s="69"/>
      <c r="AU178" s="73"/>
      <c r="AV178"/>
      <c r="BD178"/>
      <c r="BE178" s="66"/>
      <c r="BF178"/>
      <c r="BG178" s="122">
        <v>8.1999999999999993</v>
      </c>
      <c r="BH178" s="119">
        <v>0.57092699999999996</v>
      </c>
      <c r="BI178" s="120">
        <v>4.5633865E-12</v>
      </c>
      <c r="BJ178" s="616">
        <v>4.0000000000000002E-9</v>
      </c>
      <c r="BK178" s="617">
        <v>5.6864376000000001E-2</v>
      </c>
      <c r="BL178" s="121">
        <v>1.4710922999999999E-3</v>
      </c>
      <c r="BM178" s="121">
        <v>5.0067395999999998E-3</v>
      </c>
      <c r="BN178" s="121">
        <v>0.20124458000000001</v>
      </c>
      <c r="BO178" s="139"/>
      <c r="BP178" s="601">
        <v>8.1999999999999993</v>
      </c>
      <c r="BQ178" s="215">
        <v>0.57092699999999996</v>
      </c>
      <c r="BR178" s="602">
        <v>4.5633865E-12</v>
      </c>
      <c r="BS178" s="608">
        <v>2.8080136272356955E-9</v>
      </c>
      <c r="BT178" s="620">
        <v>5.6864376000000001E-2</v>
      </c>
      <c r="BU178" s="603">
        <v>1.4710922999999999E-3</v>
      </c>
      <c r="BV178" s="603">
        <v>5.0067395999999998E-3</v>
      </c>
      <c r="BW178" s="603">
        <v>0.20124458000000001</v>
      </c>
      <c r="BX178"/>
      <c r="BY178"/>
      <c r="BZ178"/>
      <c r="CA178"/>
      <c r="CB178"/>
      <c r="CC178"/>
      <c r="CD178"/>
      <c r="CE178"/>
      <c r="CF178"/>
      <c r="CG178"/>
      <c r="CH178"/>
      <c r="CI178"/>
    </row>
    <row r="179" spans="2:87" s="36" customFormat="1">
      <c r="B179" s="69"/>
      <c r="C179" s="69"/>
      <c r="D179" s="72"/>
      <c r="E179" s="69"/>
      <c r="F179" s="72"/>
      <c r="G179" s="69"/>
      <c r="H179" s="69"/>
      <c r="I179" s="90"/>
      <c r="J179" s="6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s="69"/>
      <c r="AC179" s="69"/>
      <c r="AD179" s="73"/>
      <c r="AE179" s="69"/>
      <c r="AF179" s="50"/>
      <c r="AJ179" s="155"/>
      <c r="AK179" s="69"/>
      <c r="AL179" s="66"/>
      <c r="AM179" s="69"/>
      <c r="AN179" s="69"/>
      <c r="AR179" s="60"/>
      <c r="AS179" s="69"/>
      <c r="AT179" s="69"/>
      <c r="AU179" s="73"/>
      <c r="AV179"/>
      <c r="BD179"/>
      <c r="BE179" s="66"/>
      <c r="BF179"/>
      <c r="BG179" s="122">
        <v>8.4</v>
      </c>
      <c r="BH179" s="119">
        <v>0.58485200000000004</v>
      </c>
      <c r="BI179" s="120">
        <v>6.1716808999999999E-12</v>
      </c>
      <c r="BJ179" s="616">
        <v>4.0000000000000002E-9</v>
      </c>
      <c r="BK179" s="617">
        <v>5.0094468000000003E-2</v>
      </c>
      <c r="BL179" s="121">
        <v>1.3390788999999999E-3</v>
      </c>
      <c r="BM179" s="121">
        <v>4.8690581000000004E-3</v>
      </c>
      <c r="BN179" s="121">
        <v>0.17728569</v>
      </c>
      <c r="BO179" s="139"/>
      <c r="BP179" s="601">
        <v>8.4</v>
      </c>
      <c r="BQ179" s="215">
        <v>0.58485200000000004</v>
      </c>
      <c r="BR179" s="602">
        <v>6.1716808999999999E-12</v>
      </c>
      <c r="BS179" s="608">
        <v>4.1720466774720082E-9</v>
      </c>
      <c r="BT179" s="620">
        <v>5.0094468000000003E-2</v>
      </c>
      <c r="BU179" s="603">
        <v>1.3390788999999999E-3</v>
      </c>
      <c r="BV179" s="603">
        <v>4.8690581000000004E-3</v>
      </c>
      <c r="BW179" s="603">
        <v>0.17728569</v>
      </c>
      <c r="BX179"/>
      <c r="BY179"/>
      <c r="BZ179"/>
      <c r="CA179"/>
      <c r="CB179"/>
      <c r="CC179"/>
      <c r="CD179"/>
      <c r="CE179"/>
      <c r="CF179"/>
      <c r="CG179"/>
      <c r="CH179"/>
      <c r="CI179"/>
    </row>
    <row r="180" spans="2:87" s="36" customFormat="1">
      <c r="B180" s="69"/>
      <c r="C180" s="69"/>
      <c r="D180" s="72"/>
      <c r="E180" s="69"/>
      <c r="F180" s="72"/>
      <c r="G180" s="69"/>
      <c r="H180" s="69"/>
      <c r="I180" s="90"/>
      <c r="J180" s="69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 s="69"/>
      <c r="AC180" s="69"/>
      <c r="AD180" s="73"/>
      <c r="AE180" s="69"/>
      <c r="AF180" s="50"/>
      <c r="AJ180" s="155"/>
      <c r="AK180" s="69"/>
      <c r="AL180" s="66"/>
      <c r="AM180" s="69"/>
      <c r="AN180" s="69"/>
      <c r="AR180" s="60"/>
      <c r="AS180" s="69"/>
      <c r="AT180" s="69"/>
      <c r="AU180" s="73"/>
      <c r="AV180"/>
      <c r="BD180"/>
      <c r="BE180" s="66"/>
      <c r="BF180"/>
      <c r="BG180" s="122">
        <v>8.6</v>
      </c>
      <c r="BH180" s="119">
        <v>0.598777</v>
      </c>
      <c r="BI180" s="120">
        <v>9.2761410999999995E-12</v>
      </c>
      <c r="BJ180" s="616">
        <v>4.0000000000000002E-9</v>
      </c>
      <c r="BK180" s="617">
        <v>4.1905480000000002E-2</v>
      </c>
      <c r="BL180" s="121">
        <v>1.1118962999999999E-3</v>
      </c>
      <c r="BM180" s="121">
        <v>4.7479228000000002E-3</v>
      </c>
      <c r="BN180" s="121">
        <v>0.14830463999999999</v>
      </c>
      <c r="BO180" s="139"/>
      <c r="BP180" s="601">
        <v>8.6</v>
      </c>
      <c r="BQ180" s="215">
        <v>0.598777</v>
      </c>
      <c r="BR180" s="602">
        <v>9.2761410999999995E-12</v>
      </c>
      <c r="BS180" s="608">
        <v>7.5518774612051294E-9</v>
      </c>
      <c r="BT180" s="620">
        <v>4.1905480000000002E-2</v>
      </c>
      <c r="BU180" s="603">
        <v>1.1118962999999999E-3</v>
      </c>
      <c r="BV180" s="603">
        <v>4.7479228000000002E-3</v>
      </c>
      <c r="BW180" s="603">
        <v>0.14830463999999999</v>
      </c>
      <c r="BX180"/>
      <c r="BY180"/>
      <c r="BZ180"/>
      <c r="CA180"/>
      <c r="CB180"/>
      <c r="CC180"/>
      <c r="CD180"/>
      <c r="CE180"/>
      <c r="CF180"/>
      <c r="CG180"/>
      <c r="CH180"/>
      <c r="CI180"/>
    </row>
    <row r="181" spans="2:87" s="36" customFormat="1">
      <c r="B181" s="69"/>
      <c r="C181" s="69"/>
      <c r="D181" s="72"/>
      <c r="E181" s="69"/>
      <c r="F181" s="72"/>
      <c r="G181" s="69"/>
      <c r="H181" s="69"/>
      <c r="I181" s="90"/>
      <c r="J181" s="69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 s="69"/>
      <c r="AC181" s="69"/>
      <c r="AD181" s="73"/>
      <c r="AE181" s="69"/>
      <c r="AF181" s="50"/>
      <c r="AJ181" s="155"/>
      <c r="AK181" s="69"/>
      <c r="AL181" s="66"/>
      <c r="AM181" s="69"/>
      <c r="AN181" s="69"/>
      <c r="AR181" s="60"/>
      <c r="AS181" s="69"/>
      <c r="AT181" s="69"/>
      <c r="AU181" s="73"/>
      <c r="AV181"/>
      <c r="BD181"/>
      <c r="BE181" s="66"/>
      <c r="BF181"/>
      <c r="BG181" s="122">
        <v>8.8000000000000007</v>
      </c>
      <c r="BH181" s="119">
        <v>0.61270199999999997</v>
      </c>
      <c r="BI181" s="120">
        <v>1.2595295E-11</v>
      </c>
      <c r="BJ181" s="616">
        <v>4.0000000000000002E-9</v>
      </c>
      <c r="BK181" s="617">
        <v>3.2466712000000002E-2</v>
      </c>
      <c r="BL181" s="121">
        <v>8.1503806999999996E-4</v>
      </c>
      <c r="BM181" s="121">
        <v>4.6326965000000001E-3</v>
      </c>
      <c r="BN181" s="121">
        <v>0.11490058</v>
      </c>
      <c r="BO181" s="139"/>
      <c r="BP181" s="601">
        <v>8.8000000000000007</v>
      </c>
      <c r="BQ181" s="215">
        <v>0.61270199999999997</v>
      </c>
      <c r="BR181" s="602">
        <v>1.2595295E-11</v>
      </c>
      <c r="BS181" s="608">
        <v>1.3988860108114388E-8</v>
      </c>
      <c r="BT181" s="620">
        <v>3.2466712000000002E-2</v>
      </c>
      <c r="BU181" s="603">
        <v>8.1503806999999996E-4</v>
      </c>
      <c r="BV181" s="603">
        <v>4.6326965000000001E-3</v>
      </c>
      <c r="BW181" s="603">
        <v>0.11490058</v>
      </c>
      <c r="BX181"/>
      <c r="BY181"/>
      <c r="BZ181"/>
      <c r="CA181"/>
      <c r="CB181"/>
      <c r="CC181"/>
      <c r="CD181"/>
      <c r="CE181"/>
      <c r="CF181"/>
      <c r="CG181"/>
      <c r="CH181"/>
      <c r="CI181"/>
    </row>
    <row r="182" spans="2:87" s="36" customFormat="1">
      <c r="B182" s="69"/>
      <c r="C182" s="69"/>
      <c r="D182" s="72"/>
      <c r="E182" s="69"/>
      <c r="F182" s="72"/>
      <c r="G182" s="69"/>
      <c r="H182" s="69"/>
      <c r="I182" s="90"/>
      <c r="J182" s="69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 s="69"/>
      <c r="AC182" s="69"/>
      <c r="AD182" s="73"/>
      <c r="AE182" s="69"/>
      <c r="AF182" s="50"/>
      <c r="AJ182" s="155"/>
      <c r="AK182" s="69"/>
      <c r="AL182" s="66"/>
      <c r="AM182" s="69"/>
      <c r="AN182" s="69"/>
      <c r="AR182" s="60"/>
      <c r="AS182" s="69"/>
      <c r="AT182" s="69"/>
      <c r="AU182" s="73"/>
      <c r="AV182"/>
      <c r="BD182"/>
      <c r="BE182" s="66"/>
      <c r="BF182"/>
      <c r="BG182" s="122">
        <v>9</v>
      </c>
      <c r="BH182" s="119">
        <v>0.62662700000000005</v>
      </c>
      <c r="BI182" s="120">
        <v>1.5781341999999999E-11</v>
      </c>
      <c r="BJ182" s="616">
        <v>4.0000000000000002E-9</v>
      </c>
      <c r="BK182" s="617">
        <v>2.3925005999999999E-2</v>
      </c>
      <c r="BL182" s="121">
        <v>5.2536586E-4</v>
      </c>
      <c r="BM182" s="121">
        <v>4.6090604999999996E-3</v>
      </c>
      <c r="BN182" s="121">
        <v>8.4671251000000003E-2</v>
      </c>
      <c r="BO182" s="139"/>
      <c r="BP182" s="601">
        <v>9</v>
      </c>
      <c r="BQ182" s="215">
        <v>0.62662700000000005</v>
      </c>
      <c r="BR182" s="602">
        <v>1.5781341999999999E-11</v>
      </c>
      <c r="BS182" s="608">
        <v>2.7191549802698936E-8</v>
      </c>
      <c r="BT182" s="620">
        <v>2.3925005999999999E-2</v>
      </c>
      <c r="BU182" s="603">
        <v>5.2536586E-4</v>
      </c>
      <c r="BV182" s="603">
        <v>4.6090604999999996E-3</v>
      </c>
      <c r="BW182" s="603">
        <v>8.4671251000000003E-2</v>
      </c>
      <c r="BX182"/>
      <c r="BY182"/>
      <c r="BZ182"/>
      <c r="CA182"/>
      <c r="CB182"/>
      <c r="CC182"/>
      <c r="CD182"/>
      <c r="CE182"/>
      <c r="CF182"/>
      <c r="CG182"/>
      <c r="CH182"/>
      <c r="CI182"/>
    </row>
    <row r="183" spans="2:87" s="36" customFormat="1" ht="15.6">
      <c r="B183" s="69"/>
      <c r="C183" s="69"/>
      <c r="D183" s="72"/>
      <c r="E183" s="69"/>
      <c r="F183" s="72"/>
      <c r="G183" s="69"/>
      <c r="H183" s="69"/>
      <c r="I183" s="90"/>
      <c r="J183" s="69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s="69"/>
      <c r="AC183" s="69"/>
      <c r="AD183" s="73"/>
      <c r="AE183" s="69"/>
      <c r="AF183" s="50"/>
      <c r="AJ183" s="155"/>
      <c r="AK183" s="69"/>
      <c r="AL183" s="66"/>
      <c r="AM183" s="69"/>
      <c r="AN183" s="69"/>
      <c r="AR183" s="60"/>
      <c r="AS183" s="69"/>
      <c r="AT183" s="69"/>
      <c r="AU183" s="73"/>
      <c r="AV183"/>
      <c r="BD183"/>
      <c r="BE183" s="66"/>
      <c r="BF183"/>
      <c r="BG183" s="139"/>
      <c r="BH183" s="139"/>
      <c r="BI183" s="139"/>
      <c r="BJ183" s="139"/>
      <c r="BK183" s="139"/>
      <c r="BL183" s="139"/>
      <c r="BM183" s="139"/>
      <c r="BN183" s="139"/>
      <c r="BO183" s="139"/>
      <c r="BP183"/>
      <c r="BQ183" s="593"/>
      <c r="BR183" s="588"/>
      <c r="BS183" s="588"/>
      <c r="BT183" s="588"/>
      <c r="BU183" s="595">
        <f>(2*PI()*0.2*SUMPRODUCT($BP152:$BP182,BS152:BS182))/(2*PI()*0.2*SUM($BP152:$BP182))</f>
        <v>4.4166666666666682E-9</v>
      </c>
      <c r="BV183" s="600">
        <f>(2*PI()*0.2*SUMPRODUCT($BP152:$BP182,BT152:BT182))/(2*PI()*0.2*SUM($BP152:$BP182))</f>
        <v>6.2224410754838685E-2</v>
      </c>
      <c r="BW183" s="588"/>
      <c r="BX183"/>
      <c r="BY183"/>
      <c r="BZ183"/>
      <c r="CA183"/>
      <c r="CB183"/>
      <c r="CC183"/>
      <c r="CD183"/>
      <c r="CE183"/>
      <c r="CF183"/>
      <c r="CG183"/>
      <c r="CH183"/>
      <c r="CI183"/>
    </row>
    <row r="184" spans="2:87" ht="15.6">
      <c r="K184" s="139"/>
      <c r="L184" s="139"/>
      <c r="M184" s="139"/>
      <c r="N184" s="139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BF184" s="139"/>
      <c r="BG184" s="593"/>
      <c r="BQ184" s="139"/>
      <c r="BR184" s="139"/>
      <c r="BS184" s="139"/>
      <c r="BT184" s="139"/>
      <c r="BU184" s="139"/>
      <c r="BV184" s="139"/>
      <c r="BW184" s="139"/>
      <c r="BX184" s="139"/>
      <c r="BY184" s="139"/>
      <c r="BZ184" s="139"/>
      <c r="CA184" s="139"/>
      <c r="CB184" s="139"/>
      <c r="CC184" s="139"/>
      <c r="CD184" s="139"/>
      <c r="CE184" s="139"/>
      <c r="CF184" s="139"/>
      <c r="CG184" s="139"/>
      <c r="CH184" s="139"/>
      <c r="CI184" s="139"/>
    </row>
    <row r="185" spans="2:87" ht="15.6">
      <c r="K185" s="139"/>
      <c r="L185" s="139"/>
      <c r="M185" s="139"/>
      <c r="N185" s="139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BF185" s="139"/>
      <c r="BG185" s="593"/>
      <c r="BQ185" s="139"/>
      <c r="BR185" s="139"/>
      <c r="BS185" s="139"/>
      <c r="BT185" s="139"/>
      <c r="BU185" s="139"/>
      <c r="BV185" s="139"/>
      <c r="BW185" s="139"/>
      <c r="BX185" s="139"/>
      <c r="BY185" s="139"/>
      <c r="BZ185" s="139"/>
      <c r="CA185" s="139"/>
      <c r="CB185" s="139"/>
      <c r="CC185" s="139"/>
      <c r="CD185" s="139"/>
      <c r="CE185" s="139"/>
      <c r="CF185" s="139"/>
      <c r="CG185" s="139"/>
      <c r="CH185" s="139"/>
      <c r="CI185" s="139"/>
    </row>
    <row r="186" spans="2:87">
      <c r="K186" s="139"/>
      <c r="L186" s="139"/>
      <c r="M186" s="139"/>
      <c r="N186" s="139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BF186" s="139"/>
    </row>
    <row r="187" spans="2:87">
      <c r="K187" s="139"/>
      <c r="L187" s="139"/>
      <c r="M187" s="139"/>
      <c r="N187" s="139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</row>
    <row r="188" spans="2:87">
      <c r="K188" s="139"/>
      <c r="L188" s="139"/>
      <c r="M188" s="139"/>
      <c r="N188" s="139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</row>
    <row r="189" spans="2:87">
      <c r="K189" s="139"/>
      <c r="L189" s="139"/>
      <c r="M189" s="139"/>
      <c r="N189" s="139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</row>
    <row r="190" spans="2:87">
      <c r="K190" s="139"/>
      <c r="L190" s="139"/>
      <c r="M190" s="139"/>
      <c r="N190" s="139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</row>
    <row r="191" spans="2:87">
      <c r="K191" s="139"/>
      <c r="L191" s="139"/>
      <c r="M191" s="139"/>
      <c r="N191" s="139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</row>
    <row r="192" spans="2:87">
      <c r="K192" s="139"/>
      <c r="L192" s="139"/>
      <c r="M192" s="139"/>
      <c r="N192" s="139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</row>
    <row r="193" spans="11:27">
      <c r="K193" s="139"/>
      <c r="L193" s="139"/>
      <c r="M193" s="139"/>
      <c r="N193" s="139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</row>
  </sheetData>
  <sortState ref="Q139:AA172">
    <sortCondition descending="1" ref="Y139:Y172"/>
  </sortState>
  <mergeCells count="29">
    <mergeCell ref="AP20:AQ20"/>
    <mergeCell ref="S4:T4"/>
    <mergeCell ref="S5:T5"/>
    <mergeCell ref="AP14:AQ14"/>
    <mergeCell ref="AP15:AQ15"/>
    <mergeCell ref="AP16:AQ16"/>
    <mergeCell ref="AP17:AQ17"/>
    <mergeCell ref="AP18:AQ18"/>
    <mergeCell ref="AP9:AQ9"/>
    <mergeCell ref="AP10:AQ10"/>
    <mergeCell ref="AP11:AQ11"/>
    <mergeCell ref="AP12:AQ12"/>
    <mergeCell ref="AP13:AQ13"/>
    <mergeCell ref="D4:E4"/>
    <mergeCell ref="AP37:AQ37"/>
    <mergeCell ref="AP35:AQ35"/>
    <mergeCell ref="AP34:AQ34"/>
    <mergeCell ref="AP36:AQ36"/>
    <mergeCell ref="AP30:AQ30"/>
    <mergeCell ref="AP31:AQ31"/>
    <mergeCell ref="AP32:AQ32"/>
    <mergeCell ref="Z8:AA8"/>
    <mergeCell ref="Q4:R4"/>
    <mergeCell ref="Q5:R5"/>
    <mergeCell ref="Q7:R7"/>
    <mergeCell ref="Q8:R8"/>
    <mergeCell ref="AP7:AQ7"/>
    <mergeCell ref="AP8:AQ8"/>
    <mergeCell ref="AP19:AQ19"/>
  </mergeCells>
  <conditionalFormatting sqref="W11">
    <cfRule type="cellIs" dxfId="6" priority="34" operator="between">
      <formula>-1E+99</formula>
      <formula>1E-99</formula>
    </cfRule>
  </conditionalFormatting>
  <conditionalFormatting sqref="W12:W45">
    <cfRule type="cellIs" dxfId="5" priority="29" operator="between">
      <formula>-1E+99</formula>
      <formula>1E-99</formula>
    </cfRule>
  </conditionalFormatting>
  <conditionalFormatting sqref="S12:S45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11">
    <cfRule type="cellIs" dxfId="4" priority="27" operator="between">
      <formula>-1E+99</formula>
      <formula>1E-99</formula>
    </cfRule>
  </conditionalFormatting>
  <conditionalFormatting sqref="X12:X45">
    <cfRule type="cellIs" dxfId="3" priority="26" operator="between">
      <formula>-1E+99</formula>
      <formula>1E-99</formula>
    </cfRule>
  </conditionalFormatting>
  <conditionalFormatting sqref="L4:L9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{0A6A9859-2742-414B-B591-F443F692C9C9}</x14:id>
        </ext>
      </extLst>
    </cfRule>
  </conditionalFormatting>
  <conditionalFormatting sqref="E59:G60">
    <cfRule type="colorScale" priority="24">
      <colorScale>
        <cfvo type="min"/>
        <cfvo type="max"/>
        <color rgb="FFFCFCFF"/>
        <color rgb="FF63BE7B"/>
      </colorScale>
    </cfRule>
  </conditionalFormatting>
  <conditionalFormatting sqref="F47:J47">
    <cfRule type="colorScale" priority="15">
      <colorScale>
        <cfvo type="min"/>
        <cfvo type="max"/>
        <color rgb="FF63BE7B"/>
        <color rgb="FFFFEF9C"/>
      </colorScale>
    </cfRule>
  </conditionalFormatting>
  <conditionalFormatting sqref="F48:J48">
    <cfRule type="colorScale" priority="14">
      <colorScale>
        <cfvo type="min"/>
        <cfvo type="max"/>
        <color rgb="FF63BE7B"/>
        <color rgb="FFFFEF9C"/>
      </colorScale>
    </cfRule>
  </conditionalFormatting>
  <conditionalFormatting sqref="F49:J49">
    <cfRule type="colorScale" priority="13">
      <colorScale>
        <cfvo type="min"/>
        <cfvo type="max"/>
        <color rgb="FF63BE7B"/>
        <color rgb="FFFFEF9C"/>
      </colorScale>
    </cfRule>
  </conditionalFormatting>
  <conditionalFormatting sqref="F50:J50">
    <cfRule type="colorScale" priority="12">
      <colorScale>
        <cfvo type="min"/>
        <cfvo type="max"/>
        <color rgb="FF63BE7B"/>
        <color rgb="FFFFEF9C"/>
      </colorScale>
    </cfRule>
  </conditionalFormatting>
  <conditionalFormatting sqref="F51:J51">
    <cfRule type="colorScale" priority="11">
      <colorScale>
        <cfvo type="min"/>
        <cfvo type="max"/>
        <color rgb="FF63BE7B"/>
        <color rgb="FFFFEF9C"/>
      </colorScale>
    </cfRule>
  </conditionalFormatting>
  <conditionalFormatting sqref="F52:J52">
    <cfRule type="colorScale" priority="10">
      <colorScale>
        <cfvo type="min"/>
        <cfvo type="max"/>
        <color rgb="FF63BE7B"/>
        <color rgb="FFFFEF9C"/>
      </colorScale>
    </cfRule>
  </conditionalFormatting>
  <conditionalFormatting sqref="F53:J53">
    <cfRule type="colorScale" priority="9">
      <colorScale>
        <cfvo type="min"/>
        <cfvo type="max"/>
        <color rgb="FF63BE7B"/>
        <color rgb="FFFFEF9C"/>
      </colorScale>
    </cfRule>
  </conditionalFormatting>
  <conditionalFormatting sqref="F54:J54">
    <cfRule type="colorScale" priority="8">
      <colorScale>
        <cfvo type="min"/>
        <cfvo type="max"/>
        <color rgb="FF63BE7B"/>
        <color rgb="FFFFEF9C"/>
      </colorScale>
    </cfRule>
  </conditionalFormatting>
  <conditionalFormatting sqref="AB11">
    <cfRule type="cellIs" dxfId="2" priority="7" operator="between">
      <formula>-1E+99</formula>
      <formula>1E-99</formula>
    </cfRule>
  </conditionalFormatting>
  <conditionalFormatting sqref="AB12:AB45">
    <cfRule type="cellIs" dxfId="1" priority="6" operator="between">
      <formula>-1E+99</formula>
      <formula>1E-99</formula>
    </cfRule>
  </conditionalFormatting>
  <conditionalFormatting sqref="E65:G66">
    <cfRule type="colorScale" priority="4">
      <colorScale>
        <cfvo type="min"/>
        <cfvo type="max"/>
        <color rgb="FFFCFCFF"/>
        <color rgb="FF63BE7B"/>
      </colorScale>
    </cfRule>
  </conditionalFormatting>
  <conditionalFormatting sqref="D31:D40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2:AA14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9">
    <cfRule type="cellIs" dxfId="0" priority="1" stopIfTrue="1" operator="equal">
      <formula>16000</formula>
    </cfRule>
  </conditionalFormatting>
  <dataValidations disablePrompts="1" count="3">
    <dataValidation type="list" allowBlank="1" showInputMessage="1" showErrorMessage="1" sqref="D4">
      <formula1>scenarios</formula1>
    </dataValidation>
    <dataValidation type="list" allowBlank="1" showInputMessage="1" showErrorMessage="1" sqref="M31:M40">
      <formula1>whichContrast</formula1>
    </dataValidation>
    <dataValidation type="list" allowBlank="1" showInputMessage="1" showErrorMessage="1" sqref="G31:G40">
      <formula1>CGcase</formula1>
    </dataValidation>
  </dataValidations>
  <pageMargins left="0.7" right="0.7" top="0.75" bottom="0.75" header="0.3" footer="0.3"/>
  <pageSetup orientation="portrait" horizontalDpi="200" verticalDpi="200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A6A9859-2742-414B-B591-F443F692C9C9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L4:L9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G54" sqref="G54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73</vt:i4>
      </vt:variant>
    </vt:vector>
  </HeadingPairs>
  <TitlesOfParts>
    <vt:vector size="76" baseType="lpstr">
      <vt:lpstr>Version Log</vt:lpstr>
      <vt:lpstr>BDE</vt:lpstr>
      <vt:lpstr>Graphics</vt:lpstr>
      <vt:lpstr>Acol</vt:lpstr>
      <vt:lpstr>arcsec</vt:lpstr>
      <vt:lpstr>AU</vt:lpstr>
      <vt:lpstr>B22_FIT_565</vt:lpstr>
      <vt:lpstr>B22_REQ_565</vt:lpstr>
      <vt:lpstr>c_light</vt:lpstr>
      <vt:lpstr>CCDQEcoatings</vt:lpstr>
      <vt:lpstr>CCDQEno</vt:lpstr>
      <vt:lpstr>CG_Specs</vt:lpstr>
      <vt:lpstr>CG_Type</vt:lpstr>
      <vt:lpstr>CGcase</vt:lpstr>
      <vt:lpstr>CGtable</vt:lpstr>
      <vt:lpstr>CICnoiseRate</vt:lpstr>
      <vt:lpstr>D_PM</vt:lpstr>
      <vt:lpstr>darkCurrent</vt:lpstr>
      <vt:lpstr>darkNoiseRate</vt:lpstr>
      <vt:lpstr>ENF</vt:lpstr>
      <vt:lpstr>f_pp</vt:lpstr>
      <vt:lpstr>f_SR</vt:lpstr>
      <vt:lpstr>fluxTable</vt:lpstr>
      <vt:lpstr>FPattributes</vt:lpstr>
      <vt:lpstr>frameTime</vt:lpstr>
      <vt:lpstr>G22_FIT_565</vt:lpstr>
      <vt:lpstr>G22_REQ_565</vt:lpstr>
      <vt:lpstr>G25_FIT_660</vt:lpstr>
      <vt:lpstr>G25_FIT_770</vt:lpstr>
      <vt:lpstr>G25_REQ_660</vt:lpstr>
      <vt:lpstr>G25_REQ_770</vt:lpstr>
      <vt:lpstr>h_planck</vt:lpstr>
      <vt:lpstr>HLC_CG</vt:lpstr>
      <vt:lpstr>ifs_fsr</vt:lpstr>
      <vt:lpstr>inBWflux0</vt:lpstr>
      <vt:lpstr>integTime</vt:lpstr>
      <vt:lpstr>Kappa</vt:lpstr>
      <vt:lpstr>lam_over_D</vt:lpstr>
      <vt:lpstr>lambda</vt:lpstr>
      <vt:lpstr>mas</vt:lpstr>
      <vt:lpstr>MissionLifeEpoch</vt:lpstr>
      <vt:lpstr>MissionLifeFraction</vt:lpstr>
      <vt:lpstr>mpix</vt:lpstr>
      <vt:lpstr>Msun</vt:lpstr>
      <vt:lpstr>nm</vt:lpstr>
      <vt:lpstr>pc</vt:lpstr>
      <vt:lpstr>pl_convertRate</vt:lpstr>
      <vt:lpstr>pl_signalRate</vt:lpstr>
      <vt:lpstr>planetFlux</vt:lpstr>
      <vt:lpstr>planetNo</vt:lpstr>
      <vt:lpstr>planetTable</vt:lpstr>
      <vt:lpstr>planetWA</vt:lpstr>
      <vt:lpstr>QE</vt:lpstr>
      <vt:lpstr>QEcurves</vt:lpstr>
      <vt:lpstr>R_earth</vt:lpstr>
      <vt:lpstr>R_jupiter</vt:lpstr>
      <vt:lpstr>R_sun</vt:lpstr>
      <vt:lpstr>readNoiseRate</vt:lpstr>
      <vt:lpstr>scenarios</vt:lpstr>
      <vt:lpstr>ScenarioSelected</vt:lpstr>
      <vt:lpstr>scenarioTable</vt:lpstr>
      <vt:lpstr>signalQE</vt:lpstr>
      <vt:lpstr>SNRtarget</vt:lpstr>
      <vt:lpstr>SNRtimeMargin</vt:lpstr>
      <vt:lpstr>sp_bkgRate</vt:lpstr>
      <vt:lpstr>SPC_CG</vt:lpstr>
      <vt:lpstr>starFlux</vt:lpstr>
      <vt:lpstr>stellarClass</vt:lpstr>
      <vt:lpstr>t_pl</vt:lpstr>
      <vt:lpstr>t_speckle</vt:lpstr>
      <vt:lpstr>t_zodi</vt:lpstr>
      <vt:lpstr>timeToSNR</vt:lpstr>
      <vt:lpstr>totNoiseVarRate</vt:lpstr>
      <vt:lpstr>um</vt:lpstr>
      <vt:lpstr>WAplanet</vt:lpstr>
      <vt:lpstr>zo_bkgRate</vt:lpstr>
    </vt:vector>
  </TitlesOfParts>
  <Company>JPL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Nemati, Bijan (383B)</dc:creator>
  <cp:lastModifiedBy>Charley Noecker</cp:lastModifiedBy>
  <dcterms:created xsi:type="dcterms:W3CDTF">2016-10-25T17:55:56Z</dcterms:created>
  <dcterms:modified xsi:type="dcterms:W3CDTF">2017-03-09T21:00:02Z</dcterms:modified>
</cp:coreProperties>
</file>