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Bijan Nemati\Desktop\CGI-Yield\BDE\"/>
    </mc:Choice>
  </mc:AlternateContent>
  <bookViews>
    <workbookView xWindow="0" yWindow="0" windowWidth="51600" windowHeight="17700" activeTab="1"/>
  </bookViews>
  <sheets>
    <sheet name="Version Log" sheetId="11" r:id="rId1"/>
    <sheet name="BDE" sheetId="1" r:id="rId2"/>
    <sheet name="CG" sheetId="12" r:id="rId3"/>
    <sheet name="Planets" sheetId="2" r:id="rId4"/>
    <sheet name="Detector Reqs" sheetId="4" r:id="rId5"/>
    <sheet name="L3" sheetId="10" r:id="rId6"/>
    <sheet name="Graphics" sheetId="8" r:id="rId7"/>
    <sheet name="Contast Fits" sheetId="13" r:id="rId8"/>
    <sheet name="Throughput" sheetId="14" r:id="rId9"/>
  </sheets>
  <definedNames>
    <definedName name="Acol">BDE!$AI$97</definedName>
    <definedName name="Al">Throughput!$F$8</definedName>
    <definedName name="am_">deg/60</definedName>
    <definedName name="arcsec">BDE!$BJ$41</definedName>
    <definedName name="as_">deg/3600</definedName>
    <definedName name="AU">BDE!$BJ$37</definedName>
    <definedName name="B22_FIT_565">CG!$AG$8:$AN$28</definedName>
    <definedName name="B22_REQ_565">CG!$W$8:$AD$28</definedName>
    <definedName name="B25_FIT_660">CG!$CN$9:$CU$34</definedName>
    <definedName name="B25_FIT_770">CG!$CN$40:$CU$65</definedName>
    <definedName name="B25_REQ_660">CG!$CD$9:$CK$34</definedName>
    <definedName name="B25_REQ_770">CG!$CD$40:$CK$65</definedName>
    <definedName name="BBARx2">Throughput!$H$9</definedName>
    <definedName name="c_light">BDE!$BJ$28</definedName>
    <definedName name="CCDQEcoatings">'Detector Reqs'!$S$8:$Y$9</definedName>
    <definedName name="CCDQEno">BDE!$AS$25</definedName>
    <definedName name="CG_Specs">BDE!$AQ$7:$AR$20</definedName>
    <definedName name="CG_Type">BDE!$AQ$7:$AR$7</definedName>
    <definedName name="CGcase">BDE!$C$28:$C$41</definedName>
    <definedName name="CGtable">BDE!$C$28:$H$41</definedName>
    <definedName name="CICnoiseRate">BDE!$L$8</definedName>
    <definedName name="Color_filter">Throughput!$I$9</definedName>
    <definedName name="D_PM">BDE!$AI$94</definedName>
    <definedName name="darkCurrent">BDE!$AQ$31</definedName>
    <definedName name="darkNoiseRate">BDE!$L$7</definedName>
    <definedName name="deg">RADIANS(1)</definedName>
    <definedName name="ENF">BDE!$AI$64</definedName>
    <definedName name="f_pp">BDE!$AI$25</definedName>
    <definedName name="f_SR">BDE!$AI$66</definedName>
    <definedName name="fluxTable">BDE!$BI$3:$BO$16</definedName>
    <definedName name="FPattributes">BDE!$AQ$40:$AR$44</definedName>
    <definedName name="frameTime">BDE!$AI$26</definedName>
    <definedName name="FSS99_600">Throughput!$E$8</definedName>
    <definedName name="G22_FIT_565">CG!$AG$35:$AN$56</definedName>
    <definedName name="G22_REQ_565">CG!$W$35:$AD$56</definedName>
    <definedName name="G25_FIT_660">CG!$BR$8:$BY$34</definedName>
    <definedName name="G25_FIT_770">CG!$BR$39:$BY$65</definedName>
    <definedName name="G25_REQ_660">CG!$BF$9:$BM$34</definedName>
    <definedName name="G25_REQ_770">CG!$BF$40:$BM$65</definedName>
    <definedName name="h_planck">BDE!$BJ$27</definedName>
    <definedName name="HLC_CG">CG!$C$13:$J$35</definedName>
    <definedName name="HRC">Throughput!$D$8</definedName>
    <definedName name="HRC_R">Throughput!$D$8</definedName>
    <definedName name="ifs_fsr">BDE!$AI$66</definedName>
    <definedName name="inBWflux0">BDE!$AI$44</definedName>
    <definedName name="integTime">BDE!$AI$71</definedName>
    <definedName name="Kappa">BDE!$AI$5</definedName>
    <definedName name="lam_over_D">BDE!$AI$43</definedName>
    <definedName name="lambda">BDE!$AI$18</definedName>
    <definedName name="mas">BDE!$BJ$42</definedName>
    <definedName name="MissionLifeEpoch">BDE!$AQ$26:$AR$26</definedName>
    <definedName name="MissionLifeFraction">BDE!$AI$24</definedName>
    <definedName name="mpix">BDE!$AI$67</definedName>
    <definedName name="Msun">BDE!$BJ$34</definedName>
    <definedName name="nm">BDE!$BJ$45</definedName>
    <definedName name="pc">BDE!$BJ$38</definedName>
    <definedName name="phFun">Planets!$AD$13:$AM$18</definedName>
    <definedName name="pl_convertRate">BDE!$AI$29</definedName>
    <definedName name="pl_signalRate">BDE!$AI$30</definedName>
    <definedName name="planetFlux">BDE!$AI$46</definedName>
    <definedName name="planetNo">BDE!$H$4</definedName>
    <definedName name="planetTable">Planets!$B$5:$Z$43</definedName>
    <definedName name="planetWA">BDE!$AI$40</definedName>
    <definedName name="Polarizer">Throughput!$J$9</definedName>
    <definedName name="QE">BDE!$AQ$34</definedName>
    <definedName name="QEcurves">'Detector Reqs'!$R$10:$Y$90</definedName>
    <definedName name="R_earth">BDE!$BJ$35</definedName>
    <definedName name="R_jupiter">BDE!$BJ$36</definedName>
    <definedName name="R_sun">BDE!$BJ$39</definedName>
    <definedName name="readNoiseRate">BDE!$L$9</definedName>
    <definedName name="RVPrime">Planets!$B$5:$Z$38</definedName>
    <definedName name="scenarios">BDE!$C$13:$C$24</definedName>
    <definedName name="ScenarioSelected">BDE!$D$4</definedName>
    <definedName name="scenarioTable">BDE!$C$13:$M$24</definedName>
    <definedName name="signalQE">BDE!$AQ$37</definedName>
    <definedName name="SNRtarget">BDE!$D$6</definedName>
    <definedName name="SNRtimeMargin">BDE!$H$8</definedName>
    <definedName name="solver_adj" localSheetId="7" hidden="1">'Contast Fits'!$L$2:$L$5</definedName>
    <definedName name="solver_cvg" localSheetId="7" hidden="1">0.0000001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lhs1" localSheetId="7" hidden="1">'Contast Fits'!$L$2</definedName>
    <definedName name="solver_lhs2" localSheetId="7" hidden="1">'Contast Fits'!$L$2</definedName>
    <definedName name="solver_lhs3" localSheetId="7" hidden="1">'Contast Fits'!$L$3</definedName>
    <definedName name="solver_lhs4" localSheetId="7" hidden="1">'Contast Fits'!$L$3</definedName>
    <definedName name="solver_lhs5" localSheetId="7" hidden="1">'Contast Fits'!$L$4</definedName>
    <definedName name="solver_lhs6" localSheetId="7" hidden="1">'Contast Fits'!$L$4</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'Contast Fits'!$L$7</definedName>
    <definedName name="solver_pre" localSheetId="7" hidden="1">0.000001</definedName>
    <definedName name="solver_rbv" localSheetId="7" hidden="1">1</definedName>
    <definedName name="solver_rel1" localSheetId="7" hidden="1">1</definedName>
    <definedName name="solver_rel2" localSheetId="7" hidden="1">3</definedName>
    <definedName name="solver_rel3" localSheetId="7" hidden="1">1</definedName>
    <definedName name="solver_rel4" localSheetId="7" hidden="1">3</definedName>
    <definedName name="solver_rel5" localSheetId="7" hidden="1">1</definedName>
    <definedName name="solver_rel6" localSheetId="7" hidden="1">3</definedName>
    <definedName name="solver_rhs1" localSheetId="7" hidden="1">'Contast Fits'!$N$3</definedName>
    <definedName name="solver_rhs2" localSheetId="7" hidden="1">'Contast Fits'!$M$3</definedName>
    <definedName name="solver_rhs3" localSheetId="7" hidden="1">'Contast Fits'!$N$4</definedName>
    <definedName name="solver_rhs4" localSheetId="7" hidden="1">'Contast Fits'!$M$4</definedName>
    <definedName name="solver_rhs5" localSheetId="7" hidden="1">'Contast Fits'!$N$5</definedName>
    <definedName name="solver_rhs6" localSheetId="7" hidden="1">'Contast Fits'!$M$5</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2</definedName>
    <definedName name="solver_val" localSheetId="7" hidden="1">0</definedName>
    <definedName name="solver_ver" localSheetId="7" hidden="1">3</definedName>
    <definedName name="sp_bkgRate">BDE!$AI$31</definedName>
    <definedName name="SPC_CG">CG!$C$44:$J$76</definedName>
    <definedName name="starFlux">BDE!$AI$45</definedName>
    <definedName name="stellarClass">Planets!$W$5:$W$38</definedName>
    <definedName name="t_pl">BDE!$AI$87</definedName>
    <definedName name="t_speckle">BDE!$AI$89</definedName>
    <definedName name="t_zodi">BDE!$AI$88</definedName>
    <definedName name="Throughput_types">Throughput!$D$14:$D$43,Throughput!$K$14:$K$43</definedName>
    <definedName name="timeToSNR">BDE!$H$6</definedName>
    <definedName name="totNoiseVarRate">BDE!$L$10</definedName>
    <definedName name="um">BDE!$BJ$44</definedName>
    <definedName name="WAplanet">BDE!$AO$17</definedName>
    <definedName name="zo_bkgRate">BDE!$AI$32</definedName>
  </definedNames>
  <calcPr calcId="162913"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51" i="1" l="1"/>
  <c r="AI18" i="1"/>
  <c r="U5" i="1"/>
  <c r="AI20" i="1"/>
  <c r="AI25" i="1"/>
  <c r="Z52" i="1"/>
  <c r="AI24" i="1"/>
  <c r="AI21" i="1"/>
  <c r="Y53" i="1"/>
  <c r="AI65" i="1"/>
  <c r="AI23" i="1"/>
  <c r="AQ7" i="1"/>
  <c r="AQ16" i="1"/>
  <c r="AI42" i="1"/>
  <c r="AI9" i="1"/>
  <c r="AC50" i="1"/>
  <c r="H41" i="2"/>
  <c r="AI11" i="1"/>
  <c r="AI39" i="1"/>
  <c r="AI40" i="1"/>
  <c r="AQ18" i="1"/>
  <c r="AQ11" i="1"/>
  <c r="AI78" i="1"/>
  <c r="AQ17" i="1"/>
  <c r="AI84" i="1"/>
  <c r="AI77" i="1"/>
  <c r="AI87" i="1"/>
  <c r="AI17" i="1"/>
  <c r="E14" i="1"/>
  <c r="E18" i="1"/>
  <c r="AI19" i="1"/>
  <c r="AQ41" i="1"/>
  <c r="AI66" i="1"/>
  <c r="AI12" i="1"/>
  <c r="AI13" i="1"/>
  <c r="AI38" i="1"/>
  <c r="AI63" i="1"/>
  <c r="BO6" i="1"/>
  <c r="AI44" i="1"/>
  <c r="D41" i="2"/>
  <c r="AI10" i="1"/>
  <c r="AI45" i="1"/>
  <c r="AI46" i="1"/>
  <c r="AQ34" i="1"/>
  <c r="AI97" i="1"/>
  <c r="AI29" i="1"/>
  <c r="AQ13" i="1"/>
  <c r="AQ14" i="1"/>
  <c r="AI82" i="1"/>
  <c r="AI88" i="1"/>
  <c r="AI47" i="1"/>
  <c r="AI52" i="1"/>
  <c r="AI55" i="1"/>
  <c r="AI53" i="1"/>
  <c r="AI56" i="1"/>
  <c r="AI32" i="1"/>
  <c r="AQ10" i="1"/>
  <c r="AI59" i="1"/>
  <c r="AQ12" i="1"/>
  <c r="AI60" i="1"/>
  <c r="AQ19" i="1"/>
  <c r="AQ20" i="1"/>
  <c r="AI89" i="1"/>
  <c r="AI31" i="1"/>
  <c r="AQ42" i="1"/>
  <c r="AR44" i="1"/>
  <c r="AR42" i="1"/>
  <c r="AI67" i="1"/>
  <c r="AI33" i="1"/>
  <c r="AI35" i="1"/>
  <c r="AQ36" i="1"/>
  <c r="AQ37" i="1"/>
  <c r="AI71" i="1"/>
  <c r="AI4" i="1"/>
  <c r="AQ31" i="1"/>
  <c r="I50" i="1"/>
  <c r="L7" i="1"/>
  <c r="AQ32" i="1"/>
  <c r="I51" i="1"/>
  <c r="L8" i="1"/>
  <c r="AR27" i="1"/>
  <c r="AQ30" i="1"/>
  <c r="I49" i="1"/>
  <c r="L9" i="1"/>
  <c r="L10" i="1"/>
  <c r="V58" i="1"/>
  <c r="V59" i="1"/>
  <c r="V60" i="1"/>
  <c r="V55" i="1"/>
  <c r="V61" i="1"/>
  <c r="AC63" i="1"/>
  <c r="AB63" i="1"/>
  <c r="AA63" i="1"/>
  <c r="AA54" i="1"/>
  <c r="BJ41" i="1"/>
  <c r="BJ42" i="1"/>
  <c r="AI43" i="1"/>
  <c r="Y57" i="1"/>
  <c r="Y58" i="1"/>
  <c r="Y59" i="1"/>
  <c r="Y60" i="1"/>
  <c r="Y61" i="1"/>
  <c r="Y62" i="1"/>
  <c r="Y56" i="1"/>
  <c r="E17" i="1"/>
  <c r="Z55" i="1"/>
  <c r="M27" i="1"/>
  <c r="L27" i="1"/>
  <c r="K27" i="1"/>
  <c r="S8" i="1"/>
  <c r="V11" i="1"/>
  <c r="E16" i="1"/>
  <c r="BO5" i="1"/>
  <c r="AI30" i="1"/>
  <c r="D6" i="1"/>
  <c r="H7" i="1"/>
  <c r="H6" i="1"/>
  <c r="D8" i="14"/>
  <c r="O15" i="14"/>
  <c r="O16" i="14"/>
  <c r="E8" i="14"/>
  <c r="O17" i="14"/>
  <c r="O18" i="14"/>
  <c r="O19" i="14"/>
  <c r="O20" i="14"/>
  <c r="O21" i="14"/>
  <c r="O22" i="14"/>
  <c r="O23" i="14"/>
  <c r="O24" i="14"/>
  <c r="O25" i="14"/>
  <c r="O26" i="14"/>
  <c r="O27" i="14"/>
  <c r="F8" i="14"/>
  <c r="O28" i="14"/>
  <c r="O29" i="14"/>
  <c r="O30" i="14"/>
  <c r="O31" i="14"/>
  <c r="O32" i="14"/>
  <c r="O61" i="14"/>
  <c r="O62" i="14"/>
  <c r="O63" i="14"/>
  <c r="O34" i="14"/>
  <c r="O35" i="14"/>
  <c r="O37" i="14"/>
  <c r="O66" i="14"/>
  <c r="O70" i="14"/>
  <c r="O71" i="14"/>
  <c r="M15" i="14"/>
  <c r="M16" i="14"/>
  <c r="M17" i="14"/>
  <c r="M18" i="14"/>
  <c r="M19" i="14"/>
  <c r="M20" i="14"/>
  <c r="M21" i="14"/>
  <c r="M22" i="14"/>
  <c r="M23" i="14"/>
  <c r="M24" i="14"/>
  <c r="M25" i="14"/>
  <c r="M26" i="14"/>
  <c r="M27" i="14"/>
  <c r="M28" i="14"/>
  <c r="M29" i="14"/>
  <c r="M30" i="14"/>
  <c r="M31" i="14"/>
  <c r="M32" i="14"/>
  <c r="M38" i="14"/>
  <c r="M41" i="14"/>
  <c r="M43" i="14"/>
  <c r="M44" i="14"/>
  <c r="M45" i="14"/>
  <c r="M49" i="14"/>
  <c r="M50" i="14"/>
  <c r="M51" i="14"/>
  <c r="M52" i="14"/>
  <c r="M53" i="14"/>
  <c r="M55" i="14"/>
  <c r="M56" i="14"/>
  <c r="M57" i="14"/>
  <c r="M58" i="14"/>
  <c r="M59" i="14"/>
  <c r="M34" i="14"/>
  <c r="M35" i="14"/>
  <c r="M66" i="14"/>
  <c r="M70" i="14"/>
  <c r="M71" i="14"/>
  <c r="K15" i="14"/>
  <c r="K16" i="14"/>
  <c r="K17" i="14"/>
  <c r="K18" i="14"/>
  <c r="K19" i="14"/>
  <c r="K20" i="14"/>
  <c r="K21" i="14"/>
  <c r="K22" i="14"/>
  <c r="K23" i="14"/>
  <c r="K24" i="14"/>
  <c r="K25" i="14"/>
  <c r="K26" i="14"/>
  <c r="K27" i="14"/>
  <c r="K28" i="14"/>
  <c r="K29" i="14"/>
  <c r="K30" i="14"/>
  <c r="K31" i="14"/>
  <c r="K32" i="14"/>
  <c r="K38" i="14"/>
  <c r="K41" i="14"/>
  <c r="K43" i="14"/>
  <c r="K44" i="14"/>
  <c r="K45" i="14"/>
  <c r="K47" i="14"/>
  <c r="K34" i="14"/>
  <c r="K35" i="14"/>
  <c r="K37" i="14"/>
  <c r="K66" i="14"/>
  <c r="K70" i="14"/>
  <c r="K71" i="14"/>
  <c r="H15" i="14"/>
  <c r="H16" i="14"/>
  <c r="H17" i="14"/>
  <c r="H18" i="14"/>
  <c r="H19" i="14"/>
  <c r="H20" i="14"/>
  <c r="H21" i="14"/>
  <c r="H22" i="14"/>
  <c r="H23" i="14"/>
  <c r="H24" i="14"/>
  <c r="H25" i="14"/>
  <c r="H26" i="14"/>
  <c r="H27" i="14"/>
  <c r="H28" i="14"/>
  <c r="H29" i="14"/>
  <c r="H30" i="14"/>
  <c r="H31" i="14"/>
  <c r="H32" i="14"/>
  <c r="H61" i="14"/>
  <c r="H62" i="14"/>
  <c r="H63" i="14"/>
  <c r="H33" i="14"/>
  <c r="H35" i="14"/>
  <c r="H66" i="14"/>
  <c r="H70" i="14"/>
  <c r="H71" i="14"/>
  <c r="D15" i="14"/>
  <c r="D16" i="14"/>
  <c r="D17" i="14"/>
  <c r="D18" i="14"/>
  <c r="D19" i="14"/>
  <c r="D20" i="14"/>
  <c r="D21" i="14"/>
  <c r="D22" i="14"/>
  <c r="D23" i="14"/>
  <c r="D24" i="14"/>
  <c r="D25" i="14"/>
  <c r="D26" i="14"/>
  <c r="D27" i="14"/>
  <c r="D28" i="14"/>
  <c r="D29" i="14"/>
  <c r="D30" i="14"/>
  <c r="D31" i="14"/>
  <c r="D32" i="14"/>
  <c r="D38" i="14"/>
  <c r="D41" i="14"/>
  <c r="D43" i="14"/>
  <c r="D44" i="14"/>
  <c r="D45" i="14"/>
  <c r="D46" i="14"/>
  <c r="D47" i="14"/>
  <c r="D33" i="14"/>
  <c r="D35" i="14"/>
  <c r="D36" i="14"/>
  <c r="D66" i="14"/>
  <c r="D70" i="14"/>
  <c r="D71" i="14"/>
  <c r="P66" i="14"/>
  <c r="O67" i="14"/>
  <c r="N66" i="14"/>
  <c r="M67" i="14"/>
  <c r="L66" i="14"/>
  <c r="K67" i="14"/>
  <c r="I66" i="14"/>
  <c r="H67" i="14"/>
  <c r="E66" i="14"/>
  <c r="D67" i="14"/>
  <c r="F41" i="14"/>
  <c r="G8" i="14"/>
  <c r="K2" i="1"/>
  <c r="E15" i="1"/>
  <c r="M40" i="2"/>
  <c r="J27" i="1"/>
  <c r="E22" i="1"/>
  <c r="E23" i="1"/>
  <c r="E24" i="1"/>
  <c r="E19" i="1"/>
  <c r="E20" i="1"/>
  <c r="E21" i="1"/>
  <c r="E13" i="1"/>
  <c r="V80" i="13"/>
  <c r="W80" i="13"/>
  <c r="R80" i="13"/>
  <c r="S80" i="13"/>
  <c r="V79" i="13"/>
  <c r="W79" i="13"/>
  <c r="R79" i="13"/>
  <c r="S79" i="13"/>
  <c r="V78" i="13"/>
  <c r="W78" i="13"/>
  <c r="R78" i="13"/>
  <c r="S78" i="13"/>
  <c r="V77" i="13"/>
  <c r="W77" i="13"/>
  <c r="R77" i="13"/>
  <c r="S77" i="13"/>
  <c r="V76" i="13"/>
  <c r="W76" i="13"/>
  <c r="R76" i="13"/>
  <c r="S76" i="13"/>
  <c r="V75" i="13"/>
  <c r="W75" i="13"/>
  <c r="R75" i="13"/>
  <c r="S75" i="13"/>
  <c r="V74" i="13"/>
  <c r="W74" i="13"/>
  <c r="R74" i="13"/>
  <c r="S74" i="13"/>
  <c r="V73" i="13"/>
  <c r="W73" i="13"/>
  <c r="R73" i="13"/>
  <c r="S73" i="13"/>
  <c r="V72" i="13"/>
  <c r="W72" i="13"/>
  <c r="R72" i="13"/>
  <c r="S72" i="13"/>
  <c r="V71" i="13"/>
  <c r="W71" i="13"/>
  <c r="R71" i="13"/>
  <c r="S71" i="13"/>
  <c r="V70" i="13"/>
  <c r="W70" i="13"/>
  <c r="R70" i="13"/>
  <c r="S70" i="13"/>
  <c r="V69" i="13"/>
  <c r="W69" i="13"/>
  <c r="R69" i="13"/>
  <c r="S69" i="13"/>
  <c r="V68" i="13"/>
  <c r="W68" i="13"/>
  <c r="R68" i="13"/>
  <c r="S68" i="13"/>
  <c r="V67" i="13"/>
  <c r="W67" i="13"/>
  <c r="R67" i="13"/>
  <c r="S67" i="13"/>
  <c r="V66" i="13"/>
  <c r="W66" i="13"/>
  <c r="R66" i="13"/>
  <c r="S66" i="13"/>
  <c r="V65" i="13"/>
  <c r="W65" i="13"/>
  <c r="R65" i="13"/>
  <c r="S65" i="13"/>
  <c r="V64" i="13"/>
  <c r="W64" i="13"/>
  <c r="R64" i="13"/>
  <c r="S64" i="13"/>
  <c r="V63" i="13"/>
  <c r="W63" i="13"/>
  <c r="R63" i="13"/>
  <c r="S63" i="13"/>
  <c r="V62" i="13"/>
  <c r="W62" i="13"/>
  <c r="R62" i="13"/>
  <c r="S62" i="13"/>
  <c r="V61" i="13"/>
  <c r="W61" i="13"/>
  <c r="R61" i="13"/>
  <c r="S61" i="13"/>
  <c r="V60" i="13"/>
  <c r="W60" i="13"/>
  <c r="R60" i="13"/>
  <c r="S60" i="13"/>
  <c r="V59" i="13"/>
  <c r="W59" i="13"/>
  <c r="R59" i="13"/>
  <c r="S59" i="13"/>
  <c r="V58" i="13"/>
  <c r="W58" i="13"/>
  <c r="R58" i="13"/>
  <c r="S58" i="13"/>
  <c r="V57" i="13"/>
  <c r="W57" i="13"/>
  <c r="R57" i="13"/>
  <c r="S57" i="13"/>
  <c r="V56" i="13"/>
  <c r="W56" i="13"/>
  <c r="R56" i="13"/>
  <c r="S56" i="13"/>
  <c r="V55" i="13"/>
  <c r="W55" i="13"/>
  <c r="R55" i="13"/>
  <c r="S55" i="13"/>
  <c r="L80" i="13"/>
  <c r="M80" i="13"/>
  <c r="L79" i="13"/>
  <c r="M79" i="13"/>
  <c r="L78" i="13"/>
  <c r="M78" i="13"/>
  <c r="L77" i="13"/>
  <c r="M77" i="13"/>
  <c r="L76" i="13"/>
  <c r="M76" i="13"/>
  <c r="L75" i="13"/>
  <c r="M75" i="13"/>
  <c r="L74" i="13"/>
  <c r="M74" i="13"/>
  <c r="L73" i="13"/>
  <c r="M73" i="13"/>
  <c r="L72" i="13"/>
  <c r="M72" i="13"/>
  <c r="L71" i="13"/>
  <c r="M71" i="13"/>
  <c r="L70" i="13"/>
  <c r="M70" i="13"/>
  <c r="L69" i="13"/>
  <c r="M69" i="13"/>
  <c r="L68" i="13"/>
  <c r="M68" i="13"/>
  <c r="L67" i="13"/>
  <c r="M67" i="13"/>
  <c r="L66" i="13"/>
  <c r="M66" i="13"/>
  <c r="L65" i="13"/>
  <c r="M65" i="13"/>
  <c r="L64" i="13"/>
  <c r="M64" i="13"/>
  <c r="L63" i="13"/>
  <c r="M63" i="13"/>
  <c r="L62" i="13"/>
  <c r="M62" i="13"/>
  <c r="L61" i="13"/>
  <c r="M61" i="13"/>
  <c r="L60" i="13"/>
  <c r="M60" i="13"/>
  <c r="L59" i="13"/>
  <c r="M59" i="13"/>
  <c r="L58" i="13"/>
  <c r="M58" i="13"/>
  <c r="L57" i="13"/>
  <c r="M57" i="13"/>
  <c r="L56" i="13"/>
  <c r="M56" i="13"/>
  <c r="L55" i="13"/>
  <c r="M55" i="13"/>
  <c r="H56" i="13"/>
  <c r="I56" i="13"/>
  <c r="H57" i="13"/>
  <c r="H58" i="13"/>
  <c r="I58" i="13"/>
  <c r="H59" i="13"/>
  <c r="I59" i="13"/>
  <c r="H60" i="13"/>
  <c r="I60" i="13"/>
  <c r="H61" i="13"/>
  <c r="I61" i="13"/>
  <c r="H62" i="13"/>
  <c r="I62" i="13"/>
  <c r="H63" i="13"/>
  <c r="I63" i="13"/>
  <c r="H64" i="13"/>
  <c r="I64" i="13"/>
  <c r="H65" i="13"/>
  <c r="I65" i="13"/>
  <c r="H66" i="13"/>
  <c r="I66" i="13"/>
  <c r="H67" i="13"/>
  <c r="I67" i="13"/>
  <c r="H68" i="13"/>
  <c r="I68" i="13"/>
  <c r="H69" i="13"/>
  <c r="I69" i="13"/>
  <c r="H70" i="13"/>
  <c r="I70" i="13"/>
  <c r="H71" i="13"/>
  <c r="I71" i="13"/>
  <c r="H72" i="13"/>
  <c r="I72" i="13"/>
  <c r="H73" i="13"/>
  <c r="I73" i="13"/>
  <c r="H74" i="13"/>
  <c r="I74" i="13"/>
  <c r="H75" i="13"/>
  <c r="I75" i="13"/>
  <c r="H76" i="13"/>
  <c r="I76" i="13"/>
  <c r="H77" i="13"/>
  <c r="I77" i="13"/>
  <c r="H78" i="13"/>
  <c r="I78" i="13"/>
  <c r="H79" i="13"/>
  <c r="I79" i="13"/>
  <c r="H80" i="13"/>
  <c r="I80" i="13"/>
  <c r="I57" i="13"/>
  <c r="H55" i="13"/>
  <c r="I55" i="13"/>
  <c r="V51" i="13"/>
  <c r="L51" i="13"/>
  <c r="H51" i="13"/>
  <c r="L12" i="13"/>
  <c r="L13" i="13"/>
  <c r="L14" i="13"/>
  <c r="L15" i="13"/>
  <c r="L16" i="13"/>
  <c r="L17" i="13"/>
  <c r="L18" i="13"/>
  <c r="L19" i="13"/>
  <c r="L20" i="13"/>
  <c r="L21" i="13"/>
  <c r="L22" i="13"/>
  <c r="L23" i="13"/>
  <c r="L24" i="13"/>
  <c r="L25" i="13"/>
  <c r="L26" i="13"/>
  <c r="L27" i="13"/>
  <c r="L28" i="13"/>
  <c r="L29" i="13"/>
  <c r="L30" i="13"/>
  <c r="L31" i="13"/>
  <c r="L32" i="13"/>
  <c r="L11" i="13"/>
  <c r="H13" i="13"/>
  <c r="H14" i="13"/>
  <c r="H15" i="13"/>
  <c r="H16" i="13"/>
  <c r="H17" i="13"/>
  <c r="H18" i="13"/>
  <c r="H19" i="13"/>
  <c r="H20" i="13"/>
  <c r="H21" i="13"/>
  <c r="H22" i="13"/>
  <c r="H23" i="13"/>
  <c r="H24" i="13"/>
  <c r="H25" i="13"/>
  <c r="H26" i="13"/>
  <c r="H27" i="13"/>
  <c r="H28" i="13"/>
  <c r="H29" i="13"/>
  <c r="H30" i="13"/>
  <c r="H31" i="13"/>
  <c r="H32" i="13"/>
  <c r="H12" i="13"/>
  <c r="M11" i="13"/>
  <c r="M13" i="13"/>
  <c r="M15" i="13"/>
  <c r="M16" i="13"/>
  <c r="M17" i="13"/>
  <c r="M18" i="13"/>
  <c r="M19" i="13"/>
  <c r="M20" i="13"/>
  <c r="M22" i="13"/>
  <c r="M23" i="13"/>
  <c r="M24" i="13"/>
  <c r="M25" i="13"/>
  <c r="M26" i="13"/>
  <c r="M27" i="13"/>
  <c r="M29" i="13"/>
  <c r="M30" i="13"/>
  <c r="M31" i="13"/>
  <c r="M32" i="13"/>
  <c r="M12" i="13"/>
  <c r="E6" i="13"/>
  <c r="I13" i="13"/>
  <c r="I14" i="13"/>
  <c r="I15" i="13"/>
  <c r="I16" i="13"/>
  <c r="I17" i="13"/>
  <c r="I18" i="13"/>
  <c r="I19" i="13"/>
  <c r="I20" i="13"/>
  <c r="I21" i="13"/>
  <c r="I22" i="13"/>
  <c r="I23" i="13"/>
  <c r="I24" i="13"/>
  <c r="I25" i="13"/>
  <c r="I26" i="13"/>
  <c r="I27" i="13"/>
  <c r="I28" i="13"/>
  <c r="I29" i="13"/>
  <c r="I30" i="13"/>
  <c r="I31" i="13"/>
  <c r="I32" i="13"/>
  <c r="I12" i="13"/>
  <c r="H7" i="13"/>
  <c r="AB81" i="1"/>
  <c r="AB80" i="1"/>
  <c r="W80" i="1"/>
  <c r="W79" i="1"/>
  <c r="AB78" i="1"/>
  <c r="W77" i="1"/>
  <c r="AB79" i="1"/>
  <c r="AB77" i="1"/>
  <c r="AB76" i="1"/>
  <c r="AB75" i="1"/>
  <c r="W75" i="1"/>
  <c r="W76" i="1"/>
  <c r="W78" i="1"/>
  <c r="W74" i="1"/>
  <c r="AB68" i="1"/>
  <c r="AB69" i="1"/>
  <c r="AB67" i="1"/>
  <c r="BI35" i="12"/>
  <c r="AW24" i="12"/>
  <c r="AX24" i="12"/>
  <c r="AW25" i="12"/>
  <c r="AX25" i="12"/>
  <c r="AW26" i="12"/>
  <c r="AX26" i="12"/>
  <c r="AW27" i="12"/>
  <c r="AX27" i="12"/>
  <c r="AW28" i="12"/>
  <c r="AX28" i="12"/>
  <c r="AW29" i="12"/>
  <c r="AX29" i="12"/>
  <c r="P21" i="12"/>
  <c r="P20" i="12"/>
  <c r="P19" i="12"/>
  <c r="P11" i="12"/>
  <c r="P10" i="12"/>
  <c r="P9" i="12"/>
  <c r="P8" i="12"/>
  <c r="R22" i="12"/>
  <c r="Q12" i="12"/>
  <c r="R12" i="12"/>
  <c r="Q22" i="12"/>
  <c r="BV66" i="12"/>
  <c r="BU66" i="12"/>
  <c r="BV35" i="12"/>
  <c r="BU35" i="12"/>
  <c r="DP39" i="12"/>
  <c r="DP38" i="12"/>
  <c r="DP37" i="12"/>
  <c r="DP36" i="12"/>
  <c r="DP35" i="12"/>
  <c r="DP34" i="12"/>
  <c r="DP33" i="12"/>
  <c r="DP32" i="12"/>
  <c r="DP31" i="12"/>
  <c r="DP30" i="12"/>
  <c r="DP29" i="12"/>
  <c r="DP28" i="12"/>
  <c r="DP27" i="12"/>
  <c r="DP26" i="12"/>
  <c r="DP25" i="12"/>
  <c r="DP24" i="12"/>
  <c r="DP23" i="12"/>
  <c r="DP22" i="12"/>
  <c r="DP21" i="12"/>
  <c r="DP20" i="12"/>
  <c r="DP19" i="12"/>
  <c r="DP18" i="12"/>
  <c r="DP17" i="12"/>
  <c r="DP16" i="12"/>
  <c r="DP15" i="12"/>
  <c r="DP14" i="12"/>
  <c r="DP13" i="12"/>
  <c r="DP12" i="12"/>
  <c r="DP11" i="12"/>
  <c r="DP10" i="12"/>
  <c r="DP9" i="12"/>
  <c r="AX23" i="12"/>
  <c r="AW23" i="12"/>
  <c r="AX22" i="12"/>
  <c r="AW22" i="12"/>
  <c r="AX21" i="12"/>
  <c r="AW21" i="12"/>
  <c r="AX20" i="12"/>
  <c r="AW20" i="12"/>
  <c r="AX19" i="12"/>
  <c r="AW19" i="12"/>
  <c r="AX18" i="12"/>
  <c r="AW18" i="12"/>
  <c r="AX17" i="12"/>
  <c r="AW17" i="12"/>
  <c r="AX16" i="12"/>
  <c r="AW16" i="12"/>
  <c r="AX15" i="12"/>
  <c r="AW15" i="12"/>
  <c r="AX14" i="12"/>
  <c r="AW14" i="12"/>
  <c r="AX13" i="12"/>
  <c r="AW13" i="12"/>
  <c r="AX12" i="12"/>
  <c r="AW12" i="12"/>
  <c r="AX11" i="12"/>
  <c r="AW11" i="12"/>
  <c r="AX10" i="12"/>
  <c r="AW10" i="12"/>
  <c r="AX9" i="12"/>
  <c r="AW9" i="12"/>
  <c r="AX8" i="12"/>
  <c r="J41" i="12"/>
  <c r="J10" i="12"/>
  <c r="H10" i="12"/>
  <c r="H9" i="12"/>
  <c r="C28" i="10"/>
  <c r="C17" i="10"/>
  <c r="C6" i="10"/>
  <c r="H54" i="4"/>
  <c r="G54" i="4"/>
  <c r="F54" i="4"/>
  <c r="E54" i="4"/>
  <c r="H47" i="4"/>
  <c r="G47" i="4"/>
  <c r="F47" i="4"/>
  <c r="E47" i="4"/>
  <c r="K45" i="4"/>
  <c r="D28" i="4"/>
  <c r="F21" i="4"/>
  <c r="E21" i="4"/>
  <c r="D21" i="4"/>
  <c r="D20" i="4"/>
  <c r="D18" i="4"/>
  <c r="D17" i="4"/>
  <c r="D16" i="4"/>
  <c r="E15" i="4"/>
  <c r="E14" i="4"/>
  <c r="AA8" i="4"/>
  <c r="T6" i="4"/>
  <c r="AY66" i="2"/>
  <c r="AX66" i="2"/>
  <c r="AU66" i="2"/>
  <c r="AT66" i="2"/>
  <c r="AS66" i="2"/>
  <c r="AR66" i="2"/>
  <c r="AY65" i="2"/>
  <c r="AX65" i="2"/>
  <c r="AU65" i="2"/>
  <c r="AT65" i="2"/>
  <c r="AS65" i="2"/>
  <c r="AR65" i="2"/>
  <c r="AY64" i="2"/>
  <c r="AX64" i="2"/>
  <c r="AU64" i="2"/>
  <c r="AT64" i="2"/>
  <c r="AS64" i="2"/>
  <c r="AR64" i="2"/>
  <c r="AY63" i="2"/>
  <c r="AX63" i="2"/>
  <c r="AU63" i="2"/>
  <c r="AT63" i="2"/>
  <c r="AS63" i="2"/>
  <c r="AR63" i="2"/>
  <c r="AY62" i="2"/>
  <c r="AX62" i="2"/>
  <c r="AU62" i="2"/>
  <c r="AT62" i="2"/>
  <c r="AS62" i="2"/>
  <c r="AR62" i="2"/>
  <c r="AY61" i="2"/>
  <c r="AX61" i="2"/>
  <c r="AU61" i="2"/>
  <c r="AT61" i="2"/>
  <c r="AS61" i="2"/>
  <c r="AR61" i="2"/>
  <c r="AY60" i="2"/>
  <c r="AX60" i="2"/>
  <c r="AU60" i="2"/>
  <c r="AT60" i="2"/>
  <c r="AS60" i="2"/>
  <c r="AR60" i="2"/>
  <c r="AY59" i="2"/>
  <c r="AX59" i="2"/>
  <c r="AU59" i="2"/>
  <c r="AT59" i="2"/>
  <c r="AS59" i="2"/>
  <c r="AR59" i="2"/>
  <c r="AY58" i="2"/>
  <c r="AX58" i="2"/>
  <c r="AU58" i="2"/>
  <c r="AT58" i="2"/>
  <c r="AS58" i="2"/>
  <c r="AR58" i="2"/>
  <c r="AY57" i="2"/>
  <c r="AX57" i="2"/>
  <c r="AU57" i="2"/>
  <c r="AT57" i="2"/>
  <c r="AS57" i="2"/>
  <c r="AR57" i="2"/>
  <c r="AY56" i="2"/>
  <c r="AX56" i="2"/>
  <c r="AU56" i="2"/>
  <c r="AT56" i="2"/>
  <c r="AS56" i="2"/>
  <c r="AR56" i="2"/>
  <c r="AY55" i="2"/>
  <c r="AX55" i="2"/>
  <c r="AU55" i="2"/>
  <c r="AT55" i="2"/>
  <c r="AS55" i="2"/>
  <c r="AR55" i="2"/>
  <c r="AY54" i="2"/>
  <c r="AX54" i="2"/>
  <c r="AU54" i="2"/>
  <c r="AT54" i="2"/>
  <c r="AS54" i="2"/>
  <c r="AR54" i="2"/>
  <c r="AY53" i="2"/>
  <c r="AX53" i="2"/>
  <c r="AU53" i="2"/>
  <c r="AT53" i="2"/>
  <c r="AS53" i="2"/>
  <c r="AR53" i="2"/>
  <c r="AY52" i="2"/>
  <c r="AX52" i="2"/>
  <c r="AU52" i="2"/>
  <c r="AT52" i="2"/>
  <c r="AS52" i="2"/>
  <c r="AR52" i="2"/>
  <c r="AY51" i="2"/>
  <c r="AX51" i="2"/>
  <c r="AU51" i="2"/>
  <c r="AT51" i="2"/>
  <c r="AS51" i="2"/>
  <c r="AR51" i="2"/>
  <c r="AY50" i="2"/>
  <c r="AX50" i="2"/>
  <c r="AU50" i="2"/>
  <c r="AT50" i="2"/>
  <c r="AS50" i="2"/>
  <c r="AR50" i="2"/>
  <c r="AY49" i="2"/>
  <c r="AX49" i="2"/>
  <c r="AU49" i="2"/>
  <c r="AT49" i="2"/>
  <c r="AS49" i="2"/>
  <c r="AR49" i="2"/>
  <c r="AY48" i="2"/>
  <c r="AX48" i="2"/>
  <c r="AU48" i="2"/>
  <c r="AT48" i="2"/>
  <c r="AS48" i="2"/>
  <c r="AR48" i="2"/>
  <c r="AY47" i="2"/>
  <c r="AX47" i="2"/>
  <c r="AU47" i="2"/>
  <c r="AT47" i="2"/>
  <c r="AS47" i="2"/>
  <c r="AR47" i="2"/>
  <c r="AY46" i="2"/>
  <c r="AX46" i="2"/>
  <c r="AU46" i="2"/>
  <c r="AT46" i="2"/>
  <c r="AS46" i="2"/>
  <c r="AR46" i="2"/>
  <c r="AY45" i="2"/>
  <c r="AX45" i="2"/>
  <c r="AU45" i="2"/>
  <c r="AT45" i="2"/>
  <c r="AS45" i="2"/>
  <c r="AR45" i="2"/>
  <c r="AY44" i="2"/>
  <c r="AX44" i="2"/>
  <c r="AU44" i="2"/>
  <c r="AT44" i="2"/>
  <c r="AS44" i="2"/>
  <c r="AR44" i="2"/>
  <c r="AY43" i="2"/>
  <c r="AX43" i="2"/>
  <c r="AU43" i="2"/>
  <c r="AT43" i="2"/>
  <c r="AS43" i="2"/>
  <c r="AR43" i="2"/>
  <c r="AY42" i="2"/>
  <c r="AX42" i="2"/>
  <c r="AU42" i="2"/>
  <c r="AT42" i="2"/>
  <c r="AS42" i="2"/>
  <c r="AR42" i="2"/>
  <c r="AY41" i="2"/>
  <c r="AX41" i="2"/>
  <c r="AU41" i="2"/>
  <c r="AT41" i="2"/>
  <c r="AS41" i="2"/>
  <c r="AR41" i="2"/>
  <c r="M41" i="2"/>
  <c r="S11" i="1"/>
  <c r="AY40" i="2"/>
  <c r="AX40" i="2"/>
  <c r="AU40" i="2"/>
  <c r="AT40" i="2"/>
  <c r="AS40" i="2"/>
  <c r="AR40" i="2"/>
  <c r="AY39" i="2"/>
  <c r="AX39" i="2"/>
  <c r="AU39" i="2"/>
  <c r="AT39" i="2"/>
  <c r="AS39" i="2"/>
  <c r="AR39" i="2"/>
  <c r="M39" i="2"/>
  <c r="AY38" i="2"/>
  <c r="AX38" i="2"/>
  <c r="AU38" i="2"/>
  <c r="AT38" i="2"/>
  <c r="AS38" i="2"/>
  <c r="AR38" i="2"/>
  <c r="M38" i="2"/>
  <c r="AY37" i="2"/>
  <c r="AX37" i="2"/>
  <c r="AU37" i="2"/>
  <c r="AT37" i="2"/>
  <c r="AS37" i="2"/>
  <c r="AR37" i="2"/>
  <c r="M37" i="2"/>
  <c r="AY36" i="2"/>
  <c r="AX36" i="2"/>
  <c r="AU36" i="2"/>
  <c r="AT36" i="2"/>
  <c r="AS36" i="2"/>
  <c r="AR36" i="2"/>
  <c r="M36" i="2"/>
  <c r="AY35" i="2"/>
  <c r="AX35" i="2"/>
  <c r="AU35" i="2"/>
  <c r="AT35" i="2"/>
  <c r="AS35" i="2"/>
  <c r="AR35" i="2"/>
  <c r="M35" i="2"/>
  <c r="AY34" i="2"/>
  <c r="AX34" i="2"/>
  <c r="AU34" i="2"/>
  <c r="AT34" i="2"/>
  <c r="AS34" i="2"/>
  <c r="AR34" i="2"/>
  <c r="M34" i="2"/>
  <c r="AY33" i="2"/>
  <c r="AX33" i="2"/>
  <c r="AU33" i="2"/>
  <c r="AT33" i="2"/>
  <c r="AS33" i="2"/>
  <c r="AR33" i="2"/>
  <c r="M33" i="2"/>
  <c r="AY32" i="2"/>
  <c r="AX32" i="2"/>
  <c r="AU32" i="2"/>
  <c r="AT32" i="2"/>
  <c r="AS32" i="2"/>
  <c r="AR32" i="2"/>
  <c r="M32" i="2"/>
  <c r="AY31" i="2"/>
  <c r="AX31" i="2"/>
  <c r="AU31" i="2"/>
  <c r="AT31" i="2"/>
  <c r="AS31" i="2"/>
  <c r="AR31" i="2"/>
  <c r="M31" i="2"/>
  <c r="AY30" i="2"/>
  <c r="AX30" i="2"/>
  <c r="AU30" i="2"/>
  <c r="AT30" i="2"/>
  <c r="AS30" i="2"/>
  <c r="AR30" i="2"/>
  <c r="M30" i="2"/>
  <c r="AY29" i="2"/>
  <c r="AX29" i="2"/>
  <c r="AU29" i="2"/>
  <c r="AT29" i="2"/>
  <c r="AS29" i="2"/>
  <c r="AR29" i="2"/>
  <c r="M29" i="2"/>
  <c r="AY28" i="2"/>
  <c r="AX28" i="2"/>
  <c r="AU28" i="2"/>
  <c r="AT28" i="2"/>
  <c r="AS28" i="2"/>
  <c r="AR28" i="2"/>
  <c r="M28" i="2"/>
  <c r="AY27" i="2"/>
  <c r="AX27" i="2"/>
  <c r="AU27" i="2"/>
  <c r="AT27" i="2"/>
  <c r="AS27" i="2"/>
  <c r="AR27" i="2"/>
  <c r="M27" i="2"/>
  <c r="AY26" i="2"/>
  <c r="AX26" i="2"/>
  <c r="AU26" i="2"/>
  <c r="AT26" i="2"/>
  <c r="AS26" i="2"/>
  <c r="AR26" i="2"/>
  <c r="M26" i="2"/>
  <c r="AY25" i="2"/>
  <c r="AX25" i="2"/>
  <c r="AU25" i="2"/>
  <c r="AT25" i="2"/>
  <c r="AS25" i="2"/>
  <c r="AR25" i="2"/>
  <c r="M25" i="2"/>
  <c r="AY24" i="2"/>
  <c r="AX24" i="2"/>
  <c r="AU24" i="2"/>
  <c r="AT24" i="2"/>
  <c r="AS24" i="2"/>
  <c r="AR24" i="2"/>
  <c r="AD24" i="2"/>
  <c r="M24" i="2"/>
  <c r="AY23" i="2"/>
  <c r="AX23" i="2"/>
  <c r="AU23" i="2"/>
  <c r="AT23" i="2"/>
  <c r="AS23" i="2"/>
  <c r="AR23" i="2"/>
  <c r="M23" i="2"/>
  <c r="AY22" i="2"/>
  <c r="AX22" i="2"/>
  <c r="AU22" i="2"/>
  <c r="AT22" i="2"/>
  <c r="AS22" i="2"/>
  <c r="AR22" i="2"/>
  <c r="M22" i="2"/>
  <c r="AY21" i="2"/>
  <c r="AX21" i="2"/>
  <c r="AU21" i="2"/>
  <c r="AT21" i="2"/>
  <c r="AS21" i="2"/>
  <c r="AR21" i="2"/>
  <c r="M21" i="2"/>
  <c r="AY20" i="2"/>
  <c r="AX20" i="2"/>
  <c r="AU20" i="2"/>
  <c r="AT20" i="2"/>
  <c r="AS20" i="2"/>
  <c r="AR20" i="2"/>
  <c r="M20" i="2"/>
  <c r="AY19" i="2"/>
  <c r="AX19" i="2"/>
  <c r="AU19" i="2"/>
  <c r="AT19" i="2"/>
  <c r="AS19" i="2"/>
  <c r="AR19" i="2"/>
  <c r="M19" i="2"/>
  <c r="AY18" i="2"/>
  <c r="AX18" i="2"/>
  <c r="AU18" i="2"/>
  <c r="AT18" i="2"/>
  <c r="AS18" i="2"/>
  <c r="AR18" i="2"/>
  <c r="AM18" i="2"/>
  <c r="AK18" i="2"/>
  <c r="M18" i="2"/>
  <c r="AX17" i="2"/>
  <c r="AY17" i="2"/>
  <c r="AT17" i="2"/>
  <c r="AU17" i="2"/>
  <c r="AR17" i="2"/>
  <c r="AS17" i="2"/>
  <c r="AM17" i="2"/>
  <c r="AK17" i="2"/>
  <c r="M17" i="2"/>
  <c r="AY16" i="2"/>
  <c r="AX16" i="2"/>
  <c r="AU16" i="2"/>
  <c r="AT16" i="2"/>
  <c r="AS16" i="2"/>
  <c r="AR16" i="2"/>
  <c r="AM16" i="2"/>
  <c r="AK16" i="2"/>
  <c r="M16" i="2"/>
  <c r="AY15" i="2"/>
  <c r="AX15" i="2"/>
  <c r="AU15" i="2"/>
  <c r="AT15" i="2"/>
  <c r="AS15" i="2"/>
  <c r="AR15" i="2"/>
  <c r="AM15" i="2"/>
  <c r="AK15" i="2"/>
  <c r="M15" i="2"/>
  <c r="AY14" i="2"/>
  <c r="AX14" i="2"/>
  <c r="AU14" i="2"/>
  <c r="AT14" i="2"/>
  <c r="AS14" i="2"/>
  <c r="AR14" i="2"/>
  <c r="AM14" i="2"/>
  <c r="AK14" i="2"/>
  <c r="M14" i="2"/>
  <c r="AY13" i="2"/>
  <c r="AX13" i="2"/>
  <c r="AU13" i="2"/>
  <c r="AT13" i="2"/>
  <c r="AS13" i="2"/>
  <c r="AR13" i="2"/>
  <c r="AM13" i="2"/>
  <c r="AK13" i="2"/>
  <c r="M13" i="2"/>
  <c r="AY12" i="2"/>
  <c r="AX12" i="2"/>
  <c r="AU12" i="2"/>
  <c r="AT12" i="2"/>
  <c r="AS12" i="2"/>
  <c r="AR12" i="2"/>
  <c r="M12" i="2"/>
  <c r="AY11" i="2"/>
  <c r="AX11" i="2"/>
  <c r="AU11" i="2"/>
  <c r="AT11" i="2"/>
  <c r="AS11" i="2"/>
  <c r="AR11" i="2"/>
  <c r="M11" i="2"/>
  <c r="AY10" i="2"/>
  <c r="AX10" i="2"/>
  <c r="AU10" i="2"/>
  <c r="AT10" i="2"/>
  <c r="AS10" i="2"/>
  <c r="AR10" i="2"/>
  <c r="M10" i="2"/>
  <c r="AY9" i="2"/>
  <c r="AX9" i="2"/>
  <c r="AU9" i="2"/>
  <c r="AT9" i="2"/>
  <c r="AS9" i="2"/>
  <c r="AR9" i="2"/>
  <c r="M9" i="2"/>
  <c r="AY8" i="2"/>
  <c r="AX8" i="2"/>
  <c r="AU8" i="2"/>
  <c r="AT8" i="2"/>
  <c r="AS8" i="2"/>
  <c r="AR8" i="2"/>
  <c r="M8" i="2"/>
  <c r="AY7" i="2"/>
  <c r="AX7" i="2"/>
  <c r="AU7" i="2"/>
  <c r="AT7" i="2"/>
  <c r="AS7" i="2"/>
  <c r="AR7" i="2"/>
  <c r="M7" i="2"/>
  <c r="AY6" i="2"/>
  <c r="AX6" i="2"/>
  <c r="AU6" i="2"/>
  <c r="AT6" i="2"/>
  <c r="AS6" i="2"/>
  <c r="AR6" i="2"/>
  <c r="M6" i="2"/>
  <c r="M5" i="2"/>
  <c r="D110" i="1"/>
  <c r="D109" i="1"/>
  <c r="D101" i="1"/>
  <c r="G81" i="1"/>
  <c r="AJ59" i="1"/>
  <c r="AU6" i="12"/>
  <c r="AV6" i="12"/>
  <c r="W69" i="1"/>
  <c r="W68" i="1"/>
  <c r="W67" i="1"/>
  <c r="W66" i="1"/>
  <c r="R37" i="1"/>
  <c r="C66" i="1"/>
  <c r="H64" i="1"/>
  <c r="D99" i="1"/>
  <c r="AQ25" i="1"/>
  <c r="V57" i="1"/>
  <c r="G3" i="1"/>
  <c r="BH24" i="1"/>
  <c r="BO16" i="1"/>
  <c r="BL16" i="1"/>
  <c r="BN16" i="1"/>
  <c r="BO15" i="1"/>
  <c r="BL15" i="1"/>
  <c r="BN15" i="1"/>
  <c r="BO14" i="1"/>
  <c r="BL14" i="1"/>
  <c r="BN14" i="1"/>
  <c r="BO13" i="1"/>
  <c r="BL13" i="1"/>
  <c r="BM13" i="1"/>
  <c r="BO12" i="1"/>
  <c r="BL12" i="1"/>
  <c r="BN12" i="1"/>
  <c r="BO11" i="1"/>
  <c r="BL11" i="1"/>
  <c r="BN11" i="1"/>
  <c r="Q11" i="1"/>
  <c r="BO10" i="1"/>
  <c r="BL10" i="1"/>
  <c r="BN10" i="1"/>
  <c r="BO9" i="1"/>
  <c r="BL9" i="1"/>
  <c r="BN9" i="1"/>
  <c r="BO8" i="1"/>
  <c r="BL8" i="1"/>
  <c r="BM8" i="1"/>
  <c r="Y8" i="1"/>
  <c r="BO7" i="1"/>
  <c r="BL7" i="1"/>
  <c r="BN7" i="1"/>
  <c r="BL6" i="1"/>
  <c r="BM6" i="1"/>
  <c r="BP5" i="1"/>
  <c r="BL5" i="1"/>
  <c r="BN5" i="1"/>
  <c r="Q5" i="1"/>
  <c r="BO4" i="1"/>
  <c r="BL4" i="1"/>
  <c r="BN4" i="1"/>
  <c r="H3" i="1"/>
  <c r="BO3" i="1"/>
  <c r="BL3" i="1"/>
  <c r="BM3" i="1"/>
  <c r="J5" i="1"/>
  <c r="R11" i="1"/>
  <c r="AV24" i="12"/>
  <c r="AV25" i="12"/>
  <c r="AV26" i="12"/>
  <c r="AV27" i="12"/>
  <c r="AV28" i="12"/>
  <c r="AV29" i="12"/>
  <c r="AU25" i="12"/>
  <c r="AU24" i="12"/>
  <c r="AU26" i="12"/>
  <c r="AU27" i="12"/>
  <c r="AU28" i="12"/>
  <c r="AU29" i="12"/>
  <c r="D112" i="1"/>
  <c r="D113" i="1"/>
  <c r="BM11" i="1"/>
  <c r="D102" i="1"/>
  <c r="BM12" i="1"/>
  <c r="BN3" i="1"/>
  <c r="DO7" i="12"/>
  <c r="AV16" i="12"/>
  <c r="AV10" i="12"/>
  <c r="AV8" i="12"/>
  <c r="AV23" i="12"/>
  <c r="AV15" i="12"/>
  <c r="AV14" i="12"/>
  <c r="AV20" i="12"/>
  <c r="AV22" i="12"/>
  <c r="AV18" i="12"/>
  <c r="AV17" i="12"/>
  <c r="AV9" i="12"/>
  <c r="AV19" i="12"/>
  <c r="AV12" i="12"/>
  <c r="AV11" i="12"/>
  <c r="AV21" i="12"/>
  <c r="AV13" i="12"/>
  <c r="AU16" i="12"/>
  <c r="AU18" i="12"/>
  <c r="AU9" i="12"/>
  <c r="AU17" i="12"/>
  <c r="AU23" i="12"/>
  <c r="AU15" i="12"/>
  <c r="AU22" i="12"/>
  <c r="AU14" i="12"/>
  <c r="AU11" i="12"/>
  <c r="AU12" i="12"/>
  <c r="AU10" i="12"/>
  <c r="AU21" i="12"/>
  <c r="AU19" i="12"/>
  <c r="AU13" i="12"/>
  <c r="AU20" i="12"/>
  <c r="BM5" i="1"/>
  <c r="BM15" i="1"/>
  <c r="AI48" i="1"/>
  <c r="BN8" i="1"/>
  <c r="BM14" i="1"/>
  <c r="BM9" i="1"/>
  <c r="BM16" i="1"/>
  <c r="BN6" i="1"/>
  <c r="BM7" i="1"/>
  <c r="BN13" i="1"/>
  <c r="BM10" i="1"/>
  <c r="DN7" i="12"/>
  <c r="BM4" i="1"/>
  <c r="V52" i="1"/>
  <c r="BI24" i="1"/>
  <c r="BJ24" i="1"/>
  <c r="Z5" i="1"/>
  <c r="K48" i="1"/>
  <c r="V56" i="1"/>
  <c r="D27" i="4"/>
  <c r="AQ44" i="1"/>
  <c r="AS34" i="1"/>
  <c r="D25" i="4"/>
  <c r="V5" i="1"/>
  <c r="W5" i="1"/>
  <c r="AI96" i="1"/>
  <c r="D24" i="4"/>
  <c r="D26" i="4"/>
  <c r="X5" i="1"/>
  <c r="Y5" i="1"/>
  <c r="S5" i="1"/>
  <c r="AA48" i="1"/>
  <c r="C65" i="1"/>
  <c r="R36" i="1"/>
  <c r="AQ15" i="1"/>
  <c r="D5" i="1"/>
  <c r="W11" i="1"/>
  <c r="D114" i="1"/>
  <c r="AT31" i="12"/>
  <c r="DM40" i="12"/>
  <c r="DP40" i="12"/>
  <c r="AU31" i="12"/>
  <c r="DL40" i="12"/>
  <c r="AI54" i="1"/>
  <c r="AI41" i="1"/>
  <c r="AI49" i="1"/>
  <c r="D7" i="1"/>
  <c r="AK36" i="1"/>
  <c r="AJ37" i="1"/>
  <c r="S39" i="1"/>
  <c r="DO10" i="12"/>
  <c r="DO9" i="12"/>
  <c r="DO19" i="12"/>
  <c r="DO22" i="12"/>
  <c r="DO11" i="12"/>
  <c r="DO17" i="12"/>
  <c r="DO31" i="12"/>
  <c r="DO34" i="12"/>
  <c r="DO21" i="12"/>
  <c r="DO12" i="12"/>
  <c r="DO13" i="12"/>
  <c r="DO37" i="12"/>
  <c r="DO36" i="12"/>
  <c r="DO35" i="12"/>
  <c r="DO20" i="12"/>
  <c r="DO25" i="12"/>
  <c r="DO39" i="12"/>
  <c r="DO14" i="12"/>
  <c r="DN12" i="12"/>
  <c r="DN11" i="12"/>
  <c r="DN37" i="12"/>
  <c r="DN24" i="12"/>
  <c r="DN28" i="12"/>
  <c r="DO32" i="12"/>
  <c r="DO33" i="12"/>
  <c r="DO27" i="12"/>
  <c r="DO23" i="12"/>
  <c r="DO18" i="12"/>
  <c r="DN10" i="12"/>
  <c r="DN20" i="12"/>
  <c r="DN30" i="12"/>
  <c r="DN23" i="12"/>
  <c r="DN13" i="12"/>
  <c r="DN26" i="12"/>
  <c r="DN17" i="12"/>
  <c r="DN18" i="12"/>
  <c r="DO26" i="12"/>
  <c r="DO16" i="12"/>
  <c r="DO38" i="12"/>
  <c r="DO24" i="12"/>
  <c r="DN32" i="12"/>
  <c r="DN31" i="12"/>
  <c r="DN25" i="12"/>
  <c r="DN19" i="12"/>
  <c r="DN36" i="12"/>
  <c r="DN29" i="12"/>
  <c r="DN39" i="12"/>
  <c r="DN38" i="12"/>
  <c r="DN22" i="12"/>
  <c r="DO30" i="12"/>
  <c r="DO28" i="12"/>
  <c r="DO29" i="12"/>
  <c r="DO15" i="12"/>
  <c r="DN21" i="12"/>
  <c r="DN35" i="12"/>
  <c r="DN9" i="12"/>
  <c r="DN27" i="12"/>
  <c r="DN34" i="12"/>
  <c r="DN33" i="12"/>
  <c r="DN16" i="12"/>
  <c r="DN15" i="12"/>
  <c r="DN14" i="12"/>
  <c r="U11" i="1"/>
  <c r="V54" i="1"/>
  <c r="T11" i="1"/>
  <c r="V53" i="1"/>
  <c r="AQ9" i="1"/>
  <c r="AQ8" i="1"/>
  <c r="Z11" i="1"/>
  <c r="DO40" i="12"/>
  <c r="DN40" i="12"/>
  <c r="L5" i="1"/>
  <c r="AB11" i="1"/>
  <c r="AI79" i="1"/>
  <c r="AI81" i="1"/>
  <c r="AI83" i="1"/>
  <c r="AA94" i="1"/>
  <c r="I56" i="1"/>
  <c r="I59" i="1"/>
  <c r="L6" i="1"/>
  <c r="AC11" i="1"/>
  <c r="I54" i="1"/>
  <c r="L4" i="1"/>
  <c r="AA11" i="1"/>
  <c r="AJ36" i="1"/>
  <c r="F66" i="1"/>
  <c r="AI34" i="1"/>
  <c r="AI36" i="1"/>
  <c r="I55" i="1"/>
  <c r="H66" i="1"/>
  <c r="D66" i="1"/>
  <c r="G66" i="1"/>
  <c r="J66" i="1"/>
  <c r="I66" i="1"/>
  <c r="J8" i="1"/>
  <c r="E66" i="1"/>
  <c r="AI5" i="1"/>
  <c r="AC53" i="1"/>
  <c r="S38" i="1"/>
  <c r="L2" i="1"/>
  <c r="F50" i="1"/>
  <c r="D50" i="1"/>
  <c r="H50" i="1"/>
  <c r="F51" i="1"/>
  <c r="D51" i="1"/>
  <c r="H51" i="1"/>
  <c r="F56" i="1"/>
  <c r="F49" i="1"/>
  <c r="F55" i="1"/>
  <c r="F54" i="1"/>
  <c r="F59" i="1"/>
  <c r="F58" i="1"/>
  <c r="S45" i="1"/>
  <c r="S44" i="1"/>
  <c r="Y11" i="1"/>
  <c r="S41" i="1"/>
  <c r="S43" i="1"/>
  <c r="H8" i="1"/>
  <c r="X11" i="1"/>
  <c r="F53" i="1"/>
  <c r="D8" i="1"/>
  <c r="D9" i="1"/>
  <c r="D49" i="1"/>
  <c r="D48" i="1"/>
  <c r="F48" i="1"/>
  <c r="S42" i="1"/>
  <c r="S40" i="1"/>
  <c r="D46" i="1"/>
  <c r="M21" i="13"/>
  <c r="M28" i="13"/>
  <c r="M14" i="13"/>
  <c r="L7" i="13"/>
</calcChain>
</file>

<file path=xl/comments1.xml><?xml version="1.0" encoding="utf-8"?>
<comments xmlns="http://schemas.openxmlformats.org/spreadsheetml/2006/main">
  <authors>
    <author>Bijan</author>
  </authors>
  <commentList>
    <comment ref="AQ36" authorId="0" shapeId="0">
      <text>
        <r>
          <rPr>
            <b/>
            <sz val="9"/>
            <color indexed="81"/>
            <rFont val="Tahoma"/>
            <family val="2"/>
          </rPr>
          <t>Bijan:</t>
        </r>
        <r>
          <rPr>
            <sz val="9"/>
            <color indexed="81"/>
            <rFont val="Tahoma"/>
            <family val="2"/>
          </rPr>
          <t xml:space="preserve">
The data on which this formula was based, was in terms of converted photon flux at the pixel. Therefore the input to this should be the same, i.e. flux * QE.</t>
        </r>
      </text>
    </comment>
  </commentList>
</comments>
</file>

<file path=xl/comments2.xml><?xml version="1.0" encoding="utf-8"?>
<comments xmlns="http://schemas.openxmlformats.org/spreadsheetml/2006/main">
  <authors>
    <author>Tang, Hong (383A)</author>
  </authors>
  <commentList>
    <comment ref="F8" authorId="0" shapeId="0">
      <text>
        <r>
          <rPr>
            <b/>
            <sz val="9"/>
            <color indexed="81"/>
            <rFont val="Tahoma"/>
            <family val="2"/>
          </rPr>
          <t>Tang, Hong (383A):</t>
        </r>
        <r>
          <rPr>
            <sz val="9"/>
            <color indexed="81"/>
            <rFont val="Tahoma"/>
            <family val="2"/>
          </rPr>
          <t xml:space="preserve">
R=0.91 for 550-600 nm
R=0.87 at 800 nm (trough)</t>
        </r>
      </text>
    </comment>
    <comment ref="H9" authorId="0" shapeId="0">
      <text>
        <r>
          <rPr>
            <b/>
            <sz val="9"/>
            <color indexed="81"/>
            <rFont val="Tahoma"/>
            <family val="2"/>
          </rPr>
          <t>Tang, Hong (383A):</t>
        </r>
        <r>
          <rPr>
            <sz val="9"/>
            <color indexed="81"/>
            <rFont val="Tahoma"/>
            <family val="2"/>
          </rPr>
          <t xml:space="preserve">
Two surfaces, T=99.5% is achievable for 400-1000nm.</t>
        </r>
      </text>
    </comment>
    <comment ref="I9" authorId="0" shapeId="0">
      <text>
        <r>
          <rPr>
            <b/>
            <sz val="9"/>
            <color indexed="81"/>
            <rFont val="Tahoma"/>
            <family val="2"/>
          </rPr>
          <t>Tang, Hong (383A):</t>
        </r>
        <r>
          <rPr>
            <sz val="9"/>
            <color indexed="81"/>
            <rFont val="Tahoma"/>
            <family val="2"/>
          </rPr>
          <t xml:space="preserve">
J. Trauger had 10% filter scans that showed T&gt;0.9 in band and T&lt;1e-7 out band.</t>
        </r>
      </text>
    </comment>
    <comment ref="K37" authorId="0" shapeId="0">
      <text>
        <r>
          <rPr>
            <b/>
            <sz val="9"/>
            <color indexed="81"/>
            <rFont val="Tahoma"/>
            <family val="2"/>
          </rPr>
          <t>Tang, Hong (383A):</t>
        </r>
        <r>
          <rPr>
            <sz val="9"/>
            <color indexed="81"/>
            <rFont val="Tahoma"/>
            <family val="2"/>
          </rPr>
          <t xml:space="preserve">
Bow-tie is on a glass substrate, 2/26/16.</t>
        </r>
      </text>
    </comment>
    <comment ref="P37" authorId="0" shapeId="0">
      <text>
        <r>
          <rPr>
            <b/>
            <sz val="9"/>
            <color indexed="81"/>
            <rFont val="Tahoma"/>
            <family val="2"/>
          </rPr>
          <t>Tang, Hong (383A):</t>
        </r>
        <r>
          <rPr>
            <sz val="9"/>
            <color indexed="81"/>
            <rFont val="Tahoma"/>
            <family val="2"/>
          </rPr>
          <t xml:space="preserve">
TBD, 0.5 is quick estimate by E. Cady.</t>
        </r>
      </text>
    </comment>
    <comment ref="L40" authorId="0" shapeId="0">
      <text>
        <r>
          <rPr>
            <b/>
            <sz val="9"/>
            <color indexed="81"/>
            <rFont val="Tahoma"/>
            <family val="2"/>
          </rPr>
          <t>Tang, Hong (383A):</t>
        </r>
        <r>
          <rPr>
            <sz val="9"/>
            <color indexed="81"/>
            <rFont val="Tahoma"/>
            <family val="2"/>
          </rPr>
          <t xml:space="preserve">
SPxLyot=0.26
SP desgin w/o Lyot, 0.27</t>
        </r>
      </text>
    </comment>
    <comment ref="K46" authorId="0" shapeId="0">
      <text>
        <r>
          <rPr>
            <b/>
            <sz val="9"/>
            <color indexed="81"/>
            <rFont val="Tahoma"/>
            <family val="2"/>
          </rPr>
          <t>Tang, Hong (383A):</t>
        </r>
        <r>
          <rPr>
            <sz val="9"/>
            <color indexed="81"/>
            <rFont val="Tahoma"/>
            <family val="2"/>
          </rPr>
          <t xml:space="preserve">
1.0 for IFS, 0.47 for Img</t>
        </r>
      </text>
    </comment>
  </commentList>
</comments>
</file>

<file path=xl/sharedStrings.xml><?xml version="1.0" encoding="utf-8"?>
<sst xmlns="http://schemas.openxmlformats.org/spreadsheetml/2006/main" count="1574" uniqueCount="898">
  <si>
    <t>Boltzmann constant</t>
  </si>
  <si>
    <t>J/K</t>
  </si>
  <si>
    <t>k</t>
  </si>
  <si>
    <t>ph/s/m2</t>
  </si>
  <si>
    <t>Star Flux</t>
  </si>
  <si>
    <t>electron charge</t>
  </si>
  <si>
    <t>C</t>
  </si>
  <si>
    <t>q</t>
  </si>
  <si>
    <t>sec</t>
  </si>
  <si>
    <t>speed of light</t>
  </si>
  <si>
    <t>m/s</t>
  </si>
  <si>
    <t>c</t>
  </si>
  <si>
    <t>AU</t>
  </si>
  <si>
    <t>Planet SMA</t>
  </si>
  <si>
    <t>Planck constant</t>
  </si>
  <si>
    <t>J-s</t>
  </si>
  <si>
    <t>h</t>
  </si>
  <si>
    <t>mas</t>
  </si>
  <si>
    <t>Physical Constants</t>
  </si>
  <si>
    <t>mag</t>
  </si>
  <si>
    <t>V</t>
  </si>
  <si>
    <t>ppb</t>
  </si>
  <si>
    <t>E(mag)</t>
  </si>
  <si>
    <t>lambda</t>
  </si>
  <si>
    <t>E0 = 10^a    and    E(mag) = 10^(a - 0.4*mag) in W/m2/um</t>
  </si>
  <si>
    <t>bandwidth</t>
  </si>
  <si>
    <r>
      <t xml:space="preserve">*Note:   flux paramter </t>
    </r>
    <r>
      <rPr>
        <b/>
        <sz val="11"/>
        <color theme="1"/>
        <rFont val="Calibri"/>
        <family val="2"/>
        <scheme val="minor"/>
      </rPr>
      <t>a</t>
    </r>
    <r>
      <rPr>
        <sz val="10"/>
        <color theme="1"/>
        <rFont val="Calibri"/>
        <family val="2"/>
        <scheme val="minor"/>
      </rPr>
      <t xml:space="preserve"> allows smooth interpolation of flux for arbitrary bands: </t>
    </r>
  </si>
  <si>
    <t>m</t>
  </si>
  <si>
    <t>SNR</t>
  </si>
  <si>
    <t>http://www.jach.hawaii.edu/UKIRT/astronomy/calib/phot_cal/conver.html</t>
  </si>
  <si>
    <t>"Observational Astrophysics", P. Lena, pp. 91</t>
  </si>
  <si>
    <t>Q</t>
  </si>
  <si>
    <t>planet througput</t>
  </si>
  <si>
    <t>t planet</t>
  </si>
  <si>
    <t>N</t>
  </si>
  <si>
    <t>Assume collect in both polarizations</t>
  </si>
  <si>
    <t>--</t>
  </si>
  <si>
    <t>t pol</t>
  </si>
  <si>
    <t>M</t>
  </si>
  <si>
    <t>t filt</t>
  </si>
  <si>
    <t>L</t>
  </si>
  <si>
    <t>transmissions and reflections</t>
  </si>
  <si>
    <t>t refl</t>
  </si>
  <si>
    <t>K</t>
  </si>
  <si>
    <t>occ trans * PSF fraction</t>
  </si>
  <si>
    <t>t core</t>
  </si>
  <si>
    <t>H</t>
  </si>
  <si>
    <t>occulter transmission</t>
  </si>
  <si>
    <t>t occ</t>
  </si>
  <si>
    <t>J</t>
  </si>
  <si>
    <t>obscuration fraction</t>
  </si>
  <si>
    <t>t obs</t>
  </si>
  <si>
    <t>Y</t>
  </si>
  <si>
    <t>Comments</t>
  </si>
  <si>
    <t>Units</t>
  </si>
  <si>
    <t>Value</t>
  </si>
  <si>
    <t>Item</t>
  </si>
  <si>
    <t>dark current</t>
  </si>
  <si>
    <t>I</t>
  </si>
  <si>
    <t>Throughput</t>
  </si>
  <si>
    <t>read noise</t>
  </si>
  <si>
    <t>VIS</t>
  </si>
  <si>
    <t>Detector Noise</t>
  </si>
  <si>
    <t>R</t>
  </si>
  <si>
    <t>m^2</t>
  </si>
  <si>
    <t>Col. Area</t>
  </si>
  <si>
    <t>FWHM on sky (l/D)</t>
  </si>
  <si>
    <t>rad</t>
  </si>
  <si>
    <t>Diffraction Limit</t>
  </si>
  <si>
    <t>B</t>
  </si>
  <si>
    <t>Not used</t>
  </si>
  <si>
    <t>of diam</t>
  </si>
  <si>
    <t>Sec. Obsc. frac.</t>
  </si>
  <si>
    <t>U</t>
  </si>
  <si>
    <t>Diameter of PM</t>
  </si>
  <si>
    <t>Col Diam</t>
  </si>
  <si>
    <r>
      <t xml:space="preserve">a
</t>
    </r>
    <r>
      <rPr>
        <sz val="8"/>
        <color theme="1"/>
        <rFont val="Calibri"/>
        <family val="2"/>
        <scheme val="minor"/>
      </rPr>
      <t>=log10(E0)</t>
    </r>
  </si>
  <si>
    <t>Photons 
sec-1 m-2</t>
  </si>
  <si>
    <t>Phot sec-1 cm-2 nm-1</t>
  </si>
  <si>
    <t>l (mm)</t>
  </si>
  <si>
    <t>Band</t>
  </si>
  <si>
    <t>0 mag Photon Rates per spectral band (P. Lena and Joint Astronomy Centre Website)</t>
  </si>
  <si>
    <t>Telescope Parameters</t>
  </si>
  <si>
    <t>for entire integ time</t>
  </si>
  <si>
    <t>ppb/count</t>
  </si>
  <si>
    <t>per count</t>
  </si>
  <si>
    <t>Kappa</t>
  </si>
  <si>
    <t>Conversion factor for equivalent contrast</t>
  </si>
  <si>
    <t>WFIRST Coronagraph Brightness Dependent Errors</t>
  </si>
  <si>
    <t>Allocation</t>
  </si>
  <si>
    <t>NEC</t>
  </si>
  <si>
    <t>Capability</t>
  </si>
  <si>
    <t>clock ind chg</t>
  </si>
  <si>
    <t>e/pix/fr</t>
  </si>
  <si>
    <t>s</t>
  </si>
  <si>
    <t>pixels</t>
  </si>
  <si>
    <t>f_SR</t>
  </si>
  <si>
    <t>fraction of light in signal region</t>
  </si>
  <si>
    <t>limit set by cosmic rays</t>
  </si>
  <si>
    <t>e/pix/s</t>
  </si>
  <si>
    <t>Error Category</t>
  </si>
  <si>
    <t>ENF</t>
  </si>
  <si>
    <t>Spectroscopy (IFS)  Scenario</t>
  </si>
  <si>
    <t>Resolution</t>
  </si>
  <si>
    <t>R = lambda / dlam</t>
  </si>
  <si>
    <t>Requirement</t>
  </si>
  <si>
    <t>Instrument Parameters</t>
  </si>
  <si>
    <t>IFS Lensl per PSF</t>
  </si>
  <si>
    <t>lenslets</t>
  </si>
  <si>
    <t>across PSF core</t>
  </si>
  <si>
    <t>IFS Spatial Samp</t>
  </si>
  <si>
    <t>rows</t>
  </si>
  <si>
    <t>pixels in spatial dir.</t>
  </si>
  <si>
    <t>IFS Spectral Samp</t>
  </si>
  <si>
    <t>cols</t>
  </si>
  <si>
    <t>pixels / spect. Elem.</t>
  </si>
  <si>
    <t>for the IFS</t>
  </si>
  <si>
    <t>in ppb units</t>
  </si>
  <si>
    <t xml:space="preserve">correct this for B-V </t>
  </si>
  <si>
    <t>Nyquist sampled at this wavelength</t>
  </si>
  <si>
    <t>Astronomical Constants</t>
  </si>
  <si>
    <t>Msun</t>
  </si>
  <si>
    <t>pc</t>
  </si>
  <si>
    <t>how far this system is from us</t>
  </si>
  <si>
    <t>The exo system is Sun + Jupiter</t>
  </si>
  <si>
    <t>R_E</t>
  </si>
  <si>
    <t>R_J</t>
  </si>
  <si>
    <t>R_sun</t>
  </si>
  <si>
    <t>arcsec</t>
  </si>
  <si>
    <t xml:space="preserve">m </t>
  </si>
  <si>
    <t>Sun apparent size from this distance</t>
  </si>
  <si>
    <t>Jupiter is at 5 AU</t>
  </si>
  <si>
    <t>@ 65 deg</t>
  </si>
  <si>
    <t>lam/D</t>
  </si>
  <si>
    <t>at maximum separation of planet</t>
  </si>
  <si>
    <t>Planet Flux</t>
  </si>
  <si>
    <t>at the primary</t>
  </si>
  <si>
    <t>Star distance</t>
  </si>
  <si>
    <t>Star apparent mag</t>
  </si>
  <si>
    <t>Star apparent size</t>
  </si>
  <si>
    <t>Integration Time</t>
  </si>
  <si>
    <t>SNR = 1 total alloc</t>
  </si>
  <si>
    <t>Scenario - Observation Parameters</t>
  </si>
  <si>
    <t>frame exposure time</t>
  </si>
  <si>
    <t>total integration time</t>
  </si>
  <si>
    <t>Abs mag is the apparent magnitude at a distance of 10 parsecs.</t>
  </si>
  <si>
    <t>Abs Mag</t>
  </si>
  <si>
    <t>SNR target</t>
  </si>
  <si>
    <t>transmission of BW filter</t>
  </si>
  <si>
    <t>Planet Contrast</t>
  </si>
  <si>
    <t>Non-det errors</t>
  </si>
  <si>
    <t>t psf nominal</t>
  </si>
  <si>
    <t>t psf degradation</t>
  </si>
  <si>
    <t>from coronagraph</t>
  </si>
  <si>
    <t>x</t>
  </si>
  <si>
    <t>non CG psf -- check this</t>
  </si>
  <si>
    <t>coronagraphic loss</t>
  </si>
  <si>
    <t>CG loss</t>
  </si>
  <si>
    <t>Planet Shot Noise</t>
  </si>
  <si>
    <t>Zodi Shot Noise</t>
  </si>
  <si>
    <t>Speckle Shot Noise</t>
  </si>
  <si>
    <t>Exosystem Shot Noise</t>
  </si>
  <si>
    <t>e/core/s</t>
  </si>
  <si>
    <t>HLC</t>
  </si>
  <si>
    <t>Design</t>
  </si>
  <si>
    <t>SPC</t>
  </si>
  <si>
    <t>Tau Pol</t>
  </si>
  <si>
    <t>hlc-20160125_0.4mas_jitter_1.0mas_star_results.txt</t>
  </si>
  <si>
    <t>spc_20140901-1_0.4mas_jitter_results.txt</t>
  </si>
  <si>
    <t>r(lam/D)</t>
  </si>
  <si>
    <t>r(arcsec)</t>
  </si>
  <si>
    <t>contrast</t>
  </si>
  <si>
    <t>core_thput</t>
  </si>
  <si>
    <t>PSF_peak</t>
  </si>
  <si>
    <t>area(sq_arcsec</t>
  </si>
  <si>
    <t>occ_trans</t>
  </si>
  <si>
    <t>Radius</t>
  </si>
  <si>
    <t>Intensity</t>
  </si>
  <si>
    <t>Speckle intensity at r (normalized to flux)</t>
  </si>
  <si>
    <t>Intensity/PSF_Peak</t>
  </si>
  <si>
    <t>Core Throughput</t>
  </si>
  <si>
    <t>Frac light incident on primary in FWHM of PSF centered at r</t>
  </si>
  <si>
    <t>PSF Peak Intensity</t>
  </si>
  <si>
    <t>Frac light in peak pixel of PSF centered at r &amp; normalized to flux</t>
  </si>
  <si>
    <t>PSF Area on Sky</t>
  </si>
  <si>
    <t>arcsec^2</t>
  </si>
  <si>
    <t>Area of FWHM of PSF centered at r</t>
  </si>
  <si>
    <t>Occular Transm.</t>
  </si>
  <si>
    <t>Occulter*lyot stop transmission at r</t>
  </si>
  <si>
    <t>Min Working Angle</t>
  </si>
  <si>
    <r>
      <rPr>
        <i/>
        <sz val="11"/>
        <color theme="8" tint="-0.249977111117893"/>
        <rFont val="Symbol"/>
        <family val="1"/>
        <charset val="2"/>
      </rPr>
      <t>l</t>
    </r>
    <r>
      <rPr>
        <i/>
        <sz val="11"/>
        <color theme="8" tint="-0.249977111117893"/>
        <rFont val="Calibri"/>
        <family val="2"/>
        <scheme val="minor"/>
      </rPr>
      <t>/D</t>
    </r>
  </si>
  <si>
    <t>Throughputs</t>
  </si>
  <si>
    <t>Max Working Angle</t>
  </si>
  <si>
    <r>
      <rPr>
        <sz val="12"/>
        <color theme="1"/>
        <rFont val="Symbol"/>
        <family val="1"/>
        <charset val="2"/>
      </rPr>
      <t xml:space="preserve">t </t>
    </r>
    <r>
      <rPr>
        <sz val="11"/>
        <color theme="1"/>
        <rFont val="Calibri"/>
        <family val="2"/>
        <scheme val="minor"/>
      </rPr>
      <t>reflections</t>
    </r>
  </si>
  <si>
    <t>CG intrinsic sampling</t>
  </si>
  <si>
    <r>
      <rPr>
        <i/>
        <sz val="11"/>
        <color theme="8" tint="-0.249977111117893"/>
        <rFont val="Symbol"/>
        <family val="1"/>
        <charset val="2"/>
      </rPr>
      <t>l</t>
    </r>
    <r>
      <rPr>
        <i/>
        <sz val="11"/>
        <color theme="8" tint="-0.249977111117893"/>
        <rFont val="Calibri"/>
        <family val="2"/>
        <scheme val="minor"/>
      </rPr>
      <t>/D / pix</t>
    </r>
  </si>
  <si>
    <t>sampling used by John Krist in generating CG results</t>
  </si>
  <si>
    <t>CG intrinsic mpix</t>
  </si>
  <si>
    <t>pixels within PSF core assuming instrinsic sampling</t>
  </si>
  <si>
    <t>Coronagraph Parameters</t>
  </si>
  <si>
    <t>Coronagraph type</t>
  </si>
  <si>
    <t>choices are SPC and HLC</t>
  </si>
  <si>
    <t>These are taken as representative numbers</t>
  </si>
  <si>
    <t>Contrast per design</t>
  </si>
  <si>
    <t xml:space="preserve">Local Zodi </t>
  </si>
  <si>
    <t>mag/as^2</t>
  </si>
  <si>
    <t>brightness density</t>
  </si>
  <si>
    <t>Exo Zodi at 1 AU</t>
  </si>
  <si>
    <t xml:space="preserve"> as (1 AU)/sma^2</t>
  </si>
  <si>
    <t>Local Zodi rate</t>
  </si>
  <si>
    <t>ExoZodi rate</t>
  </si>
  <si>
    <t>Dl (um)</t>
  </si>
  <si>
    <t>Phot sec-1 m-2 um-1</t>
  </si>
  <si>
    <t>um</t>
  </si>
  <si>
    <t>Photon Energy</t>
  </si>
  <si>
    <t>at this wavelength</t>
  </si>
  <si>
    <r>
      <t xml:space="preserve">E0 
</t>
    </r>
    <r>
      <rPr>
        <sz val="8"/>
        <color theme="1"/>
        <rFont val="Calibri"/>
        <family val="2"/>
        <scheme val="minor"/>
      </rPr>
      <t>W m-2 um-1</t>
    </r>
  </si>
  <si>
    <t>at this lambda and BW</t>
  </si>
  <si>
    <t>0-Mag Flux @ band</t>
  </si>
  <si>
    <t>ExoZodi flux</t>
  </si>
  <si>
    <t>ph/s/m2/as2</t>
  </si>
  <si>
    <t>t zodi</t>
  </si>
  <si>
    <t>t speckle</t>
  </si>
  <si>
    <t>Star absolute mag</t>
  </si>
  <si>
    <t>Star absolute magnitude (Msun=4.83)</t>
  </si>
  <si>
    <t>Use apparent magnitude as stipulated</t>
  </si>
  <si>
    <t>Local Zodi Flux</t>
  </si>
  <si>
    <t>t psf</t>
  </si>
  <si>
    <t>PSF fraction</t>
  </si>
  <si>
    <t>2) core_thruput, PSF_peak, and occ_trans values in this table do not include the polarizer loss (bookkept separately)</t>
  </si>
  <si>
    <t>nm</t>
  </si>
  <si>
    <t>Coronagraph Contrast</t>
  </si>
  <si>
    <t>Coronagraph I_pk</t>
  </si>
  <si>
    <t>Post processing residual</t>
  </si>
  <si>
    <t>Scenario - Speckles and Post Processing</t>
  </si>
  <si>
    <t>PP effectiveness</t>
  </si>
  <si>
    <t>f_pp</t>
  </si>
  <si>
    <t>sigma(resid) / mean(raw speckle)</t>
  </si>
  <si>
    <t>e/s</t>
  </si>
  <si>
    <t>Detector budget</t>
  </si>
  <si>
    <t>Refined estimates of planet albedo courtesy of Nikole Lewis</t>
  </si>
  <si>
    <t>mjupiter</t>
  </si>
  <si>
    <t>au</t>
  </si>
  <si>
    <t>day</t>
  </si>
  <si>
    <t>deg</t>
  </si>
  <si>
    <t>jd</t>
  </si>
  <si>
    <t>cgs</t>
  </si>
  <si>
    <t>Ag =0.5</t>
  </si>
  <si>
    <t>565 nm (Band 2)</t>
  </si>
  <si>
    <t>A (α = 65 deg)</t>
  </si>
  <si>
    <t>Traub</t>
  </si>
  <si>
    <t>Savranski</t>
  </si>
  <si>
    <t>Albedo as a function of phase angle</t>
  </si>
  <si>
    <t>A (α) = a + b*α+c*α^2+d*α^3+e*α^4+f*α^5</t>
  </si>
  <si>
    <t>Solar-like Star</t>
  </si>
  <si>
    <t>RV Prime</t>
  </si>
  <si>
    <t>NAME</t>
  </si>
  <si>
    <t>DIST</t>
  </si>
  <si>
    <t>Spec</t>
  </si>
  <si>
    <t>MSINI</t>
  </si>
  <si>
    <t>A</t>
  </si>
  <si>
    <t>Period</t>
  </si>
  <si>
    <t>Ecc</t>
  </si>
  <si>
    <t>Arg Periap</t>
  </si>
  <si>
    <t>T0</t>
  </si>
  <si>
    <t>Separation</t>
  </si>
  <si>
    <t>Stellar Flux</t>
  </si>
  <si>
    <t>Planetary Flux</t>
  </si>
  <si>
    <t>Contrast</t>
  </si>
  <si>
    <t>A (α = 0 deg)</t>
  </si>
  <si>
    <t>Traub No.</t>
  </si>
  <si>
    <t>Traub Entry</t>
  </si>
  <si>
    <t>Use Spec</t>
  </si>
  <si>
    <t>Notes</t>
  </si>
  <si>
    <t>Rp / R_E</t>
  </si>
  <si>
    <t>Rp / R_J</t>
  </si>
  <si>
    <t>Ratio</t>
  </si>
  <si>
    <t>These are the polynomial fits to phase variations of Jupiter as observed by Cassini</t>
  </si>
  <si>
    <t>Jupiter-like planet</t>
  </si>
  <si>
    <t>Neptune-like planet</t>
  </si>
  <si>
    <t>beta Gem b</t>
  </si>
  <si>
    <t>K0IIIb</t>
  </si>
  <si>
    <t>HD62509</t>
  </si>
  <si>
    <t>k0v</t>
  </si>
  <si>
    <t>aka Pollux b, aka HD 62509 b</t>
  </si>
  <si>
    <t>Distance (AU)</t>
  </si>
  <si>
    <t>Teq (K)</t>
  </si>
  <si>
    <t>Teff (K)</t>
  </si>
  <si>
    <t>Est A_g (565 nm)</t>
  </si>
  <si>
    <t>Est A (65 deg) 565 nm</t>
  </si>
  <si>
    <t>gamma Cep b</t>
  </si>
  <si>
    <t>K1IV</t>
  </si>
  <si>
    <t>HR8974</t>
  </si>
  <si>
    <t>Cite:</t>
  </si>
  <si>
    <t>Mayorga et al. (2016)</t>
  </si>
  <si>
    <t>HD 147513 b</t>
  </si>
  <si>
    <t>G5V</t>
  </si>
  <si>
    <t>HD147513</t>
  </si>
  <si>
    <t>g5v</t>
  </si>
  <si>
    <t>HD 192310 c</t>
  </si>
  <si>
    <t>K2+V</t>
  </si>
  <si>
    <t>HD192310</t>
  </si>
  <si>
    <t>A Neptune (per Nikole Lewis)</t>
  </si>
  <si>
    <t>Ag</t>
  </si>
  <si>
    <t>geometric albedo</t>
  </si>
  <si>
    <t>upsilon And d</t>
  </si>
  <si>
    <t>F9V</t>
  </si>
  <si>
    <t>HD9826</t>
  </si>
  <si>
    <t>f5v</t>
  </si>
  <si>
    <t>I have removed upsilon And e from list given questionable nature</t>
  </si>
  <si>
    <t>α (deg)</t>
  </si>
  <si>
    <t>phase angle</t>
  </si>
  <si>
    <t>epsilon Eri b</t>
  </si>
  <si>
    <t>K2Vk:</t>
  </si>
  <si>
    <t>HD22049</t>
  </si>
  <si>
    <t>47 UMa b</t>
  </si>
  <si>
    <t>G1V</t>
  </si>
  <si>
    <t>47Uma</t>
  </si>
  <si>
    <t>g0v</t>
  </si>
  <si>
    <t>phase fun only</t>
  </si>
  <si>
    <t>HD 10647 b</t>
  </si>
  <si>
    <t>HD10647</t>
  </si>
  <si>
    <t>λeff</t>
  </si>
  <si>
    <t>a</t>
  </si>
  <si>
    <t>b</t>
  </si>
  <si>
    <t>d</t>
  </si>
  <si>
    <t>e</t>
  </si>
  <si>
    <t>f</t>
  </si>
  <si>
    <t>A (α)</t>
  </si>
  <si>
    <t>f (a)</t>
  </si>
  <si>
    <t>47 UMa c</t>
  </si>
  <si>
    <t>HD 39091 b</t>
  </si>
  <si>
    <t>G0V</t>
  </si>
  <si>
    <t>HD39091</t>
  </si>
  <si>
    <t>HD 114613 b</t>
  </si>
  <si>
    <t>G3IV</t>
  </si>
  <si>
    <t>HD 114613</t>
  </si>
  <si>
    <t>HD 128311 c</t>
  </si>
  <si>
    <t>K3V</t>
  </si>
  <si>
    <t>HD128311</t>
  </si>
  <si>
    <t>k5v</t>
  </si>
  <si>
    <t>Gliese 777 b</t>
  </si>
  <si>
    <t>G7IV-V</t>
  </si>
  <si>
    <t>HD190360</t>
  </si>
  <si>
    <t>mu Ara e</t>
  </si>
  <si>
    <t>G3IV-V</t>
  </si>
  <si>
    <t>HD160691</t>
  </si>
  <si>
    <t>aka HD 160691 e</t>
  </si>
  <si>
    <t>14 Her b</t>
  </si>
  <si>
    <t>K0V</t>
  </si>
  <si>
    <t>14 Her</t>
  </si>
  <si>
    <t>HD 89307 b</t>
  </si>
  <si>
    <t>HD89307</t>
  </si>
  <si>
    <t>55 Cnc d</t>
  </si>
  <si>
    <t>G8V</t>
  </si>
  <si>
    <t>55Cnc</t>
  </si>
  <si>
    <t>HD 70642 b</t>
  </si>
  <si>
    <t>G6VCN+0.5</t>
  </si>
  <si>
    <t>HD70642</t>
  </si>
  <si>
    <t>Lewis</t>
  </si>
  <si>
    <t>HD 217107 c</t>
  </si>
  <si>
    <t>G8IV</t>
  </si>
  <si>
    <t>HD217107</t>
  </si>
  <si>
    <t>Traub etal</t>
  </si>
  <si>
    <t>HD 154345 b</t>
  </si>
  <si>
    <t>HD154345</t>
  </si>
  <si>
    <t>HD 117207 b</t>
  </si>
  <si>
    <t>HD117207</t>
  </si>
  <si>
    <t>HD 134987 c</t>
  </si>
  <si>
    <t>G6IV-V</t>
  </si>
  <si>
    <t>HD134987</t>
  </si>
  <si>
    <t>HD 87883 b</t>
  </si>
  <si>
    <t>HD87883</t>
  </si>
  <si>
    <t>HD 222155 b</t>
  </si>
  <si>
    <t>G0</t>
  </si>
  <si>
    <t>HD222155</t>
  </si>
  <si>
    <t>HD 181433 d</t>
  </si>
  <si>
    <t>K3III-IV</t>
  </si>
  <si>
    <t>HD181433</t>
  </si>
  <si>
    <t>HD 24040 b</t>
  </si>
  <si>
    <t>HD24040</t>
  </si>
  <si>
    <t>HD 13931 b</t>
  </si>
  <si>
    <t>HD13931</t>
  </si>
  <si>
    <t>HD 187123 c</t>
  </si>
  <si>
    <t>G5</t>
  </si>
  <si>
    <t>HD187123</t>
  </si>
  <si>
    <t>GJ 832 b</t>
  </si>
  <si>
    <t>M1.5</t>
  </si>
  <si>
    <t>GJ832</t>
  </si>
  <si>
    <t>m0v</t>
  </si>
  <si>
    <t>HD 30562 b</t>
  </si>
  <si>
    <t>F8V</t>
  </si>
  <si>
    <t>HD30562</t>
  </si>
  <si>
    <t>HD 142 c</t>
  </si>
  <si>
    <t>F7V</t>
  </si>
  <si>
    <t>HD142</t>
  </si>
  <si>
    <t>nu Oph c</t>
  </si>
  <si>
    <t>G9III</t>
  </si>
  <si>
    <t>HD163917</t>
  </si>
  <si>
    <t>calling this a planet is probably a bit of a stretch</t>
  </si>
  <si>
    <t>psi Dra B b</t>
  </si>
  <si>
    <t>F5IV</t>
  </si>
  <si>
    <t>psi Dra B</t>
  </si>
  <si>
    <t>any concerns about binary star system?</t>
  </si>
  <si>
    <t>HD 169830 c</t>
  </si>
  <si>
    <t>HD169830</t>
  </si>
  <si>
    <t>T_sun</t>
  </si>
  <si>
    <t>Planet Albedo</t>
  </si>
  <si>
    <t>Geometric Albedo x phase function</t>
  </si>
  <si>
    <t>Planet Radius</t>
  </si>
  <si>
    <t>R_jupiter</t>
  </si>
  <si>
    <t>Integration time</t>
  </si>
  <si>
    <t>derived from days</t>
  </si>
  <si>
    <t>Observational Scenario Parameters</t>
  </si>
  <si>
    <t>Scenario - Planet - Derived</t>
  </si>
  <si>
    <t>Scenario - Exo and local Zodi - Derived</t>
  </si>
  <si>
    <t>Detector QE</t>
  </si>
  <si>
    <t xml:space="preserve">Photon counting Eff. </t>
  </si>
  <si>
    <t>Fraction of Mission Life</t>
  </si>
  <si>
    <t>BOL = 0%, EOL = 100%</t>
  </si>
  <si>
    <t>Detector Parameters</t>
  </si>
  <si>
    <t>BOL</t>
  </si>
  <si>
    <t>EOL</t>
  </si>
  <si>
    <t>Read Noise CBE</t>
  </si>
  <si>
    <t>Dark Current CBE</t>
  </si>
  <si>
    <t>Clk. Ind. Charge (CIC) CBE</t>
  </si>
  <si>
    <t>Best estimate of pefrormance at beginning and End of Life</t>
  </si>
  <si>
    <t>to EOL</t>
  </si>
  <si>
    <t>of Life</t>
  </si>
  <si>
    <t>Scenario</t>
  </si>
  <si>
    <t>BW</t>
  </si>
  <si>
    <t>Focal Plane Type</t>
  </si>
  <si>
    <t>Custom</t>
  </si>
  <si>
    <t>Imaging</t>
  </si>
  <si>
    <t>Imaging 1</t>
  </si>
  <si>
    <t>Imaging 2</t>
  </si>
  <si>
    <t>IFS 1</t>
  </si>
  <si>
    <t>IFS</t>
  </si>
  <si>
    <t>IFS 2</t>
  </si>
  <si>
    <t>IFS 3</t>
  </si>
  <si>
    <t>Mission Life</t>
  </si>
  <si>
    <t>FP type</t>
  </si>
  <si>
    <t>f_sr</t>
  </si>
  <si>
    <t>mpix</t>
  </si>
  <si>
    <t>Focal Plane Attributes</t>
  </si>
  <si>
    <t>per Core</t>
  </si>
  <si>
    <t xml:space="preserve">fraction of </t>
  </si>
  <si>
    <t>units</t>
  </si>
  <si>
    <t xml:space="preserve">no. of pixels contributing to ROI for SNR computation </t>
  </si>
  <si>
    <r>
      <t xml:space="preserve">Critical  </t>
    </r>
    <r>
      <rPr>
        <sz val="12"/>
        <color theme="1"/>
        <rFont val="Symbol"/>
        <family val="1"/>
        <charset val="2"/>
      </rPr>
      <t>l</t>
    </r>
  </si>
  <si>
    <r>
      <rPr>
        <i/>
        <sz val="11"/>
        <color theme="4" tint="-0.499984740745262"/>
        <rFont val="Symbol"/>
        <family val="1"/>
        <charset val="2"/>
      </rPr>
      <t>(l</t>
    </r>
    <r>
      <rPr>
        <i/>
        <sz val="11"/>
        <color theme="4" tint="-0.499984740745262"/>
        <rFont val="Calibri"/>
        <family val="2"/>
        <scheme val="minor"/>
      </rPr>
      <t>/D) /pix</t>
    </r>
  </si>
  <si>
    <t>Focal Plane Sampling</t>
  </si>
  <si>
    <t>pixels in SNR region</t>
  </si>
  <si>
    <t>Instrument Mode:</t>
  </si>
  <si>
    <t>Target System:</t>
  </si>
  <si>
    <t>Star-planet Separation</t>
  </si>
  <si>
    <t>Sep (mas)</t>
  </si>
  <si>
    <t>Area of input aperture (or unobsc. PM)</t>
  </si>
  <si>
    <t xml:space="preserve">Zodi per SA into Aper. </t>
  </si>
  <si>
    <t>ph/s/as2</t>
  </si>
  <si>
    <t>Coronagraph</t>
  </si>
  <si>
    <t>Baseline Pl.  2</t>
  </si>
  <si>
    <t>Baseline Pl.  3</t>
  </si>
  <si>
    <t>Pl. Name</t>
  </si>
  <si>
    <r>
      <t>l</t>
    </r>
    <r>
      <rPr>
        <sz val="12"/>
        <color theme="1"/>
        <rFont val="Calibri"/>
        <family val="2"/>
        <scheme val="minor"/>
      </rPr>
      <t>, nm</t>
    </r>
  </si>
  <si>
    <r>
      <t>Dl</t>
    </r>
    <r>
      <rPr>
        <sz val="12"/>
        <color theme="1"/>
        <rFont val="Calibri"/>
        <family val="2"/>
        <scheme val="minor"/>
      </rPr>
      <t>, nm</t>
    </r>
  </si>
  <si>
    <t>Mode</t>
  </si>
  <si>
    <t>SNR requested</t>
  </si>
  <si>
    <t>CG</t>
  </si>
  <si>
    <t>Vmag</t>
  </si>
  <si>
    <t>effective read noise</t>
  </si>
  <si>
    <t>No.</t>
  </si>
  <si>
    <t>Basic Multi2 DD</t>
  </si>
  <si>
    <t>Astro Multi2 std Si</t>
  </si>
  <si>
    <t>Basic Multi2 std Si</t>
  </si>
  <si>
    <t>Astro Midband DD</t>
  </si>
  <si>
    <t>Basic NIR DD</t>
  </si>
  <si>
    <t xml:space="preserve"> Astro Multi2 DD</t>
  </si>
  <si>
    <t>http://www.e2v.com/products/imaging/qe-curves/</t>
  </si>
  <si>
    <t>Coating Column</t>
  </si>
  <si>
    <t>QE Coating Selected</t>
  </si>
  <si>
    <r>
      <rPr>
        <sz val="10"/>
        <rFont val="Symbol"/>
        <family val="1"/>
        <charset val="2"/>
      </rPr>
      <t>l</t>
    </r>
    <r>
      <rPr>
        <sz val="10"/>
        <rFont val="Arial"/>
        <family val="2"/>
      </rPr>
      <t>, nm</t>
    </r>
  </si>
  <si>
    <t>All of these are at -100 deg C</t>
  </si>
  <si>
    <t>Basic Midband Std Si</t>
  </si>
  <si>
    <t>Planets Observable In The Selected Mode</t>
  </si>
  <si>
    <t>Margin</t>
  </si>
  <si>
    <t>Achieved is over the entire area</t>
  </si>
  <si>
    <t xml:space="preserve">need to scale properly </t>
  </si>
  <si>
    <t>noise rate (var/time)</t>
  </si>
  <si>
    <t>e/SR/s</t>
  </si>
  <si>
    <t>e-/s per SNR region</t>
  </si>
  <si>
    <t>hrs</t>
  </si>
  <si>
    <t>t integ, hrs</t>
  </si>
  <si>
    <t>Zodi bkg rate</t>
  </si>
  <si>
    <t>speckle bkg rate</t>
  </si>
  <si>
    <t>Photon Counting has No ENF!</t>
  </si>
  <si>
    <t>Planet SMA WA</t>
  </si>
  <si>
    <t>Dark Hole IWA</t>
  </si>
  <si>
    <t>Dark Hole OWA</t>
  </si>
  <si>
    <t>Planet Observing WA</t>
  </si>
  <si>
    <r>
      <t xml:space="preserve">Diffraction Limit   </t>
    </r>
    <r>
      <rPr>
        <sz val="11"/>
        <color theme="1"/>
        <rFont val="Symbol"/>
        <family val="1"/>
        <charset val="2"/>
      </rPr>
      <t>l</t>
    </r>
    <r>
      <rPr>
        <sz val="11"/>
        <color theme="1"/>
        <rFont val="Calibri"/>
        <family val="2"/>
        <scheme val="minor"/>
      </rPr>
      <t>/D</t>
    </r>
  </si>
  <si>
    <t>If &gt; OWA observe when  80% to OWA</t>
  </si>
  <si>
    <t>separation at obervation (not nec. SMA)</t>
  </si>
  <si>
    <r>
      <t>WA (</t>
    </r>
    <r>
      <rPr>
        <sz val="11"/>
        <color theme="1"/>
        <rFont val="Symbol"/>
        <family val="1"/>
        <charset val="2"/>
      </rPr>
      <t>l</t>
    </r>
    <r>
      <rPr>
        <sz val="11"/>
        <color theme="1"/>
        <rFont val="Calibri"/>
        <family val="2"/>
        <scheme val="minor"/>
      </rPr>
      <t>/D)</t>
    </r>
  </si>
  <si>
    <t>Time Margin</t>
  </si>
  <si>
    <t>tSNRraw</t>
  </si>
  <si>
    <t>time, hrs</t>
  </si>
  <si>
    <t>Im2Thresh</t>
  </si>
  <si>
    <t>ifs1thresh</t>
  </si>
  <si>
    <t>Imaging2</t>
  </si>
  <si>
    <t>Fl Ratio, ppb</t>
  </si>
  <si>
    <t>nm  --   Quantum efficiency at this wavelength</t>
  </si>
  <si>
    <t>Threshold</t>
  </si>
  <si>
    <t>Planets</t>
  </si>
  <si>
    <t xml:space="preserve">planet shot </t>
  </si>
  <si>
    <t>speckle shot</t>
  </si>
  <si>
    <t>zodi shot</t>
  </si>
  <si>
    <t>CIC noise</t>
  </si>
  <si>
    <t>Time Margin Threshold</t>
  </si>
  <si>
    <t>No. of planets above the time margin threshold</t>
  </si>
  <si>
    <t>dark noise</t>
  </si>
  <si>
    <t>Variance rates for det. noise sources</t>
  </si>
  <si>
    <t>CBE</t>
  </si>
  <si>
    <t>For relative comparison only</t>
  </si>
  <si>
    <t>Many assumptions have been made</t>
  </si>
  <si>
    <t>Scheduling can help, but orbital phases unknown</t>
  </si>
  <si>
    <t>e.g. 8 yr orbit in 1st 3 yrs has 3/8 probability</t>
  </si>
  <si>
    <t>Rates</t>
  </si>
  <si>
    <t>planet</t>
  </si>
  <si>
    <t>Speckle</t>
  </si>
  <si>
    <t>Zodi</t>
  </si>
  <si>
    <t>dark</t>
  </si>
  <si>
    <t>CIC</t>
  </si>
  <si>
    <t>s frame time</t>
  </si>
  <si>
    <t>Total count rate and error variance rates (fractional)</t>
  </si>
  <si>
    <t>assuming</t>
  </si>
  <si>
    <t>QE at chosen Epoch</t>
  </si>
  <si>
    <t>Interpolated between BOL &amp; EOL</t>
  </si>
  <si>
    <r>
      <t xml:space="preserve">Center </t>
    </r>
    <r>
      <rPr>
        <sz val="12"/>
        <rFont val="Symbol"/>
        <family val="1"/>
        <charset val="2"/>
      </rPr>
      <t>l</t>
    </r>
    <r>
      <rPr>
        <sz val="11"/>
        <rFont val="Calibri"/>
        <family val="2"/>
        <scheme val="minor"/>
      </rPr>
      <t xml:space="preserve">,nm </t>
    </r>
  </si>
  <si>
    <t>flux</t>
  </si>
  <si>
    <t>log10(F)</t>
  </si>
  <si>
    <t>lif frac</t>
  </si>
  <si>
    <t>m1</t>
  </si>
  <si>
    <t>newone</t>
  </si>
  <si>
    <t>Patrick</t>
  </si>
  <si>
    <t>y=a + m1 * x</t>
  </si>
  <si>
    <t>x = log10(flux)</t>
  </si>
  <si>
    <t>Patrick fits the post electron-generation QE</t>
  </si>
  <si>
    <t>It intercepts at</t>
  </si>
  <si>
    <t>corrected</t>
  </si>
  <si>
    <t>e/psf/fr</t>
  </si>
  <si>
    <t>pixels per PSF</t>
  </si>
  <si>
    <t>in testbed</t>
  </si>
  <si>
    <t>as fn of e/psf/fr</t>
  </si>
  <si>
    <t>as fn of e/pix/fr</t>
  </si>
  <si>
    <t xml:space="preserve"> formula to use = 1+MissionLifeFraction*0.51296*(LOG10(flux)-LOG10(8.7))</t>
  </si>
  <si>
    <t xml:space="preserve"> if flux is e/psf/fr  LOSS = 1+MissionLifeFraction*0.51296*(LOG10(flux)-LOG10(8.7))</t>
  </si>
  <si>
    <t>Read Noise at epoch</t>
  </si>
  <si>
    <t>Dark Current at epoch</t>
  </si>
  <si>
    <t>CIC at epoch</t>
  </si>
  <si>
    <t>dark+planet+speckle+zodi</t>
  </si>
  <si>
    <t>per pix pre frame before transfer</t>
  </si>
  <si>
    <t>Net charge transfer eff.</t>
  </si>
  <si>
    <t>1k pix</t>
  </si>
  <si>
    <t>loss after all the transfers not per pixel as in conventional CTE</t>
  </si>
  <si>
    <t>at pixels, before charge transfer</t>
  </si>
  <si>
    <t>after charge transfer</t>
  </si>
  <si>
    <t>Planet conversion rate</t>
  </si>
  <si>
    <t>planet signal rate</t>
  </si>
  <si>
    <t>total per pixel ph rate</t>
  </si>
  <si>
    <t>planet + speckle + zodi</t>
  </si>
  <si>
    <t>Planet Yield</t>
  </si>
  <si>
    <t>t (SNR), hrs</t>
  </si>
  <si>
    <t>hrs max time / planet</t>
  </si>
  <si>
    <t>hrs total integ time</t>
  </si>
  <si>
    <t xml:space="preserve">Assuming time margin threshold of: </t>
  </si>
  <si>
    <t>Mission life, years elapsed</t>
  </si>
  <si>
    <t>t_alloc (hrs)</t>
  </si>
  <si>
    <t>no entry for GJ 832 b replaced by 0.2222….</t>
  </si>
  <si>
    <t xml:space="preserve">Yield for the first 2 IFS channels vs. SNR  </t>
  </si>
  <si>
    <t>Requirements on Conversion Efficiency</t>
  </si>
  <si>
    <t>QE</t>
  </si>
  <si>
    <t>CTE</t>
  </si>
  <si>
    <t xml:space="preserve">flux = </t>
  </si>
  <si>
    <t>PC effic</t>
  </si>
  <si>
    <t>Conv Eff</t>
  </si>
  <si>
    <t>Detector total noise in 100 s frame</t>
  </si>
  <si>
    <t xml:space="preserve">read noise </t>
  </si>
  <si>
    <t>s frame</t>
  </si>
  <si>
    <t>total noise</t>
  </si>
  <si>
    <t>e-/pix/fr</t>
  </si>
  <si>
    <t>photo-converted rate</t>
  </si>
  <si>
    <t>ph-converted 1 frame</t>
  </si>
  <si>
    <t>ph/s</t>
  </si>
  <si>
    <t>IFS photons per pixel</t>
  </si>
  <si>
    <t>Imager photons per pixel</t>
  </si>
  <si>
    <t>photons into air disk on camera</t>
  </si>
  <si>
    <t>Core throughput</t>
  </si>
  <si>
    <t>Reflections, filter, polarizer</t>
  </si>
  <si>
    <t>Central and strut obscurations</t>
  </si>
  <si>
    <t>Planet Photons</t>
  </si>
  <si>
    <t>Example: 47 Uma c, FR = 8e-9</t>
  </si>
  <si>
    <t>Signal</t>
  </si>
  <si>
    <t>e-</t>
  </si>
  <si>
    <t>Shot noise</t>
  </si>
  <si>
    <t>integ Time</t>
  </si>
  <si>
    <t xml:space="preserve">SNR = </t>
  </si>
  <si>
    <t>Elec Noise</t>
  </si>
  <si>
    <t>resid. Speckle</t>
  </si>
  <si>
    <t>All Noise</t>
  </si>
  <si>
    <t>Summary of the contributions to SNR</t>
  </si>
  <si>
    <t>settings, with</t>
  </si>
  <si>
    <t>pix/SR</t>
  </si>
  <si>
    <t>&lt;- example system</t>
  </si>
  <si>
    <t>Used in Ilya's presentation at FSWG 2/8/2017</t>
  </si>
  <si>
    <t>HLC_Coronagraph</t>
  </si>
  <si>
    <t>SPC_Coronagraph</t>
  </si>
  <si>
    <t>Name</t>
  </si>
  <si>
    <t>Sampling</t>
  </si>
  <si>
    <t>HLC_CG</t>
  </si>
  <si>
    <t>SPC_CG</t>
  </si>
  <si>
    <t>Coronagraph Summary Data</t>
  </si>
  <si>
    <r>
      <rPr>
        <sz val="12"/>
        <rFont val="Symbol"/>
        <family val="1"/>
        <charset val="2"/>
      </rPr>
      <t xml:space="preserve">t </t>
    </r>
    <r>
      <rPr>
        <sz val="11"/>
        <rFont val="Calibri"/>
        <family val="2"/>
        <scheme val="minor"/>
      </rPr>
      <t>polarizer Included</t>
    </r>
  </si>
  <si>
    <t>This is the factor pre-applied in the CG table</t>
  </si>
  <si>
    <t>Level 3 CGI Key Requirements: Threshold vs. Baseline</t>
  </si>
  <si>
    <t>Draft. 1/31/2017.</t>
  </si>
  <si>
    <t>Requirement Name</t>
  </si>
  <si>
    <t>Threshold Value</t>
  </si>
  <si>
    <t>Baseline Value</t>
  </si>
  <si>
    <t>SRD Parent Requirement</t>
  </si>
  <si>
    <t>CGI Mode: Imager/HLC, 565nm, 10% BW</t>
  </si>
  <si>
    <t>CGI-2.2, CGI-2.6</t>
  </si>
  <si>
    <t>Core Throughout</t>
  </si>
  <si>
    <r>
      <t xml:space="preserve">Core throughput here incudes: coatings, masks, PSF shape, polarizer. Assumes 2x core throughput increase from threshold to baseline design. (Latest design provides 1.5x improvement.) </t>
    </r>
    <r>
      <rPr>
        <sz val="14"/>
        <color rgb="FF0000FF"/>
        <rFont val="Calibri"/>
        <family val="2"/>
        <scheme val="minor"/>
      </rPr>
      <t>Need to revisit the advantage of digging dark hole in one polarization -- trade 2x better throughput vs shallower contrast.</t>
    </r>
  </si>
  <si>
    <t>Inner working angle, l/D</t>
  </si>
  <si>
    <t>Assumes slight IWA improvement in the baseline design (comments?)</t>
  </si>
  <si>
    <t>Bandpass, %</t>
  </si>
  <si>
    <t>Raw Contrast, 3-4 l/D</t>
  </si>
  <si>
    <t>Informed by MS9 data. Assumes 0.5 mas residual pointing jitter. Improvement between threshold and baseline is mainly due to reduction of  jitter sensitivity.</t>
  </si>
  <si>
    <t>Raw Contrast, 4-5 l/D</t>
  </si>
  <si>
    <t>Informed by MS9 data. Assumes 0.5 mas residual pointing jitter</t>
  </si>
  <si>
    <t>Raw Contrast, 5-9 l/D</t>
  </si>
  <si>
    <t>Assumes 0.5 mas residual pointing jitter</t>
  </si>
  <si>
    <t>Post-processing Gain</t>
  </si>
  <si>
    <t>5x</t>
  </si>
  <si>
    <t>10x</t>
  </si>
  <si>
    <t>More conservative threshold PP gain to reflect information on DM drift</t>
  </si>
  <si>
    <t xml:space="preserve">Detector Performance </t>
  </si>
  <si>
    <t>CCD201 after 6 yrs, RDF = 2</t>
  </si>
  <si>
    <t>CCD201 after 3 yrs, RDF = 1</t>
  </si>
  <si>
    <t>Same detector, taking advantage of opportunity to use it earlier in the mission, and reduced RDF to 1.</t>
  </si>
  <si>
    <t>CGI Mode: IFS/SPC, 660nm, 18% BW</t>
  </si>
  <si>
    <t>CGI-2.5 (baseline only)</t>
  </si>
  <si>
    <t>n/a</t>
  </si>
  <si>
    <t>Incudes: coatings, masks, PSF shape.  Assumes 2x core throughput increase over the current 0.9%</t>
  </si>
  <si>
    <t>Opportunity to use baseline detector earlier in the mission for spectroscopy</t>
  </si>
  <si>
    <t>CGI Mode: IFS/SPC, 770nm, 18% BW</t>
  </si>
  <si>
    <t>Yield suffers in 770nm vs. 660nm IFS band due to 1) Lower detector QE, 2) Larger IWA, 3) Larger polarization-induced astigmatism, 4) Detector fringing</t>
  </si>
  <si>
    <t>SNR for NEFR</t>
  </si>
  <si>
    <t>For NEFR (xi_eq), set SNR = 1</t>
  </si>
  <si>
    <t>Date</t>
  </si>
  <si>
    <t>Who</t>
  </si>
  <si>
    <t>B Nemati</t>
  </si>
  <si>
    <t>This is the version that was briefed in the tutorial held on this date - rev. 535</t>
  </si>
  <si>
    <t xml:space="preserve">max CTE should be 1 </t>
  </si>
  <si>
    <t>MT IWA</t>
  </si>
  <si>
    <t>Integ Time</t>
  </si>
  <si>
    <t>rand noise</t>
  </si>
  <si>
    <t>res. Speckle.</t>
  </si>
  <si>
    <t>resid. Spckle</t>
  </si>
  <si>
    <t>Star Vmag</t>
  </si>
  <si>
    <t>Pl. Separation</t>
  </si>
  <si>
    <t>tot. noise</t>
  </si>
  <si>
    <t xml:space="preserve">e- </t>
  </si>
  <si>
    <t xml:space="preserve">Min. Flux Ratio Observable </t>
  </si>
  <si>
    <t xml:space="preserve">For this star, and this setting, </t>
  </si>
  <si>
    <t>Noise Equivalent Flux Ratio (NEFR) Parameters</t>
  </si>
  <si>
    <t>NEFR</t>
  </si>
  <si>
    <t>Pl. Wrk. Angle</t>
  </si>
  <si>
    <t>minimum</t>
  </si>
  <si>
    <t>Summary table:</t>
  </si>
  <si>
    <t>Imag Base 2.2</t>
  </si>
  <si>
    <t>Imag Goal 2.2</t>
  </si>
  <si>
    <t>integ = 48 hrs</t>
  </si>
  <si>
    <t>f_pp=10%</t>
  </si>
  <si>
    <t>mission=10%</t>
  </si>
  <si>
    <t>CG=goal</t>
  </si>
  <si>
    <t>Delta</t>
  </si>
  <si>
    <t>n_pl</t>
  </si>
  <si>
    <t>As defined</t>
  </si>
  <si>
    <t>from</t>
  </si>
  <si>
    <t>to</t>
  </si>
  <si>
    <t>Baseline</t>
  </si>
  <si>
    <t>Goal</t>
  </si>
  <si>
    <t>CGI L3 2.2 20170131</t>
  </si>
  <si>
    <t>ann. Area</t>
  </si>
  <si>
    <t>mean conrtast</t>
  </si>
  <si>
    <t>Mn. Contrast</t>
  </si>
  <si>
    <t>from (lam/D)</t>
  </si>
  <si>
    <t>to (lam/D)</t>
  </si>
  <si>
    <t>delta r</t>
  </si>
  <si>
    <t>Baseline 2.2</t>
  </si>
  <si>
    <t>Goal 2.2</t>
  </si>
  <si>
    <t>C Base</t>
  </si>
  <si>
    <t>C Goal</t>
  </si>
  <si>
    <t>t core base</t>
  </si>
  <si>
    <t>t core goal</t>
  </si>
  <si>
    <t>Target values</t>
  </si>
  <si>
    <t>1X</t>
  </si>
  <si>
    <t>2X</t>
  </si>
  <si>
    <t>HLC/Imaging</t>
  </si>
  <si>
    <t>Calculating the modified contrast tables for baseline and goal</t>
  </si>
  <si>
    <t>CGI L3 2.5 20170131</t>
  </si>
  <si>
    <t>Goal 2.5</t>
  </si>
  <si>
    <t>660 nm</t>
  </si>
  <si>
    <t>770 nm</t>
  </si>
  <si>
    <t>565 nm</t>
  </si>
  <si>
    <t>SPC/IFS</t>
  </si>
  <si>
    <t>C_Goal_660</t>
  </si>
  <si>
    <t>C_Goal_770</t>
  </si>
  <si>
    <t>Core Thruput</t>
  </si>
  <si>
    <t>Orig t_core</t>
  </si>
  <si>
    <t>IFS1 Goal 2.5</t>
  </si>
  <si>
    <t>IFS 2 Goal 2.5</t>
  </si>
  <si>
    <t>C Base L3</t>
  </si>
  <si>
    <t>C Goal L3</t>
  </si>
  <si>
    <t>CGI L3 2.2 Imaging</t>
  </si>
  <si>
    <t>Goal 2.2 565 nm</t>
  </si>
  <si>
    <t>Baseline 2.2 565 nm</t>
  </si>
  <si>
    <t>Strictly following the L3 requirements</t>
  </si>
  <si>
    <t>L3 requirements</t>
  </si>
  <si>
    <t>CGI L3 2.5 IFS</t>
  </si>
  <si>
    <t>Goal 2.5 IFS 660 nm</t>
  </si>
  <si>
    <t>Goal 2.5 IFS 770 nm</t>
  </si>
  <si>
    <t>G25_FIT_660</t>
  </si>
  <si>
    <t>G25_FIT_770</t>
  </si>
  <si>
    <t>G25_REQ_660</t>
  </si>
  <si>
    <t>G25_REQ_770</t>
  </si>
  <si>
    <t>B22_REQ_565</t>
  </si>
  <si>
    <t>G22_REQ_565</t>
  </si>
  <si>
    <t>B22_FIT_565</t>
  </si>
  <si>
    <t>G22_FIT_565</t>
  </si>
  <si>
    <t>G2.5Req660</t>
  </si>
  <si>
    <t>G2.5Req770</t>
  </si>
  <si>
    <t>B2.2Fit565</t>
  </si>
  <si>
    <t>G2.2Fit565</t>
  </si>
  <si>
    <t>G2.5Fit660</t>
  </si>
  <si>
    <t>G2.5Fit770</t>
  </si>
  <si>
    <t>B2.2Req565</t>
  </si>
  <si>
    <t>G2.2Req565</t>
  </si>
  <si>
    <t>mission=0%</t>
  </si>
  <si>
    <t>integ = 400 hrs</t>
  </si>
  <si>
    <t>SNR = 10</t>
  </si>
  <si>
    <t>f_pp=5%</t>
  </si>
  <si>
    <t>mission=80%</t>
  </si>
  <si>
    <t>t*2</t>
  </si>
  <si>
    <t>tau_core -&gt; 2X</t>
  </si>
  <si>
    <t>C -&gt;  0.5 X</t>
  </si>
  <si>
    <t>C/2</t>
  </si>
  <si>
    <t>Fit</t>
  </si>
  <si>
    <t>ped</t>
  </si>
  <si>
    <t>residual</t>
  </si>
  <si>
    <t>Fit target</t>
  </si>
  <si>
    <t>Goal 2.4</t>
  </si>
  <si>
    <t>660 nm Baseline</t>
  </si>
  <si>
    <t>B25_REQ_660</t>
  </si>
  <si>
    <t>660 nm Goal</t>
  </si>
  <si>
    <t>770 nm Baseline</t>
  </si>
  <si>
    <t>B25_REQ_770</t>
  </si>
  <si>
    <t>770 nm Goal</t>
  </si>
  <si>
    <t>B25_FIT_660</t>
  </si>
  <si>
    <t>B25_FIT_770</t>
  </si>
  <si>
    <t>B2.5Req660</t>
  </si>
  <si>
    <t>B2.5Fit660</t>
  </si>
  <si>
    <t>B2.5Req770</t>
  </si>
  <si>
    <t>B2.5Fit770</t>
  </si>
  <si>
    <t>IFS1 Base 2.5</t>
  </si>
  <si>
    <t>IFS 2 Base 2.5</t>
  </si>
  <si>
    <t>ML=5%,BW=18%</t>
  </si>
  <si>
    <t>Fiducial 2</t>
  </si>
  <si>
    <t>select Vmag</t>
  </si>
  <si>
    <t>For this section:</t>
  </si>
  <si>
    <t>set planet to:</t>
  </si>
  <si>
    <t>vr(pl) e/s</t>
  </si>
  <si>
    <t>vr(sp) e/s</t>
  </si>
  <si>
    <t>vr(zo) e/s</t>
  </si>
  <si>
    <t>vr(det) e/s</t>
  </si>
  <si>
    <t>Planet flux ratio</t>
  </si>
  <si>
    <t xml:space="preserve">noise var rate </t>
  </si>
  <si>
    <t>Hrs to SNR</t>
  </si>
  <si>
    <t>Mission</t>
  </si>
  <si>
    <t>WFIRST-CGI Optical Throughput</t>
  </si>
  <si>
    <t>Cycle 6</t>
  </si>
  <si>
    <t>Hong Tang</t>
  </si>
  <si>
    <t>Modified by Nikta Amiri and Bijan Nemati  11/23/2016</t>
  </si>
  <si>
    <t>John Krist</t>
  </si>
  <si>
    <t>Provided Geometric Throughouts for coronagraphic masks</t>
  </si>
  <si>
    <t>PIAA CMC</t>
  </si>
  <si>
    <t>HRC</t>
  </si>
  <si>
    <t>FS99</t>
  </si>
  <si>
    <t>AR</t>
  </si>
  <si>
    <t>AL</t>
  </si>
  <si>
    <t>Wavelength</t>
  </si>
  <si>
    <t>S-Reflect</t>
  </si>
  <si>
    <t>P-Reflect</t>
  </si>
  <si>
    <t>S-Transmit</t>
  </si>
  <si>
    <t>P-Transmit</t>
  </si>
  <si>
    <t>S-Absorb</t>
  </si>
  <si>
    <t>P-Absorb</t>
  </si>
  <si>
    <t>S-Phase-T</t>
  </si>
  <si>
    <t>P-Phase-T</t>
  </si>
  <si>
    <t>S-Phase-R</t>
  </si>
  <si>
    <t>P-Phase-R</t>
  </si>
  <si>
    <t>Diatt-T</t>
  </si>
  <si>
    <t>Diatt-R</t>
  </si>
  <si>
    <t>Retard-T</t>
  </si>
  <si>
    <t>Retard-R</t>
  </si>
  <si>
    <t>Coatings/Material</t>
  </si>
  <si>
    <t>FSS99-600</t>
  </si>
  <si>
    <t>Aluminum</t>
  </si>
  <si>
    <t>BBAR</t>
  </si>
  <si>
    <t>Color filters</t>
  </si>
  <si>
    <t>Polarizer</t>
  </si>
  <si>
    <t>R typical</t>
  </si>
  <si>
    <t>old comment - Check with Hong</t>
  </si>
  <si>
    <t>T typical</t>
  </si>
  <si>
    <t>Use -0.5% EOM for Ag coating</t>
  </si>
  <si>
    <t>Hybrid Lyot Coronagraph (HLC)</t>
  </si>
  <si>
    <t>Shaped Pupil Coronagraph (SPC), Characterization</t>
  </si>
  <si>
    <t>Imaging Path</t>
  </si>
  <si>
    <t>IFS Path (NA)</t>
  </si>
  <si>
    <t>LOWFS Path</t>
  </si>
  <si>
    <t>IFS Path</t>
  </si>
  <si>
    <t>Element</t>
  </si>
  <si>
    <t>R or T</t>
  </si>
  <si>
    <t>Geometrical</t>
  </si>
  <si>
    <t>AFTA Pupil</t>
  </si>
  <si>
    <t>T1</t>
  </si>
  <si>
    <t>T2</t>
  </si>
  <si>
    <t>COR F1</t>
  </si>
  <si>
    <t>COR F2</t>
  </si>
  <si>
    <t>M3</t>
  </si>
  <si>
    <t>COL F1</t>
  </si>
  <si>
    <t>M4</t>
  </si>
  <si>
    <t>COL F2</t>
  </si>
  <si>
    <t>Pupil@FSM</t>
  </si>
  <si>
    <t>FSM</t>
  </si>
  <si>
    <t>R1 OAP1</t>
  </si>
  <si>
    <t>Focusing mirror</t>
  </si>
  <si>
    <t>R1 OAP2</t>
  </si>
  <si>
    <t>DM1</t>
  </si>
  <si>
    <t>DM2</t>
  </si>
  <si>
    <t>R2 OAP1</t>
  </si>
  <si>
    <t>FM</t>
  </si>
  <si>
    <t>R2 OAP2</t>
  </si>
  <si>
    <t>HLC-FM</t>
  </si>
  <si>
    <t xml:space="preserve"> </t>
  </si>
  <si>
    <t>SPC-SP Mask</t>
  </si>
  <si>
    <t>R3 OAP1</t>
  </si>
  <si>
    <t>FPM-HLC</t>
  </si>
  <si>
    <t>FPM-SPC</t>
  </si>
  <si>
    <t>R3 OAP2</t>
  </si>
  <si>
    <t>Lyot-HLC</t>
  </si>
  <si>
    <t>Lyot-SPC</t>
  </si>
  <si>
    <t>FS-OAP1</t>
  </si>
  <si>
    <t>Field Stop</t>
  </si>
  <si>
    <t>FS-OAP2</t>
  </si>
  <si>
    <t>Color FW</t>
  </si>
  <si>
    <t>Imgr/pupil/IFS</t>
  </si>
  <si>
    <t xml:space="preserve">Rad shield M </t>
  </si>
  <si>
    <t>Img Cam</t>
  </si>
  <si>
    <t>IFS FM1</t>
  </si>
  <si>
    <t>IFS RM1</t>
  </si>
  <si>
    <t>IFS RM2</t>
  </si>
  <si>
    <t>IFS FM2</t>
  </si>
  <si>
    <t>IFS Lenslets</t>
  </si>
  <si>
    <t>IFS Pinhole Array</t>
  </si>
  <si>
    <t>IFS Lens1</t>
  </si>
  <si>
    <t>IFS Prism1</t>
  </si>
  <si>
    <t>IFS Prism2</t>
  </si>
  <si>
    <t>IFS Lens2</t>
  </si>
  <si>
    <t>IFS FM3</t>
  </si>
  <si>
    <t>IFS Cam</t>
  </si>
  <si>
    <t>LOWFS L1</t>
  </si>
  <si>
    <t>LOWFS L2</t>
  </si>
  <si>
    <t>LOWFS L3</t>
  </si>
  <si>
    <t>LOWFS CAM</t>
  </si>
  <si>
    <t>Cascaded</t>
  </si>
  <si>
    <t>Total</t>
  </si>
  <si>
    <t>End of Mission</t>
  </si>
  <si>
    <t>Albedo (65)</t>
  </si>
  <si>
    <t xml:space="preserve">Fid1: 47 UMa bc </t>
  </si>
  <si>
    <t>Reduced the list of planets shown in the table to those with WA visible, then sorted by Vmag</t>
  </si>
  <si>
    <t>select WA</t>
  </si>
  <si>
    <t>change SMA</t>
  </si>
  <si>
    <t>sep (mas)</t>
  </si>
  <si>
    <t xml:space="preserve">hrs integ time </t>
  </si>
  <si>
    <t>working  Angle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</si>
</sst>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
    <numFmt numFmtId="165" formatCode="0.0E+00"/>
    <numFmt numFmtId="166" formatCode="0.0"/>
    <numFmt numFmtId="167" formatCode="0.0%"/>
    <numFmt numFmtId="168" formatCode="_(* #,##0_);_(* \(#,##0\);_(* &quot;-&quot;??_);_(@_)"/>
    <numFmt numFmtId="169" formatCode="0.0000"/>
    <numFmt numFmtId="170" formatCode="0.00000"/>
    <numFmt numFmtId="171" formatCode="0.0000000"/>
  </numFmts>
  <fonts count="130">
    <font>
      <sz val="11"/>
      <color theme="1"/>
      <name val="Calibri"/>
      <family val="2"/>
      <scheme val="minor"/>
    </font>
    <font>
      <sz val="11"/>
      <color theme="1"/>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color theme="1"/>
      <name val="Calibri"/>
      <family val="2"/>
      <scheme val="minor"/>
    </font>
    <font>
      <i/>
      <sz val="10"/>
      <color rgb="FF0070C0"/>
      <name val="Calibri"/>
      <family val="2"/>
      <scheme val="minor"/>
    </font>
    <font>
      <sz val="11"/>
      <name val="Calibri"/>
      <family val="2"/>
      <scheme val="minor"/>
    </font>
    <font>
      <sz val="10"/>
      <name val="Calibri"/>
      <family val="2"/>
      <scheme val="minor"/>
    </font>
    <font>
      <sz val="11"/>
      <color theme="2" tint="-0.749992370372631"/>
      <name val="Calibri"/>
      <family val="2"/>
      <scheme val="minor"/>
    </font>
    <font>
      <sz val="10"/>
      <color theme="9" tint="-0.249977111117893"/>
      <name val="Calibri"/>
      <family val="2"/>
      <scheme val="minor"/>
    </font>
    <font>
      <sz val="11"/>
      <color theme="9" tint="-0.249977111117893"/>
      <name val="Calibri"/>
      <family val="2"/>
      <scheme val="minor"/>
    </font>
    <font>
      <sz val="11"/>
      <color rgb="FF00B050"/>
      <name val="Calibri"/>
      <family val="2"/>
      <scheme val="minor"/>
    </font>
    <font>
      <sz val="11"/>
      <color rgb="FF0070C0"/>
      <name val="Calibri"/>
      <family val="2"/>
      <scheme val="minor"/>
    </font>
    <font>
      <sz val="11"/>
      <color rgb="FF7030A0"/>
      <name val="Calibri"/>
      <family val="2"/>
      <scheme val="minor"/>
    </font>
    <font>
      <sz val="8"/>
      <color theme="1"/>
      <name val="Calibri"/>
      <family val="2"/>
      <scheme val="minor"/>
    </font>
    <font>
      <b/>
      <sz val="16"/>
      <color theme="4" tint="0.79998168889431442"/>
      <name val="Calibri"/>
      <family val="2"/>
      <scheme val="minor"/>
    </font>
    <font>
      <i/>
      <sz val="11"/>
      <color theme="9" tint="-0.249977111117893"/>
      <name val="Calibri"/>
      <family val="2"/>
      <scheme val="minor"/>
    </font>
    <font>
      <b/>
      <i/>
      <sz val="10"/>
      <color theme="1"/>
      <name val="Calibri"/>
      <family val="2"/>
      <scheme val="minor"/>
    </font>
    <font>
      <i/>
      <sz val="10"/>
      <name val="Calibri"/>
      <family val="2"/>
      <scheme val="minor"/>
    </font>
    <font>
      <b/>
      <sz val="11"/>
      <color theme="4" tint="0.79998168889431442"/>
      <name val="Calibri"/>
      <family val="2"/>
      <scheme val="minor"/>
    </font>
    <font>
      <i/>
      <sz val="11"/>
      <color rgb="FF0070C0"/>
      <name val="Calibri"/>
      <family val="2"/>
      <scheme val="minor"/>
    </font>
    <font>
      <sz val="11"/>
      <color theme="9" tint="-0.499984740745262"/>
      <name val="Calibri"/>
      <family val="2"/>
      <scheme val="minor"/>
    </font>
    <font>
      <b/>
      <i/>
      <sz val="11"/>
      <color rgb="FF0070C0"/>
      <name val="Calibri"/>
      <family val="2"/>
      <scheme val="minor"/>
    </font>
    <font>
      <b/>
      <i/>
      <sz val="11"/>
      <color theme="9" tint="-0.249977111117893"/>
      <name val="Calibri"/>
      <family val="2"/>
      <scheme val="minor"/>
    </font>
    <font>
      <sz val="11"/>
      <color theme="5" tint="-0.499984740745262"/>
      <name val="Calibri"/>
      <family val="2"/>
      <scheme val="minor"/>
    </font>
    <font>
      <b/>
      <sz val="11"/>
      <color theme="7" tint="0.79998168889431442"/>
      <name val="Calibri"/>
      <family val="2"/>
      <scheme val="minor"/>
    </font>
    <font>
      <sz val="10"/>
      <color theme="7" tint="0.79998168889431442"/>
      <name val="Calibri"/>
      <family val="2"/>
      <scheme val="minor"/>
    </font>
    <font>
      <i/>
      <sz val="10"/>
      <color theme="7" tint="0.79998168889431442"/>
      <name val="Calibri"/>
      <family val="2"/>
      <scheme val="minor"/>
    </font>
    <font>
      <b/>
      <sz val="11"/>
      <color theme="7" tint="-0.499984740745262"/>
      <name val="Calibri"/>
      <family val="2"/>
      <scheme val="minor"/>
    </font>
    <font>
      <b/>
      <sz val="16"/>
      <color rgb="FF7030A0"/>
      <name val="Calibri"/>
      <family val="2"/>
      <scheme val="minor"/>
    </font>
    <font>
      <sz val="12"/>
      <color theme="1"/>
      <name val="Symbol"/>
      <family val="1"/>
      <charset val="2"/>
    </font>
    <font>
      <b/>
      <sz val="20"/>
      <color rgb="FF0070C0"/>
      <name val="Calibri"/>
      <family val="2"/>
      <scheme val="minor"/>
    </font>
    <font>
      <i/>
      <sz val="11"/>
      <color theme="1"/>
      <name val="Calibri"/>
      <family val="2"/>
      <scheme val="minor"/>
    </font>
    <font>
      <i/>
      <sz val="11"/>
      <color theme="4" tint="-0.249977111117893"/>
      <name val="Calibri"/>
      <family val="2"/>
      <scheme val="minor"/>
    </font>
    <font>
      <sz val="11"/>
      <color theme="0"/>
      <name val="Calibri"/>
      <family val="2"/>
      <scheme val="minor"/>
    </font>
    <font>
      <b/>
      <sz val="11"/>
      <color theme="0"/>
      <name val="Calibri"/>
      <family val="2"/>
      <scheme val="minor"/>
    </font>
    <font>
      <b/>
      <sz val="12"/>
      <color theme="5" tint="-0.249977111117893"/>
      <name val="Calibri"/>
      <family val="2"/>
      <scheme val="minor"/>
    </font>
    <font>
      <b/>
      <sz val="12"/>
      <color theme="4" tint="-0.249977111117893"/>
      <name val="Calibri"/>
      <family val="2"/>
      <scheme val="minor"/>
    </font>
    <font>
      <b/>
      <sz val="11"/>
      <color theme="5" tint="-0.249977111117893"/>
      <name val="Calibri"/>
      <family val="2"/>
      <scheme val="minor"/>
    </font>
    <font>
      <b/>
      <sz val="11"/>
      <color theme="4" tint="-0.249977111117893"/>
      <name val="Calibri"/>
      <family val="2"/>
      <scheme val="minor"/>
    </font>
    <font>
      <sz val="12"/>
      <color theme="1"/>
      <name val="Calibri"/>
      <family val="2"/>
      <scheme val="minor"/>
    </font>
    <font>
      <sz val="11"/>
      <color theme="4" tint="0.39997558519241921"/>
      <name val="Calibri"/>
      <family val="2"/>
      <scheme val="minor"/>
    </font>
    <font>
      <b/>
      <i/>
      <sz val="11"/>
      <color theme="8" tint="-0.249977111117893"/>
      <name val="Calibri"/>
      <family val="2"/>
      <scheme val="minor"/>
    </font>
    <font>
      <b/>
      <i/>
      <sz val="11"/>
      <color theme="9" tint="-0.499984740745262"/>
      <name val="Calibri"/>
      <family val="2"/>
      <scheme val="minor"/>
    </font>
    <font>
      <i/>
      <sz val="11"/>
      <color theme="8" tint="-0.249977111117893"/>
      <name val="Calibri"/>
      <family val="2"/>
      <scheme val="minor"/>
    </font>
    <font>
      <i/>
      <sz val="11"/>
      <color theme="9" tint="-0.499984740745262"/>
      <name val="Calibri"/>
      <family val="2"/>
      <scheme val="minor"/>
    </font>
    <font>
      <sz val="11"/>
      <color theme="8" tint="-0.249977111117893"/>
      <name val="Calibri"/>
      <family val="2"/>
      <scheme val="minor"/>
    </font>
    <font>
      <i/>
      <sz val="11"/>
      <color theme="8" tint="-0.249977111117893"/>
      <name val="Symbol"/>
      <family val="1"/>
      <charset val="2"/>
    </font>
    <font>
      <b/>
      <i/>
      <sz val="16"/>
      <color theme="4" tint="0.79998168889431442"/>
      <name val="Calibri"/>
      <family val="2"/>
      <scheme val="minor"/>
    </font>
    <font>
      <i/>
      <sz val="10"/>
      <color theme="9" tint="-0.249977111117893"/>
      <name val="Calibri"/>
      <family val="2"/>
      <scheme val="minor"/>
    </font>
    <font>
      <sz val="11"/>
      <color theme="2" tint="-0.499984740745262"/>
      <name val="Calibri"/>
      <family val="2"/>
      <scheme val="minor"/>
    </font>
    <font>
      <sz val="11"/>
      <color rgb="FF9C6500"/>
      <name val="Calibri"/>
      <family val="2"/>
      <scheme val="minor"/>
    </font>
    <font>
      <sz val="14"/>
      <color rgb="FF9C6500"/>
      <name val="Calibri"/>
      <family val="2"/>
      <scheme val="minor"/>
    </font>
    <font>
      <sz val="11"/>
      <color theme="4"/>
      <name val="Calibri"/>
      <family val="2"/>
      <scheme val="minor"/>
    </font>
    <font>
      <b/>
      <sz val="11"/>
      <name val="Calibri"/>
      <family val="2"/>
      <scheme val="minor"/>
    </font>
    <font>
      <b/>
      <sz val="12"/>
      <color theme="9" tint="-0.499984740745262"/>
      <name val="Calibri"/>
      <family val="2"/>
      <scheme val="minor"/>
    </font>
    <font>
      <b/>
      <sz val="12"/>
      <color theme="1"/>
      <name val="Calibri"/>
      <family val="2"/>
      <scheme val="minor"/>
    </font>
    <font>
      <sz val="12"/>
      <color theme="5" tint="-0.249977111117893"/>
      <name val="Calibri"/>
      <family val="2"/>
      <scheme val="minor"/>
    </font>
    <font>
      <sz val="11"/>
      <color theme="5" tint="-0.249977111117893"/>
      <name val="Calibri"/>
      <family val="2"/>
      <scheme val="minor"/>
    </font>
    <font>
      <sz val="12"/>
      <color theme="5" tint="-0.249977111117893"/>
      <name val="Symbol"/>
      <family val="1"/>
      <charset val="2"/>
    </font>
    <font>
      <sz val="12"/>
      <color theme="7" tint="-0.499984740745262"/>
      <name val="Calibri"/>
      <family val="2"/>
      <scheme val="minor"/>
    </font>
    <font>
      <sz val="12"/>
      <color theme="4" tint="-0.249977111117893"/>
      <name val="Calibri"/>
      <family val="2"/>
      <scheme val="minor"/>
    </font>
    <font>
      <sz val="12"/>
      <color theme="9" tint="-0.499984740745262"/>
      <name val="Calibri"/>
      <family val="2"/>
      <scheme val="minor"/>
    </font>
    <font>
      <b/>
      <sz val="11"/>
      <color theme="5" tint="-0.499984740745262"/>
      <name val="Calibri"/>
      <family val="2"/>
      <scheme val="minor"/>
    </font>
    <font>
      <i/>
      <sz val="11"/>
      <color theme="5" tint="-0.499984740745262"/>
      <name val="Calibri"/>
      <family val="2"/>
      <scheme val="minor"/>
    </font>
    <font>
      <b/>
      <i/>
      <sz val="11"/>
      <color theme="5" tint="-0.499984740745262"/>
      <name val="Calibri"/>
      <family val="2"/>
      <scheme val="minor"/>
    </font>
    <font>
      <b/>
      <sz val="11"/>
      <color theme="9" tint="-0.249977111117893"/>
      <name val="Calibri"/>
      <family val="2"/>
      <scheme val="minor"/>
    </font>
    <font>
      <b/>
      <sz val="16"/>
      <color theme="9" tint="-0.249977111117893"/>
      <name val="Calibri"/>
      <family val="2"/>
      <scheme val="minor"/>
    </font>
    <font>
      <sz val="11"/>
      <color theme="0" tint="-0.249977111117893"/>
      <name val="Calibri"/>
      <family val="2"/>
      <scheme val="minor"/>
    </font>
    <font>
      <i/>
      <sz val="11"/>
      <color theme="0" tint="-0.249977111117893"/>
      <name val="Calibri"/>
      <family val="2"/>
      <scheme val="minor"/>
    </font>
    <font>
      <sz val="11"/>
      <color rgb="FF3F3F76"/>
      <name val="Calibri"/>
      <family val="2"/>
      <scheme val="minor"/>
    </font>
    <font>
      <b/>
      <sz val="11"/>
      <color rgb="FFFF0000"/>
      <name val="Calibri"/>
      <family val="2"/>
      <scheme val="minor"/>
    </font>
    <font>
      <i/>
      <sz val="11"/>
      <color theme="4" tint="-0.499984740745262"/>
      <name val="Calibri"/>
      <family val="2"/>
      <scheme val="minor"/>
    </font>
    <font>
      <i/>
      <sz val="11"/>
      <color theme="4" tint="-0.499984740745262"/>
      <name val="Symbol"/>
      <family val="1"/>
      <charset val="2"/>
    </font>
    <font>
      <i/>
      <sz val="11"/>
      <color theme="4" tint="-0.499984740745262"/>
      <name val="Calibri"/>
      <family val="1"/>
      <charset val="2"/>
      <scheme val="minor"/>
    </font>
    <font>
      <sz val="11"/>
      <color rgb="FF006100"/>
      <name val="Calibri"/>
      <family val="2"/>
      <scheme val="minor"/>
    </font>
    <font>
      <b/>
      <sz val="11"/>
      <color rgb="FF0070C0"/>
      <name val="Calibri"/>
      <family val="2"/>
      <scheme val="minor"/>
    </font>
    <font>
      <sz val="11"/>
      <color theme="8" tint="0.39997558519241921"/>
      <name val="Calibri"/>
      <family val="2"/>
      <scheme val="minor"/>
    </font>
    <font>
      <sz val="11"/>
      <color theme="7" tint="-0.499984740745262"/>
      <name val="Calibri"/>
      <family val="2"/>
      <scheme val="minor"/>
    </font>
    <font>
      <sz val="11"/>
      <color theme="1" tint="0.249977111117893"/>
      <name val="Calibri"/>
      <family val="2"/>
      <scheme val="minor"/>
    </font>
    <font>
      <sz val="16"/>
      <color theme="7" tint="-0.499984740745262"/>
      <name val="Calibri"/>
      <family val="2"/>
      <scheme val="minor"/>
    </font>
    <font>
      <sz val="10"/>
      <name val="Arial"/>
      <family val="2"/>
    </font>
    <font>
      <sz val="10"/>
      <name val="Symbol"/>
      <family val="1"/>
      <charset val="2"/>
    </font>
    <font>
      <sz val="11"/>
      <color rgb="FF9C0006"/>
      <name val="Calibri"/>
      <family val="2"/>
      <scheme val="minor"/>
    </font>
    <font>
      <sz val="11"/>
      <color theme="7"/>
      <name val="Calibri"/>
      <family val="2"/>
      <scheme val="minor"/>
    </font>
    <font>
      <b/>
      <sz val="16"/>
      <color theme="7" tint="-0.249977111117893"/>
      <name val="Calibri"/>
      <family val="2"/>
      <scheme val="minor"/>
    </font>
    <font>
      <b/>
      <sz val="11"/>
      <color rgb="FF00B050"/>
      <name val="Calibri"/>
      <family val="2"/>
      <scheme val="minor"/>
    </font>
    <font>
      <sz val="12"/>
      <name val="Symbol"/>
      <family val="1"/>
      <charset val="2"/>
    </font>
    <font>
      <sz val="11"/>
      <color theme="1"/>
      <name val="Symbol"/>
      <family val="1"/>
      <charset val="2"/>
    </font>
    <font>
      <sz val="11"/>
      <color theme="4" tint="0.59999389629810485"/>
      <name val="Calibri"/>
      <family val="2"/>
      <scheme val="minor"/>
    </font>
    <font>
      <sz val="11"/>
      <color theme="2" tint="-9.9978637043366805E-2"/>
      <name val="Calibri"/>
      <family val="2"/>
      <scheme val="minor"/>
    </font>
    <font>
      <i/>
      <sz val="11"/>
      <color theme="2" tint="-9.9978637043366805E-2"/>
      <name val="Calibri"/>
      <family val="2"/>
      <scheme val="minor"/>
    </font>
    <font>
      <b/>
      <sz val="11"/>
      <color theme="2" tint="-9.9978637043366805E-2"/>
      <name val="Calibri"/>
      <family val="2"/>
      <scheme val="minor"/>
    </font>
    <font>
      <b/>
      <sz val="11"/>
      <color theme="2" tint="-0.499984740745262"/>
      <name val="Calibri"/>
      <family val="2"/>
      <scheme val="minor"/>
    </font>
    <font>
      <b/>
      <sz val="11"/>
      <color theme="9" tint="-0.499984740745262"/>
      <name val="Calibri"/>
      <family val="2"/>
      <scheme val="minor"/>
    </font>
    <font>
      <sz val="4"/>
      <color theme="2" tint="-9.9978637043366805E-2"/>
      <name val="Calibri"/>
      <family val="2"/>
      <scheme val="minor"/>
    </font>
    <font>
      <i/>
      <sz val="11"/>
      <name val="Calibri"/>
      <family val="2"/>
      <scheme val="minor"/>
    </font>
    <font>
      <sz val="11"/>
      <color theme="2" tint="-0.249977111117893"/>
      <name val="Calibri"/>
      <family val="2"/>
      <scheme val="minor"/>
    </font>
    <font>
      <sz val="10"/>
      <color theme="4" tint="-0.249977111117893"/>
      <name val="Arial"/>
      <family val="2"/>
    </font>
    <font>
      <b/>
      <sz val="10"/>
      <color theme="4" tint="-0.249977111117893"/>
      <name val="Arial"/>
      <family val="2"/>
    </font>
    <font>
      <sz val="9"/>
      <color indexed="81"/>
      <name val="Tahoma"/>
      <family val="2"/>
    </font>
    <font>
      <b/>
      <sz val="9"/>
      <color indexed="81"/>
      <name val="Tahoma"/>
      <family val="2"/>
    </font>
    <font>
      <sz val="11"/>
      <name val="Calibri"/>
      <family val="1"/>
      <charset val="2"/>
      <scheme val="minor"/>
    </font>
    <font>
      <b/>
      <sz val="14"/>
      <color rgb="FFFF0000"/>
      <name val="Calibri"/>
      <family val="2"/>
      <scheme val="minor"/>
    </font>
    <font>
      <b/>
      <sz val="14"/>
      <color theme="1"/>
      <name val="Calibri"/>
      <family val="2"/>
      <scheme val="minor"/>
    </font>
    <font>
      <sz val="14"/>
      <color rgb="FFFF0000"/>
      <name val="Calibri"/>
      <family val="2"/>
      <scheme val="minor"/>
    </font>
    <font>
      <sz val="14"/>
      <color theme="1"/>
      <name val="Calibri"/>
      <family val="2"/>
      <scheme val="minor"/>
    </font>
    <font>
      <sz val="14"/>
      <color rgb="FF0000FF"/>
      <name val="Calibri"/>
      <family val="2"/>
      <scheme val="minor"/>
    </font>
    <font>
      <sz val="20"/>
      <color theme="9"/>
      <name val="Calibri"/>
      <family val="2"/>
      <scheme val="minor"/>
    </font>
    <font>
      <i/>
      <sz val="11"/>
      <color theme="4" tint="0.59999389629810485"/>
      <name val="Calibri"/>
      <family val="2"/>
      <scheme val="minor"/>
    </font>
    <font>
      <b/>
      <sz val="11"/>
      <color theme="4" tint="0.39997558519241921"/>
      <name val="Calibri"/>
      <family val="2"/>
      <scheme val="minor"/>
    </font>
    <font>
      <sz val="11"/>
      <color theme="4" tint="-0.499984740745262"/>
      <name val="Calibri"/>
      <family val="2"/>
      <scheme val="minor"/>
    </font>
    <font>
      <sz val="11"/>
      <color theme="4" tint="-0.249977111117893"/>
      <name val="Calibri"/>
      <family val="2"/>
      <scheme val="minor"/>
    </font>
    <font>
      <sz val="11"/>
      <color rgb="FF00B0F0"/>
      <name val="Calibri"/>
      <family val="2"/>
      <scheme val="minor"/>
    </font>
    <font>
      <b/>
      <sz val="18"/>
      <color rgb="FF9C6500"/>
      <name val="Calibri"/>
      <family val="2"/>
      <scheme val="minor"/>
    </font>
    <font>
      <b/>
      <sz val="16"/>
      <color theme="1"/>
      <name val="Calibri"/>
      <family val="2"/>
      <scheme val="minor"/>
    </font>
    <font>
      <b/>
      <sz val="18"/>
      <color theme="1"/>
      <name val="Calibri"/>
      <family val="2"/>
      <scheme val="minor"/>
    </font>
    <font>
      <sz val="14"/>
      <color theme="4" tint="-0.249977111117893"/>
      <name val="Calibri"/>
      <family val="2"/>
      <scheme val="minor"/>
    </font>
    <font>
      <i/>
      <sz val="10"/>
      <color theme="5" tint="-0.499984740745262"/>
      <name val="Calibri"/>
      <family val="2"/>
      <scheme val="minor"/>
    </font>
    <font>
      <sz val="26"/>
      <color theme="1"/>
      <name val="Calibri (Body)"/>
    </font>
    <font>
      <i/>
      <sz val="12"/>
      <color theme="1"/>
      <name val="Calibri"/>
      <family val="2"/>
      <scheme val="minor"/>
    </font>
    <font>
      <b/>
      <sz val="12"/>
      <color rgb="FFFF0000"/>
      <name val="Calibri"/>
      <family val="2"/>
      <scheme val="minor"/>
    </font>
    <font>
      <sz val="12"/>
      <color rgb="FFFFC000"/>
      <name val="Calibri"/>
      <family val="2"/>
      <scheme val="minor"/>
    </font>
    <font>
      <sz val="12"/>
      <color rgb="FFC00000"/>
      <name val="Calibri"/>
      <family val="2"/>
      <scheme val="minor"/>
    </font>
    <font>
      <b/>
      <sz val="11"/>
      <color theme="8" tint="-0.249977111117893"/>
      <name val="Calibri"/>
      <family val="2"/>
      <scheme val="minor"/>
    </font>
    <font>
      <b/>
      <sz val="12"/>
      <color rgb="FF0070C0"/>
      <name val="Calibri"/>
      <family val="2"/>
      <scheme val="minor"/>
    </font>
    <font>
      <sz val="11"/>
      <color theme="1" tint="0.34998626667073579"/>
      <name val="Calibri"/>
      <family val="2"/>
      <scheme val="minor"/>
    </font>
    <font>
      <sz val="9"/>
      <color theme="1"/>
      <name val="Calibri"/>
      <family val="2"/>
      <scheme val="minor"/>
    </font>
    <font>
      <sz val="11"/>
      <color theme="2"/>
      <name val="Calibri"/>
      <family val="2"/>
      <scheme val="minor"/>
    </font>
  </fonts>
  <fills count="41">
    <fill>
      <patternFill patternType="none"/>
    </fill>
    <fill>
      <patternFill patternType="gray125"/>
    </fill>
    <fill>
      <patternFill patternType="solid">
        <fgColor rgb="FFF2F2F2"/>
      </patternFill>
    </fill>
    <fill>
      <patternFill patternType="solid">
        <fgColor rgb="FFFFFFCC"/>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EB9C"/>
      </patternFill>
    </fill>
    <fill>
      <patternFill patternType="solid">
        <fgColor rgb="FFFFCC99"/>
      </patternFill>
    </fill>
    <fill>
      <patternFill patternType="solid">
        <fgColor rgb="FFC6EFCE"/>
      </patternFill>
    </fill>
    <fill>
      <patternFill patternType="solid">
        <fgColor rgb="FFFFFFCC"/>
        <bgColor indexed="64"/>
      </patternFill>
    </fill>
    <fill>
      <patternFill patternType="solid">
        <fgColor indexed="9"/>
        <bgColor indexed="64"/>
      </patternFill>
    </fill>
    <fill>
      <patternFill patternType="solid">
        <fgColor rgb="FFFFC7CE"/>
      </patternFill>
    </fill>
    <fill>
      <patternFill patternType="solid">
        <fgColor theme="9" tint="0.79998168889431442"/>
        <bgColor indexed="64"/>
      </patternFill>
    </fill>
    <fill>
      <patternFill patternType="solid">
        <fgColor theme="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D5FFD5"/>
        <bgColor indexed="64"/>
      </patternFill>
    </fill>
    <fill>
      <patternFill patternType="solid">
        <fgColor theme="8"/>
      </patternFill>
    </fill>
    <fill>
      <patternFill patternType="solid">
        <fgColor theme="7"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5"/>
      </patternFill>
    </fill>
    <fill>
      <patternFill patternType="solid">
        <fgColor theme="7" tint="-0.249977111117893"/>
        <bgColor indexed="64"/>
      </patternFill>
    </fill>
    <fill>
      <patternFill patternType="solid">
        <fgColor theme="0" tint="-4.9989318521683403E-2"/>
        <bgColor indexed="64"/>
      </patternFill>
    </fill>
    <fill>
      <patternFill patternType="solid">
        <fgColor theme="6" tint="-0.499984740745262"/>
        <bgColor indexed="64"/>
      </patternFill>
    </fill>
    <fill>
      <patternFill patternType="solid">
        <fgColor rgb="FFFFC000"/>
        <bgColor indexed="64"/>
      </patternFill>
    </fill>
    <fill>
      <patternFill patternType="solid">
        <fgColor theme="9" tint="0.39997558519241921"/>
        <bgColor indexed="64"/>
      </patternFill>
    </fill>
    <fill>
      <patternFill patternType="solid">
        <fgColor theme="9"/>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64"/>
      </left>
      <right style="thin">
        <color indexed="64"/>
      </right>
      <top/>
      <bottom/>
      <diagonal/>
    </border>
    <border>
      <left style="thin">
        <color auto="1"/>
      </left>
      <right style="thin">
        <color auto="1"/>
      </right>
      <top style="thin">
        <color auto="1"/>
      </top>
      <bottom style="double">
        <color indexed="64"/>
      </bottom>
      <diagonal/>
    </border>
  </borders>
  <cellStyleXfs count="17">
    <xf numFmtId="0" fontId="0" fillId="0" borderId="0"/>
    <xf numFmtId="9" fontId="1" fillId="0" borderId="0" applyFont="0" applyFill="0" applyBorder="0" applyAlignment="0" applyProtection="0"/>
    <xf numFmtId="0" fontId="2" fillId="2" borderId="1" applyNumberFormat="0" applyAlignment="0" applyProtection="0"/>
    <xf numFmtId="0" fontId="1" fillId="3" borderId="2" applyNumberFormat="0" applyFont="0" applyAlignment="0" applyProtection="0"/>
    <xf numFmtId="43" fontId="1" fillId="0" borderId="0" applyFont="0" applyFill="0" applyBorder="0" applyAlignment="0" applyProtection="0"/>
    <xf numFmtId="0" fontId="41" fillId="0" borderId="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52" fillId="16" borderId="0" applyNumberFormat="0" applyBorder="0" applyAlignment="0" applyProtection="0"/>
    <xf numFmtId="0" fontId="71" fillId="17" borderId="1" applyNumberFormat="0" applyAlignment="0" applyProtection="0"/>
    <xf numFmtId="0" fontId="76" fillId="18" borderId="0" applyNumberFormat="0" applyBorder="0" applyAlignment="0" applyProtection="0"/>
    <xf numFmtId="0" fontId="82" fillId="0" borderId="0"/>
    <xf numFmtId="0" fontId="84" fillId="21" borderId="0" applyNumberFormat="0" applyBorder="0" applyAlignment="0" applyProtection="0"/>
    <xf numFmtId="0" fontId="35" fillId="23" borderId="0" applyNumberFormat="0" applyBorder="0" applyAlignment="0" applyProtection="0"/>
    <xf numFmtId="0" fontId="35" fillId="27" borderId="0" applyNumberFormat="0" applyBorder="0" applyAlignment="0" applyProtection="0"/>
    <xf numFmtId="0" fontId="35" fillId="34" borderId="0" applyNumberFormat="0" applyBorder="0" applyAlignment="0" applyProtection="0"/>
  </cellStyleXfs>
  <cellXfs count="847">
    <xf numFmtId="0" fontId="0" fillId="0" borderId="0" xfId="0"/>
    <xf numFmtId="0" fontId="5" fillId="0" borderId="0" xfId="0" applyFont="1" applyAlignment="1">
      <alignment vertical="center"/>
    </xf>
    <xf numFmtId="0" fontId="6" fillId="0" borderId="0" xfId="0" applyFont="1" applyFill="1" applyBorder="1" applyAlignment="1">
      <alignment horizontal="left" vertical="center"/>
    </xf>
    <xf numFmtId="0" fontId="5" fillId="4" borderId="0" xfId="0" applyFont="1" applyFill="1" applyAlignment="1">
      <alignment horizontal="center" vertical="center"/>
    </xf>
    <xf numFmtId="0" fontId="5" fillId="0" borderId="0" xfId="0" applyFont="1" applyAlignment="1">
      <alignment horizontal="center" vertical="center"/>
    </xf>
    <xf numFmtId="2" fontId="7" fillId="0" borderId="11" xfId="0" applyNumberFormat="1" applyFont="1" applyBorder="1" applyAlignment="1">
      <alignment horizontal="center" vertical="center"/>
    </xf>
    <xf numFmtId="11" fontId="7" fillId="0" borderId="11" xfId="0" applyNumberFormat="1" applyFont="1" applyBorder="1" applyAlignment="1">
      <alignment horizontal="center" vertical="center"/>
    </xf>
    <xf numFmtId="164" fontId="7"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11" fontId="8" fillId="0" borderId="11" xfId="0" applyNumberFormat="1" applyFont="1" applyBorder="1" applyAlignment="1">
      <alignment horizontal="center" vertical="center"/>
    </xf>
    <xf numFmtId="164" fontId="8" fillId="0" borderId="11" xfId="0" applyNumberFormat="1" applyFont="1" applyBorder="1" applyAlignment="1">
      <alignment horizontal="center" vertical="center"/>
    </xf>
    <xf numFmtId="2" fontId="8" fillId="0" borderId="11" xfId="0" applyNumberFormat="1" applyFont="1" applyFill="1" applyBorder="1" applyAlignment="1">
      <alignment horizontal="center" vertical="center"/>
    </xf>
    <xf numFmtId="2" fontId="9" fillId="0" borderId="11" xfId="0" applyNumberFormat="1" applyFont="1" applyBorder="1" applyAlignment="1">
      <alignment horizontal="center" vertical="center"/>
    </xf>
    <xf numFmtId="11" fontId="9" fillId="0" borderId="11" xfId="0" applyNumberFormat="1" applyFont="1" applyBorder="1" applyAlignment="1">
      <alignment horizontal="center" vertical="center"/>
    </xf>
    <xf numFmtId="164" fontId="9" fillId="0" borderId="11" xfId="0" applyNumberFormat="1" applyFont="1" applyBorder="1" applyAlignment="1">
      <alignment horizontal="center" vertical="center"/>
    </xf>
    <xf numFmtId="2" fontId="10" fillId="0" borderId="11" xfId="0" applyNumberFormat="1" applyFont="1" applyBorder="1" applyAlignment="1">
      <alignment horizontal="center" vertical="center"/>
    </xf>
    <xf numFmtId="11" fontId="11" fillId="0" borderId="11" xfId="0" applyNumberFormat="1" applyFont="1" applyBorder="1" applyAlignment="1">
      <alignment horizontal="center" vertical="center"/>
    </xf>
    <xf numFmtId="11" fontId="10" fillId="0" borderId="11" xfId="0" applyNumberFormat="1" applyFont="1" applyBorder="1" applyAlignment="1">
      <alignment horizontal="center" vertical="center"/>
    </xf>
    <xf numFmtId="164" fontId="10" fillId="0" borderId="11" xfId="0" applyNumberFormat="1" applyFont="1" applyBorder="1" applyAlignment="1">
      <alignment horizontal="center" vertical="center"/>
    </xf>
    <xf numFmtId="2" fontId="3" fillId="0" borderId="11" xfId="0" applyNumberFormat="1" applyFont="1" applyFill="1" applyBorder="1" applyAlignment="1">
      <alignment horizontal="center" vertical="center"/>
    </xf>
    <xf numFmtId="11" fontId="3" fillId="0" borderId="11" xfId="0" applyNumberFormat="1" applyFont="1" applyBorder="1" applyAlignment="1">
      <alignment horizontal="center" vertical="center"/>
    </xf>
    <xf numFmtId="164" fontId="3" fillId="0" borderId="11" xfId="0" applyNumberFormat="1" applyFont="1" applyBorder="1" applyAlignment="1">
      <alignment horizontal="center" vertical="center"/>
    </xf>
    <xf numFmtId="2" fontId="3" fillId="0" borderId="11" xfId="0" applyNumberFormat="1" applyFont="1" applyBorder="1" applyAlignment="1">
      <alignment horizontal="center" vertical="center"/>
    </xf>
    <xf numFmtId="2" fontId="12" fillId="0" borderId="11" xfId="0" applyNumberFormat="1" applyFont="1" applyBorder="1" applyAlignment="1">
      <alignment horizontal="center" vertical="center"/>
    </xf>
    <xf numFmtId="11" fontId="12" fillId="0" borderId="11" xfId="0" applyNumberFormat="1" applyFont="1" applyBorder="1" applyAlignment="1">
      <alignment horizontal="center" vertical="center"/>
    </xf>
    <xf numFmtId="164" fontId="12" fillId="0" borderId="11" xfId="0" applyNumberFormat="1" applyFont="1" applyBorder="1" applyAlignment="1">
      <alignment horizontal="center" vertical="center"/>
    </xf>
    <xf numFmtId="2" fontId="13" fillId="0" borderId="11" xfId="0" applyNumberFormat="1" applyFont="1" applyBorder="1" applyAlignment="1">
      <alignment horizontal="center" vertical="center"/>
    </xf>
    <xf numFmtId="11" fontId="13" fillId="0" borderId="11" xfId="0" applyNumberFormat="1" applyFont="1" applyBorder="1" applyAlignment="1">
      <alignment horizontal="center" vertical="center"/>
    </xf>
    <xf numFmtId="164" fontId="13" fillId="0" borderId="11" xfId="0" applyNumberFormat="1" applyFont="1" applyBorder="1" applyAlignment="1">
      <alignment horizontal="center" vertical="center"/>
    </xf>
    <xf numFmtId="2" fontId="14" fillId="0" borderId="11" xfId="0" applyNumberFormat="1" applyFont="1" applyBorder="1" applyAlignment="1">
      <alignment horizontal="center" vertical="center"/>
    </xf>
    <xf numFmtId="11" fontId="14" fillId="0" borderId="11" xfId="0" applyNumberFormat="1" applyFont="1" applyBorder="1" applyAlignment="1">
      <alignment horizontal="center" vertical="center"/>
    </xf>
    <xf numFmtId="164" fontId="14" fillId="0" borderId="11" xfId="0" applyNumberFormat="1" applyFont="1" applyBorder="1" applyAlignment="1">
      <alignment horizontal="center" vertical="center"/>
    </xf>
    <xf numFmtId="0" fontId="5" fillId="5" borderId="11"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5" fillId="4" borderId="0" xfId="0" applyFont="1" applyFill="1" applyAlignment="1">
      <alignment vertical="center"/>
    </xf>
    <xf numFmtId="0" fontId="16" fillId="6" borderId="0" xfId="0" applyFont="1" applyFill="1" applyAlignment="1">
      <alignment vertical="center"/>
    </xf>
    <xf numFmtId="0" fontId="0" fillId="0" borderId="0" xfId="0" applyAlignment="1">
      <alignment vertical="center"/>
    </xf>
    <xf numFmtId="0" fontId="14" fillId="0" borderId="11" xfId="0" applyFont="1" applyBorder="1" applyAlignment="1">
      <alignment horizontal="center" vertical="center"/>
    </xf>
    <xf numFmtId="0" fontId="13" fillId="0" borderId="11" xfId="0" applyFont="1" applyBorder="1" applyAlignment="1">
      <alignment horizontal="center" vertical="center"/>
    </xf>
    <xf numFmtId="0" fontId="12" fillId="0" borderId="11" xfId="0" applyFont="1" applyBorder="1" applyAlignment="1">
      <alignment horizontal="center" vertical="center"/>
    </xf>
    <xf numFmtId="0" fontId="3" fillId="0" borderId="11" xfId="0" applyFont="1" applyBorder="1" applyAlignment="1">
      <alignment horizontal="center" vertical="center"/>
    </xf>
    <xf numFmtId="0" fontId="10" fillId="0" borderId="11" xfId="0" applyFont="1" applyBorder="1" applyAlignment="1">
      <alignment horizontal="center" vertical="center"/>
    </xf>
    <xf numFmtId="0" fontId="9" fillId="0" borderId="11" xfId="0" applyFont="1" applyBorder="1" applyAlignment="1">
      <alignment horizontal="center" vertical="center"/>
    </xf>
    <xf numFmtId="0" fontId="8" fillId="0" borderId="11" xfId="0" applyFont="1" applyBorder="1" applyAlignment="1">
      <alignment horizontal="center" vertical="center"/>
    </xf>
    <xf numFmtId="0" fontId="7" fillId="0" borderId="11" xfId="0" applyFont="1" applyBorder="1" applyAlignment="1">
      <alignment horizontal="center" vertical="center"/>
    </xf>
    <xf numFmtId="15" fontId="5" fillId="0" borderId="0" xfId="0" applyNumberFormat="1" applyFont="1" applyAlignment="1">
      <alignment horizontal="left" vertical="center"/>
    </xf>
    <xf numFmtId="0" fontId="5" fillId="0" borderId="0" xfId="0" applyFont="1" applyAlignment="1">
      <alignment horizontal="left" vertical="center"/>
    </xf>
    <xf numFmtId="0" fontId="5" fillId="0" borderId="10" xfId="0" applyFont="1" applyBorder="1" applyAlignment="1">
      <alignment vertical="center"/>
    </xf>
    <xf numFmtId="0" fontId="5" fillId="0" borderId="9" xfId="0" applyFont="1" applyBorder="1" applyAlignment="1">
      <alignment vertical="center"/>
    </xf>
    <xf numFmtId="0" fontId="5" fillId="0" borderId="8" xfId="0" applyFont="1" applyBorder="1" applyAlignment="1">
      <alignment vertical="center"/>
    </xf>
    <xf numFmtId="0" fontId="4" fillId="0" borderId="0" xfId="0" applyFont="1" applyAlignment="1">
      <alignment vertical="center"/>
    </xf>
    <xf numFmtId="0" fontId="5" fillId="0" borderId="7" xfId="0" applyFont="1" applyBorder="1" applyAlignment="1">
      <alignment vertical="center"/>
    </xf>
    <xf numFmtId="0" fontId="5" fillId="0" borderId="0" xfId="0" applyFont="1" applyBorder="1" applyAlignment="1">
      <alignment vertical="center"/>
    </xf>
    <xf numFmtId="0" fontId="5" fillId="0" borderId="6" xfId="0" applyFont="1" applyBorder="1" applyAlignment="1">
      <alignment vertical="center"/>
    </xf>
    <xf numFmtId="0" fontId="17" fillId="0" borderId="0" xfId="0" applyFont="1" applyFill="1" applyBorder="1" applyAlignment="1">
      <alignment vertical="center"/>
    </xf>
    <xf numFmtId="0" fontId="5" fillId="0" borderId="5" xfId="0" applyFont="1" applyBorder="1" applyAlignment="1">
      <alignment vertical="center"/>
    </xf>
    <xf numFmtId="0" fontId="5" fillId="0" borderId="4" xfId="0" applyFont="1" applyBorder="1" applyAlignment="1">
      <alignment vertical="center"/>
    </xf>
    <xf numFmtId="11" fontId="5" fillId="0" borderId="4" xfId="0" applyNumberFormat="1" applyFont="1" applyBorder="1" applyAlignment="1">
      <alignment vertical="center"/>
    </xf>
    <xf numFmtId="0" fontId="5" fillId="0" borderId="3" xfId="0" applyFont="1" applyBorder="1" applyAlignment="1">
      <alignment vertical="center"/>
    </xf>
    <xf numFmtId="0" fontId="4" fillId="4" borderId="0" xfId="0" applyFont="1" applyFill="1" applyAlignment="1">
      <alignment vertical="center"/>
    </xf>
    <xf numFmtId="0" fontId="11" fillId="0" borderId="0" xfId="0" applyFont="1" applyAlignment="1">
      <alignment vertical="center"/>
    </xf>
    <xf numFmtId="0" fontId="18" fillId="0" borderId="0" xfId="0" applyFont="1" applyFill="1" applyAlignment="1">
      <alignment vertical="center"/>
    </xf>
    <xf numFmtId="0" fontId="18" fillId="0" borderId="0" xfId="0" applyFont="1" applyFill="1" applyAlignment="1">
      <alignment horizontal="center" vertical="center"/>
    </xf>
    <xf numFmtId="0" fontId="19" fillId="0" borderId="0" xfId="0" applyFont="1" applyFill="1" applyAlignment="1">
      <alignment vertical="center"/>
    </xf>
    <xf numFmtId="0" fontId="10" fillId="7" borderId="0" xfId="0" applyFont="1" applyFill="1" applyAlignment="1">
      <alignment vertical="center"/>
    </xf>
    <xf numFmtId="0" fontId="17" fillId="7" borderId="0" xfId="0" applyFont="1" applyFill="1" applyBorder="1" applyAlignment="1">
      <alignment vertical="center"/>
    </xf>
    <xf numFmtId="0" fontId="11" fillId="7" borderId="0" xfId="0" applyFont="1" applyFill="1" applyAlignment="1">
      <alignment vertical="center"/>
    </xf>
    <xf numFmtId="0" fontId="0" fillId="0" borderId="0" xfId="0" applyAlignment="1">
      <alignment horizontal="center" vertical="center"/>
    </xf>
    <xf numFmtId="0" fontId="20" fillId="6" borderId="0" xfId="0" applyFont="1" applyFill="1" applyAlignment="1">
      <alignment vertical="center"/>
    </xf>
    <xf numFmtId="0" fontId="0" fillId="0" borderId="0" xfId="0" applyFont="1" applyAlignment="1">
      <alignment vertical="center"/>
    </xf>
    <xf numFmtId="0" fontId="0" fillId="0" borderId="0" xfId="0" applyFont="1" applyAlignment="1">
      <alignment horizontal="center" vertical="center"/>
    </xf>
    <xf numFmtId="0" fontId="21" fillId="0" borderId="0" xfId="0" applyFont="1" applyFill="1" applyBorder="1" applyAlignment="1">
      <alignment horizontal="left" vertical="center"/>
    </xf>
    <xf numFmtId="2" fontId="0" fillId="0" borderId="0" xfId="0" applyNumberFormat="1" applyFont="1" applyAlignment="1">
      <alignment horizontal="center" vertical="center"/>
    </xf>
    <xf numFmtId="0" fontId="0" fillId="7" borderId="0" xfId="0" applyFont="1" applyFill="1" applyAlignment="1">
      <alignment vertical="center"/>
    </xf>
    <xf numFmtId="0" fontId="22" fillId="7" borderId="0" xfId="0" applyFont="1" applyFill="1" applyAlignment="1">
      <alignment vertical="center"/>
    </xf>
    <xf numFmtId="0" fontId="23" fillId="0" borderId="0" xfId="0" applyFont="1" applyFill="1" applyBorder="1" applyAlignment="1">
      <alignment horizontal="left" vertical="center"/>
    </xf>
    <xf numFmtId="11" fontId="0" fillId="0" borderId="0" xfId="0" applyNumberFormat="1" applyFont="1" applyAlignment="1">
      <alignment horizontal="center" vertical="center"/>
    </xf>
    <xf numFmtId="0" fontId="25" fillId="0" borderId="0" xfId="0" applyFont="1" applyAlignment="1">
      <alignment vertical="center"/>
    </xf>
    <xf numFmtId="9" fontId="0" fillId="0" borderId="0" xfId="0" applyNumberFormat="1" applyFont="1" applyAlignment="1">
      <alignment vertical="center"/>
    </xf>
    <xf numFmtId="0" fontId="4" fillId="0" borderId="0" xfId="0" applyFont="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9" fontId="0" fillId="0" borderId="0" xfId="1" applyFont="1" applyFill="1" applyBorder="1" applyAlignment="1">
      <alignment vertical="center"/>
    </xf>
    <xf numFmtId="11" fontId="0" fillId="0" borderId="0" xfId="0" applyNumberFormat="1" applyFont="1" applyFill="1" applyBorder="1" applyAlignment="1">
      <alignment vertical="center"/>
    </xf>
    <xf numFmtId="164" fontId="0" fillId="0" borderId="0" xfId="2" applyNumberFormat="1" applyFont="1" applyFill="1" applyBorder="1" applyAlignment="1">
      <alignment vertical="center"/>
    </xf>
    <xf numFmtId="164" fontId="0" fillId="0" borderId="0" xfId="0" applyNumberFormat="1" applyFont="1" applyAlignment="1">
      <alignment vertical="center"/>
    </xf>
    <xf numFmtId="0" fontId="26" fillId="8" borderId="0" xfId="0" applyFont="1" applyFill="1" applyAlignment="1">
      <alignment vertical="center"/>
    </xf>
    <xf numFmtId="0" fontId="27" fillId="8" borderId="0" xfId="0" applyFont="1" applyFill="1" applyAlignment="1">
      <alignment vertical="center"/>
    </xf>
    <xf numFmtId="0" fontId="28" fillId="8" borderId="0" xfId="0" applyFont="1" applyFill="1" applyBorder="1" applyAlignment="1">
      <alignment horizontal="left" vertical="center"/>
    </xf>
    <xf numFmtId="0" fontId="30" fillId="6" borderId="0" xfId="0" applyFont="1" applyFill="1" applyAlignment="1">
      <alignment vertical="center"/>
    </xf>
    <xf numFmtId="2" fontId="14" fillId="0" borderId="0" xfId="0" applyNumberFormat="1" applyFont="1" applyAlignment="1">
      <alignment horizontal="center" vertical="center"/>
    </xf>
    <xf numFmtId="1" fontId="0" fillId="0" borderId="0" xfId="0" applyNumberFormat="1" applyFont="1" applyAlignment="1">
      <alignment horizontal="center" vertical="center"/>
    </xf>
    <xf numFmtId="0" fontId="32" fillId="0" borderId="0" xfId="0" applyFont="1" applyAlignment="1">
      <alignment vertical="center"/>
    </xf>
    <xf numFmtId="0" fontId="29" fillId="0" borderId="0" xfId="0" applyFont="1" applyAlignment="1">
      <alignment vertical="center"/>
    </xf>
    <xf numFmtId="0" fontId="4" fillId="3" borderId="10" xfId="3" applyFont="1" applyBorder="1" applyAlignment="1">
      <alignment vertical="center"/>
    </xf>
    <xf numFmtId="11" fontId="1" fillId="3" borderId="9" xfId="3" applyNumberFormat="1" applyFont="1" applyBorder="1" applyAlignment="1">
      <alignment vertical="center"/>
    </xf>
    <xf numFmtId="0" fontId="21" fillId="3" borderId="9" xfId="3" applyFont="1" applyBorder="1" applyAlignment="1">
      <alignment horizontal="left" vertical="center"/>
    </xf>
    <xf numFmtId="0" fontId="21" fillId="3" borderId="4" xfId="3" applyFont="1" applyBorder="1" applyAlignment="1">
      <alignment horizontal="left" vertical="center"/>
    </xf>
    <xf numFmtId="11" fontId="0" fillId="3" borderId="9" xfId="3" applyNumberFormat="1" applyFont="1" applyBorder="1" applyAlignment="1">
      <alignment vertical="center"/>
    </xf>
    <xf numFmtId="2" fontId="0" fillId="3" borderId="4" xfId="3" applyNumberFormat="1" applyFont="1" applyBorder="1" applyAlignment="1">
      <alignment vertical="center"/>
    </xf>
    <xf numFmtId="11" fontId="0" fillId="0" borderId="0" xfId="0" applyNumberFormat="1" applyFont="1" applyAlignment="1">
      <alignment vertical="center"/>
    </xf>
    <xf numFmtId="0" fontId="33" fillId="0" borderId="0" xfId="0" applyFont="1" applyAlignment="1">
      <alignment horizontal="right"/>
    </xf>
    <xf numFmtId="11" fontId="0" fillId="0" borderId="0" xfId="0" applyNumberFormat="1" applyAlignment="1">
      <alignment vertical="center"/>
    </xf>
    <xf numFmtId="0" fontId="34" fillId="0" borderId="0" xfId="0" applyFont="1" applyAlignment="1">
      <alignment vertical="center"/>
    </xf>
    <xf numFmtId="0" fontId="21" fillId="0" borderId="0" xfId="0" quotePrefix="1" applyFont="1" applyFill="1" applyBorder="1" applyAlignment="1">
      <alignment horizontal="left" vertical="center"/>
    </xf>
    <xf numFmtId="165" fontId="0" fillId="0" borderId="0" xfId="0" applyNumberFormat="1" applyAlignment="1">
      <alignment horizontal="center" vertical="center"/>
    </xf>
    <xf numFmtId="165" fontId="0" fillId="7" borderId="11" xfId="0" applyNumberFormat="1" applyFill="1" applyBorder="1" applyAlignment="1">
      <alignment horizontal="center" vertical="center"/>
    </xf>
    <xf numFmtId="0" fontId="0" fillId="9" borderId="11" xfId="0" applyFont="1" applyFill="1" applyBorder="1" applyAlignment="1">
      <alignment horizontal="center" vertical="center"/>
    </xf>
    <xf numFmtId="1" fontId="0" fillId="9" borderId="11" xfId="4" applyNumberFormat="1" applyFont="1" applyFill="1" applyBorder="1" applyAlignment="1">
      <alignment horizontal="center" vertical="center"/>
    </xf>
    <xf numFmtId="168" fontId="0" fillId="0" borderId="0" xfId="4" applyNumberFormat="1" applyFont="1" applyAlignment="1">
      <alignment horizontal="center" vertical="center"/>
    </xf>
    <xf numFmtId="2" fontId="0" fillId="0" borderId="0" xfId="0" applyNumberFormat="1" applyFont="1" applyAlignment="1">
      <alignment horizontal="left" vertical="center"/>
    </xf>
    <xf numFmtId="169" fontId="1" fillId="3" borderId="4" xfId="3" applyNumberFormat="1" applyFont="1" applyBorder="1" applyAlignment="1">
      <alignment vertical="center"/>
    </xf>
    <xf numFmtId="0" fontId="4" fillId="0" borderId="0" xfId="0" applyFont="1"/>
    <xf numFmtId="0" fontId="38" fillId="0" borderId="0" xfId="0" applyFont="1"/>
    <xf numFmtId="0" fontId="4" fillId="0" borderId="0" xfId="0" applyFont="1" applyAlignment="1">
      <alignment horizontal="left" vertical="center"/>
    </xf>
    <xf numFmtId="0" fontId="40" fillId="0" borderId="0" xfId="0" applyFont="1"/>
    <xf numFmtId="0" fontId="4" fillId="10" borderId="11" xfId="0" applyFont="1" applyFill="1" applyBorder="1" applyAlignment="1">
      <alignment horizontal="center" vertical="center"/>
    </xf>
    <xf numFmtId="0" fontId="4" fillId="4" borderId="11" xfId="0" applyFont="1" applyFill="1" applyBorder="1" applyAlignment="1">
      <alignment horizontal="center" vertical="center"/>
    </xf>
    <xf numFmtId="166" fontId="0" fillId="0" borderId="11" xfId="0" applyNumberFormat="1" applyBorder="1" applyAlignment="1">
      <alignment horizontal="center" vertical="center"/>
    </xf>
    <xf numFmtId="0" fontId="0" fillId="0" borderId="11" xfId="0" applyBorder="1" applyAlignment="1">
      <alignment horizontal="center" vertical="center"/>
    </xf>
    <xf numFmtId="11" fontId="0" fillId="0" borderId="11" xfId="0" applyNumberFormat="1" applyBorder="1" applyAlignment="1">
      <alignment horizontal="center" vertical="center"/>
    </xf>
    <xf numFmtId="170" fontId="0" fillId="0" borderId="11" xfId="0" applyNumberFormat="1" applyBorder="1" applyAlignment="1">
      <alignment horizontal="center" vertical="center"/>
    </xf>
    <xf numFmtId="2" fontId="0" fillId="0" borderId="11" xfId="0" applyNumberFormat="1" applyBorder="1" applyAlignment="1">
      <alignment horizontal="center" vertical="center"/>
    </xf>
    <xf numFmtId="166" fontId="0" fillId="0" borderId="0" xfId="0" applyNumberFormat="1" applyBorder="1" applyAlignment="1">
      <alignment horizontal="center" vertical="center"/>
    </xf>
    <xf numFmtId="0" fontId="0" fillId="0" borderId="0" xfId="0" applyBorder="1" applyAlignment="1">
      <alignment horizontal="center" vertical="center"/>
    </xf>
    <xf numFmtId="11" fontId="0" fillId="0" borderId="0" xfId="0" applyNumberFormat="1" applyBorder="1" applyAlignment="1">
      <alignment horizontal="center" vertical="center"/>
    </xf>
    <xf numFmtId="170" fontId="0" fillId="0" borderId="0" xfId="0" applyNumberFormat="1" applyBorder="1" applyAlignment="1">
      <alignment horizontal="center" vertical="center"/>
    </xf>
    <xf numFmtId="0" fontId="36" fillId="8" borderId="0" xfId="0" applyFont="1" applyFill="1"/>
    <xf numFmtId="0" fontId="41" fillId="0" borderId="0" xfId="5"/>
    <xf numFmtId="0" fontId="42" fillId="0" borderId="0" xfId="0" applyFont="1" applyAlignment="1">
      <alignment horizontal="center"/>
    </xf>
    <xf numFmtId="0" fontId="4" fillId="11" borderId="11" xfId="0" applyFont="1" applyFill="1" applyBorder="1"/>
    <xf numFmtId="0" fontId="4" fillId="11" borderId="11" xfId="0" applyFont="1" applyFill="1" applyBorder="1" applyAlignment="1">
      <alignment horizontal="center"/>
    </xf>
    <xf numFmtId="0" fontId="43" fillId="11" borderId="11" xfId="0" applyFont="1" applyFill="1" applyBorder="1" applyAlignment="1"/>
    <xf numFmtId="0" fontId="44" fillId="11" borderId="11" xfId="0" applyFont="1" applyFill="1" applyBorder="1" applyAlignment="1">
      <alignment horizontal="left"/>
    </xf>
    <xf numFmtId="0" fontId="0" fillId="12" borderId="11" xfId="0" applyFill="1" applyBorder="1" applyAlignment="1">
      <alignment horizontal="left"/>
    </xf>
    <xf numFmtId="0" fontId="45" fillId="0" borderId="11" xfId="0" applyFont="1" applyBorder="1" applyAlignment="1"/>
    <xf numFmtId="0" fontId="46" fillId="0" borderId="11" xfId="0" applyFont="1" applyBorder="1" applyAlignment="1">
      <alignment horizontal="left"/>
    </xf>
    <xf numFmtId="0" fontId="47" fillId="0" borderId="11" xfId="0" quotePrefix="1" applyFont="1" applyBorder="1"/>
    <xf numFmtId="0" fontId="45" fillId="0" borderId="11" xfId="0" applyFont="1" applyBorder="1"/>
    <xf numFmtId="0" fontId="0" fillId="0" borderId="11" xfId="0" applyBorder="1" applyAlignment="1">
      <alignment horizontal="left"/>
    </xf>
    <xf numFmtId="0" fontId="39" fillId="0" borderId="0" xfId="0" applyFont="1" applyAlignment="1">
      <alignment vertical="center"/>
    </xf>
    <xf numFmtId="0" fontId="0" fillId="0" borderId="0" xfId="0" applyFill="1"/>
    <xf numFmtId="0" fontId="36" fillId="0" borderId="0" xfId="0" applyFont="1" applyFill="1"/>
    <xf numFmtId="0" fontId="7" fillId="0" borderId="0" xfId="0" applyFont="1" applyFill="1" applyAlignment="1">
      <alignment vertical="center"/>
    </xf>
    <xf numFmtId="0" fontId="2" fillId="2" borderId="1" xfId="2" applyAlignment="1">
      <alignment horizontal="center"/>
    </xf>
    <xf numFmtId="166" fontId="5" fillId="0" borderId="4" xfId="0" applyNumberFormat="1" applyFont="1" applyBorder="1" applyAlignment="1">
      <alignment vertical="center"/>
    </xf>
    <xf numFmtId="2" fontId="0" fillId="0" borderId="0" xfId="0" applyNumberFormat="1" applyAlignment="1">
      <alignment horizontal="center" vertical="center"/>
    </xf>
    <xf numFmtId="0" fontId="1" fillId="15" borderId="0" xfId="8" applyAlignment="1">
      <alignment vertical="center"/>
    </xf>
    <xf numFmtId="10" fontId="1" fillId="15" borderId="0" xfId="8" applyNumberFormat="1" applyAlignment="1">
      <alignment vertical="center"/>
    </xf>
    <xf numFmtId="0" fontId="1" fillId="13" borderId="0" xfId="6" applyAlignment="1">
      <alignment vertical="center"/>
    </xf>
    <xf numFmtId="167" fontId="1" fillId="13" borderId="0" xfId="6" applyNumberFormat="1" applyAlignment="1">
      <alignment vertical="center"/>
    </xf>
    <xf numFmtId="0" fontId="1" fillId="14" borderId="0" xfId="7" applyAlignment="1">
      <alignment vertical="center"/>
    </xf>
    <xf numFmtId="167" fontId="1" fillId="14" borderId="0" xfId="7" applyNumberFormat="1" applyAlignment="1">
      <alignment vertical="center"/>
    </xf>
    <xf numFmtId="0" fontId="42" fillId="0" borderId="0" xfId="0" applyFont="1" applyAlignment="1">
      <alignment horizontal="left"/>
    </xf>
    <xf numFmtId="0" fontId="49" fillId="6" borderId="0" xfId="0" applyFont="1" applyFill="1" applyAlignment="1">
      <alignment vertical="center"/>
    </xf>
    <xf numFmtId="0" fontId="50" fillId="0" borderId="0" xfId="0" applyFont="1" applyAlignment="1">
      <alignment vertical="center"/>
    </xf>
    <xf numFmtId="0" fontId="17" fillId="3" borderId="8" xfId="3" applyFont="1" applyBorder="1" applyAlignment="1">
      <alignment vertical="center"/>
    </xf>
    <xf numFmtId="0" fontId="17" fillId="3" borderId="3" xfId="3" applyFont="1" applyBorder="1" applyAlignment="1">
      <alignment vertical="center"/>
    </xf>
    <xf numFmtId="0" fontId="17" fillId="0" borderId="0" xfId="0" applyFont="1" applyAlignment="1">
      <alignment vertical="center"/>
    </xf>
    <xf numFmtId="0" fontId="28" fillId="8" borderId="0" xfId="0" applyFont="1" applyFill="1" applyAlignment="1">
      <alignment vertical="center"/>
    </xf>
    <xf numFmtId="0" fontId="17" fillId="0" borderId="0" xfId="0" quotePrefix="1" applyFont="1" applyAlignment="1">
      <alignment vertical="center"/>
    </xf>
    <xf numFmtId="0" fontId="51" fillId="0" borderId="0" xfId="0" applyFont="1" applyAlignment="1">
      <alignment horizontal="center" vertical="center"/>
    </xf>
    <xf numFmtId="0" fontId="53" fillId="16" borderId="0" xfId="9" applyFont="1" applyAlignment="1">
      <alignment horizontal="left"/>
    </xf>
    <xf numFmtId="0" fontId="53" fillId="16" borderId="0" xfId="9" applyFont="1" applyAlignment="1">
      <alignment horizontal="center"/>
    </xf>
    <xf numFmtId="0" fontId="53" fillId="16" borderId="0" xfId="9" applyFont="1" applyBorder="1" applyAlignment="1">
      <alignment horizontal="center"/>
    </xf>
    <xf numFmtId="0" fontId="54" fillId="0" borderId="0" xfId="0" applyFont="1" applyAlignment="1">
      <alignment horizontal="center"/>
    </xf>
    <xf numFmtId="0" fontId="54" fillId="7" borderId="0" xfId="0" applyFont="1" applyFill="1" applyAlignment="1">
      <alignment horizontal="center"/>
    </xf>
    <xf numFmtId="0" fontId="55" fillId="0" borderId="0" xfId="0" applyFont="1" applyAlignment="1">
      <alignment horizontal="center"/>
    </xf>
    <xf numFmtId="0" fontId="56" fillId="0" borderId="0" xfId="0" applyFont="1" applyAlignment="1">
      <alignment horizontal="center"/>
    </xf>
    <xf numFmtId="0" fontId="22" fillId="0" borderId="0" xfId="0" applyFont="1" applyAlignment="1">
      <alignment horizontal="center"/>
    </xf>
    <xf numFmtId="0" fontId="22" fillId="0" borderId="0" xfId="0" applyFont="1" applyBorder="1" applyAlignment="1">
      <alignment horizontal="center"/>
    </xf>
    <xf numFmtId="0" fontId="7" fillId="0" borderId="0" xfId="0" applyFont="1" applyAlignment="1">
      <alignment horizontal="center"/>
    </xf>
    <xf numFmtId="0" fontId="7" fillId="0" borderId="0" xfId="0" applyFont="1" applyAlignment="1">
      <alignment horizontal="left"/>
    </xf>
    <xf numFmtId="0" fontId="7" fillId="7" borderId="0" xfId="0" applyFont="1" applyFill="1" applyAlignment="1">
      <alignment horizontal="center"/>
    </xf>
    <xf numFmtId="0" fontId="57" fillId="0" borderId="0" xfId="5" applyFont="1" applyAlignment="1">
      <alignment horizontal="left"/>
    </xf>
    <xf numFmtId="0" fontId="57" fillId="0" borderId="0" xfId="5" applyFont="1"/>
    <xf numFmtId="0" fontId="57" fillId="0" borderId="0" xfId="0" applyFont="1"/>
    <xf numFmtId="0" fontId="55" fillId="0" borderId="0" xfId="0" applyFont="1" applyAlignment="1">
      <alignment horizontal="left"/>
    </xf>
    <xf numFmtId="0" fontId="55" fillId="7" borderId="0" xfId="0" applyFont="1" applyFill="1" applyAlignment="1">
      <alignment horizontal="center"/>
    </xf>
    <xf numFmtId="0" fontId="41" fillId="0" borderId="0" xfId="5" applyFont="1"/>
    <xf numFmtId="166"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xf>
    <xf numFmtId="2" fontId="47" fillId="0" borderId="0" xfId="0" applyNumberFormat="1" applyFont="1" applyAlignment="1">
      <alignment horizontal="center"/>
    </xf>
    <xf numFmtId="2" fontId="0" fillId="0" borderId="0" xfId="0" applyNumberFormat="1" applyFont="1" applyAlignment="1">
      <alignment horizontal="center"/>
    </xf>
    <xf numFmtId="0" fontId="41" fillId="7" borderId="0" xfId="5" applyFill="1"/>
    <xf numFmtId="0" fontId="0" fillId="0" borderId="0" xfId="0" applyAlignment="1">
      <alignment horizontal="center"/>
    </xf>
    <xf numFmtId="0" fontId="57" fillId="0" borderId="0" xfId="5" applyFont="1" applyAlignment="1">
      <alignment horizontal="right"/>
    </xf>
    <xf numFmtId="2" fontId="0" fillId="0" borderId="0" xfId="0" applyNumberFormat="1"/>
    <xf numFmtId="0" fontId="41" fillId="0" borderId="0" xfId="5" applyAlignment="1">
      <alignment horizontal="right"/>
    </xf>
    <xf numFmtId="0" fontId="58" fillId="0" borderId="0" xfId="5" applyFont="1"/>
    <xf numFmtId="0" fontId="37" fillId="0" borderId="0" xfId="5" applyFont="1" applyAlignment="1">
      <alignment horizontal="center"/>
    </xf>
    <xf numFmtId="0" fontId="58" fillId="0" borderId="0" xfId="5" applyFont="1" applyAlignment="1">
      <alignment horizontal="center"/>
    </xf>
    <xf numFmtId="0" fontId="59" fillId="0" borderId="0" xfId="0" applyFont="1" applyAlignment="1">
      <alignment horizontal="center"/>
    </xf>
    <xf numFmtId="0" fontId="60" fillId="0" borderId="0" xfId="5" applyFont="1" applyAlignment="1">
      <alignment horizontal="center"/>
    </xf>
    <xf numFmtId="0" fontId="61" fillId="0" borderId="0" xfId="5" applyFont="1"/>
    <xf numFmtId="11" fontId="61" fillId="0" borderId="0" xfId="5" applyNumberFormat="1" applyFont="1"/>
    <xf numFmtId="2" fontId="41" fillId="0" borderId="0" xfId="5" applyNumberFormat="1"/>
    <xf numFmtId="164" fontId="41" fillId="0" borderId="0" xfId="5" applyNumberFormat="1" applyAlignment="1">
      <alignment horizontal="center"/>
    </xf>
    <xf numFmtId="11" fontId="41" fillId="0" borderId="0" xfId="5" applyNumberFormat="1"/>
    <xf numFmtId="2" fontId="41" fillId="0" borderId="0" xfId="5" applyNumberFormat="1" applyAlignment="1">
      <alignment horizontal="center"/>
    </xf>
    <xf numFmtId="0" fontId="41" fillId="0" borderId="0" xfId="5" applyAlignment="1">
      <alignment horizontal="center"/>
    </xf>
    <xf numFmtId="0" fontId="62" fillId="0" borderId="0" xfId="5" applyFont="1" applyAlignment="1">
      <alignment horizontal="center"/>
    </xf>
    <xf numFmtId="169" fontId="62" fillId="0" borderId="0" xfId="5" applyNumberFormat="1" applyFont="1" applyAlignment="1">
      <alignment horizontal="center"/>
    </xf>
    <xf numFmtId="0" fontId="63" fillId="0" borderId="0" xfId="5" applyFont="1" applyAlignment="1">
      <alignment horizontal="center"/>
    </xf>
    <xf numFmtId="169" fontId="63" fillId="0" borderId="0" xfId="5" applyNumberFormat="1" applyFont="1" applyAlignment="1">
      <alignment horizontal="center"/>
    </xf>
    <xf numFmtId="0" fontId="7" fillId="0" borderId="0" xfId="0" applyFont="1" applyBorder="1" applyAlignment="1">
      <alignment horizontal="center"/>
    </xf>
    <xf numFmtId="166" fontId="0" fillId="9" borderId="11" xfId="0" applyNumberFormat="1" applyFont="1" applyFill="1" applyBorder="1" applyAlignment="1">
      <alignment horizontal="center" vertical="center"/>
    </xf>
    <xf numFmtId="2" fontId="11" fillId="0" borderId="0" xfId="0" applyNumberFormat="1" applyFont="1" applyAlignment="1">
      <alignment horizontal="center" vertical="center"/>
    </xf>
    <xf numFmtId="0" fontId="25" fillId="0" borderId="10" xfId="0" applyFont="1" applyBorder="1" applyAlignment="1">
      <alignment vertical="center"/>
    </xf>
    <xf numFmtId="2" fontId="64" fillId="0" borderId="9" xfId="0" applyNumberFormat="1" applyFont="1" applyBorder="1" applyAlignment="1">
      <alignment horizontal="center" vertical="center"/>
    </xf>
    <xf numFmtId="0" fontId="25" fillId="0" borderId="8" xfId="0" applyFont="1" applyBorder="1" applyAlignment="1">
      <alignment vertical="center"/>
    </xf>
    <xf numFmtId="0" fontId="47" fillId="0" borderId="7" xfId="0" applyFont="1" applyBorder="1" applyAlignment="1">
      <alignment vertical="center"/>
    </xf>
    <xf numFmtId="2" fontId="47" fillId="0" borderId="0" xfId="0" applyNumberFormat="1" applyFont="1" applyBorder="1" applyAlignment="1">
      <alignment horizontal="center" vertical="center"/>
    </xf>
    <xf numFmtId="0" fontId="47" fillId="0" borderId="6" xfId="0" applyFont="1" applyBorder="1" applyAlignment="1">
      <alignment vertical="center"/>
    </xf>
    <xf numFmtId="0" fontId="11" fillId="0" borderId="5" xfId="0" applyFont="1" applyBorder="1" applyAlignment="1">
      <alignment vertical="center"/>
    </xf>
    <xf numFmtId="2" fontId="11" fillId="0" borderId="4" xfId="0" applyNumberFormat="1" applyFont="1" applyBorder="1" applyAlignment="1">
      <alignment horizontal="center" vertical="center"/>
    </xf>
    <xf numFmtId="0" fontId="11" fillId="0" borderId="3" xfId="0" applyFont="1" applyBorder="1" applyAlignment="1">
      <alignment vertical="center"/>
    </xf>
    <xf numFmtId="9" fontId="0" fillId="9" borderId="11" xfId="1" applyFont="1" applyFill="1" applyBorder="1" applyAlignment="1">
      <alignment horizontal="center" vertical="center"/>
    </xf>
    <xf numFmtId="2" fontId="25" fillId="0" borderId="0" xfId="0" applyNumberFormat="1" applyFont="1" applyAlignment="1">
      <alignment horizontal="center" vertical="center"/>
    </xf>
    <xf numFmtId="2" fontId="25" fillId="0" borderId="0" xfId="0" applyNumberFormat="1" applyFont="1" applyFill="1" applyAlignment="1">
      <alignment horizontal="center" vertical="center"/>
    </xf>
    <xf numFmtId="11" fontId="11" fillId="0" borderId="0" xfId="0" applyNumberFormat="1" applyFont="1" applyAlignment="1">
      <alignment horizontal="center" vertical="center"/>
    </xf>
    <xf numFmtId="0" fontId="68" fillId="6" borderId="0" xfId="0" applyFont="1" applyFill="1" applyAlignment="1">
      <alignment vertical="center"/>
    </xf>
    <xf numFmtId="0" fontId="69" fillId="0" borderId="0" xfId="0" applyFont="1" applyAlignment="1">
      <alignment vertical="center"/>
    </xf>
    <xf numFmtId="0" fontId="69" fillId="0" borderId="0" xfId="0" applyFont="1" applyAlignment="1">
      <alignment horizontal="center" vertical="center"/>
    </xf>
    <xf numFmtId="0" fontId="70" fillId="0" borderId="0" xfId="0" applyFont="1" applyFill="1" applyBorder="1" applyAlignment="1">
      <alignment horizontal="left" vertical="center"/>
    </xf>
    <xf numFmtId="2" fontId="69" fillId="0" borderId="0" xfId="0" applyNumberFormat="1" applyFont="1" applyAlignment="1">
      <alignment horizontal="center" vertical="center"/>
    </xf>
    <xf numFmtId="11" fontId="69" fillId="0" borderId="0" xfId="0" applyNumberFormat="1" applyFont="1" applyAlignment="1">
      <alignment horizontal="center" vertical="center"/>
    </xf>
    <xf numFmtId="0" fontId="70" fillId="0" borderId="0" xfId="0" applyFont="1" applyFill="1" applyBorder="1" applyAlignment="1">
      <alignment vertical="center"/>
    </xf>
    <xf numFmtId="0" fontId="0" fillId="0" borderId="11" xfId="0" applyBorder="1" applyAlignment="1">
      <alignment vertical="center"/>
    </xf>
    <xf numFmtId="0" fontId="21" fillId="0" borderId="11" xfId="0" applyFont="1" applyFill="1" applyBorder="1" applyAlignment="1">
      <alignment horizontal="left" vertical="center"/>
    </xf>
    <xf numFmtId="0" fontId="17" fillId="0" borderId="11" xfId="0" applyFont="1" applyBorder="1" applyAlignment="1">
      <alignment vertical="center"/>
    </xf>
    <xf numFmtId="0" fontId="0" fillId="0" borderId="11" xfId="0" applyFont="1" applyBorder="1" applyAlignment="1">
      <alignment vertical="center"/>
    </xf>
    <xf numFmtId="0" fontId="72" fillId="9" borderId="11" xfId="0" applyFont="1" applyFill="1" applyBorder="1" applyAlignment="1">
      <alignment horizontal="center" vertical="center"/>
    </xf>
    <xf numFmtId="2" fontId="25" fillId="7" borderId="0" xfId="0" applyNumberFormat="1" applyFont="1" applyFill="1" applyAlignment="1">
      <alignment horizontal="center" vertical="center"/>
    </xf>
    <xf numFmtId="0" fontId="21" fillId="7" borderId="0" xfId="0" applyFont="1" applyFill="1" applyBorder="1" applyAlignment="1">
      <alignment horizontal="left" vertical="center"/>
    </xf>
    <xf numFmtId="0" fontId="7" fillId="0" borderId="11" xfId="0" applyFont="1" applyFill="1" applyBorder="1" applyAlignment="1">
      <alignment horizontal="center" vertical="center"/>
    </xf>
    <xf numFmtId="0" fontId="7" fillId="7" borderId="11" xfId="0" applyFont="1" applyFill="1" applyBorder="1" applyAlignment="1">
      <alignment horizontal="center" vertical="center"/>
    </xf>
    <xf numFmtId="2" fontId="7" fillId="7" borderId="11" xfId="0" applyNumberFormat="1" applyFont="1" applyFill="1" applyBorder="1" applyAlignment="1">
      <alignment horizontal="center" vertical="center"/>
    </xf>
    <xf numFmtId="2" fontId="0" fillId="7" borderId="0" xfId="0" applyNumberFormat="1" applyFont="1" applyFill="1" applyAlignment="1">
      <alignment horizontal="center" vertical="center"/>
    </xf>
    <xf numFmtId="2" fontId="14" fillId="7" borderId="0" xfId="0" applyNumberFormat="1" applyFont="1" applyFill="1" applyAlignment="1">
      <alignment horizontal="center" vertical="center"/>
    </xf>
    <xf numFmtId="0" fontId="0" fillId="0" borderId="0" xfId="0" applyFont="1" applyFill="1" applyAlignment="1">
      <alignment vertical="center"/>
    </xf>
    <xf numFmtId="2" fontId="11" fillId="0" borderId="0" xfId="0" applyNumberFormat="1" applyFont="1" applyFill="1" applyAlignment="1">
      <alignment horizontal="center" vertical="center"/>
    </xf>
    <xf numFmtId="11" fontId="11" fillId="0" borderId="0" xfId="0" applyNumberFormat="1" applyFont="1" applyFill="1" applyAlignment="1">
      <alignment horizontal="center" vertical="center"/>
    </xf>
    <xf numFmtId="0" fontId="0" fillId="0" borderId="0" xfId="0" applyFont="1" applyBorder="1" applyAlignment="1">
      <alignment vertical="center"/>
    </xf>
    <xf numFmtId="0" fontId="17" fillId="0" borderId="0" xfId="0" applyFont="1" applyBorder="1" applyAlignment="1">
      <alignment vertical="center"/>
    </xf>
    <xf numFmtId="0" fontId="0" fillId="0" borderId="11" xfId="0" applyFill="1" applyBorder="1" applyAlignment="1">
      <alignment horizontal="center"/>
    </xf>
    <xf numFmtId="0" fontId="17" fillId="0" borderId="11" xfId="0" applyFont="1" applyFill="1" applyBorder="1" applyAlignment="1">
      <alignment vertical="center"/>
    </xf>
    <xf numFmtId="0" fontId="0" fillId="0" borderId="11" xfId="0" applyFill="1" applyBorder="1" applyAlignment="1">
      <alignment horizontal="center" vertical="center"/>
    </xf>
    <xf numFmtId="11" fontId="0" fillId="0" borderId="11" xfId="0" applyNumberFormat="1" applyFont="1" applyFill="1" applyBorder="1" applyAlignment="1">
      <alignment horizontal="center" vertical="center"/>
    </xf>
    <xf numFmtId="0" fontId="75" fillId="0" borderId="11" xfId="0" applyFont="1" applyFill="1" applyBorder="1"/>
    <xf numFmtId="2" fontId="0" fillId="0" borderId="11" xfId="0" applyNumberFormat="1" applyFont="1" applyFill="1" applyBorder="1" applyAlignment="1">
      <alignment horizontal="center" vertical="center"/>
    </xf>
    <xf numFmtId="166" fontId="0" fillId="0" borderId="11" xfId="0" applyNumberFormat="1" applyFont="1" applyFill="1" applyBorder="1" applyAlignment="1">
      <alignment horizontal="center" vertical="center"/>
    </xf>
    <xf numFmtId="2" fontId="0" fillId="0" borderId="11" xfId="9" applyNumberFormat="1" applyFont="1" applyFill="1" applyBorder="1" applyAlignment="1">
      <alignment horizontal="center" vertical="center"/>
    </xf>
    <xf numFmtId="164" fontId="0" fillId="0" borderId="11" xfId="10" applyNumberFormat="1" applyFont="1" applyFill="1" applyBorder="1" applyAlignment="1">
      <alignment horizontal="center" vertical="center"/>
    </xf>
    <xf numFmtId="166" fontId="0" fillId="0" borderId="0" xfId="1" applyNumberFormat="1" applyFont="1" applyAlignment="1">
      <alignment horizontal="center" vertical="center"/>
    </xf>
    <xf numFmtId="0" fontId="0" fillId="0" borderId="0" xfId="0" applyFont="1" applyFill="1" applyAlignment="1">
      <alignment horizontal="right" vertical="center"/>
    </xf>
    <xf numFmtId="0" fontId="11" fillId="7" borderId="0" xfId="0" applyFont="1" applyFill="1" applyAlignment="1">
      <alignment horizontal="center"/>
    </xf>
    <xf numFmtId="2" fontId="11" fillId="7" borderId="0" xfId="0" applyNumberFormat="1" applyFont="1" applyFill="1" applyAlignment="1">
      <alignment horizontal="center"/>
    </xf>
    <xf numFmtId="0" fontId="11" fillId="7" borderId="0" xfId="0" applyFont="1" applyFill="1" applyAlignment="1">
      <alignment horizontal="left"/>
    </xf>
    <xf numFmtId="0" fontId="7" fillId="7" borderId="0" xfId="0" applyFont="1" applyFill="1" applyAlignment="1">
      <alignment horizontal="left"/>
    </xf>
    <xf numFmtId="2" fontId="7" fillId="7" borderId="0" xfId="0" applyNumberFormat="1" applyFont="1" applyFill="1" applyAlignment="1">
      <alignment horizontal="center"/>
    </xf>
    <xf numFmtId="2" fontId="0" fillId="9" borderId="11" xfId="0" applyNumberFormat="1" applyFont="1" applyFill="1" applyBorder="1" applyAlignment="1">
      <alignment horizontal="center" vertical="center"/>
    </xf>
    <xf numFmtId="0" fontId="77" fillId="9" borderId="11" xfId="0" applyFont="1" applyFill="1" applyBorder="1" applyAlignment="1">
      <alignment horizontal="center" vertical="center"/>
    </xf>
    <xf numFmtId="11" fontId="76" fillId="18" borderId="11" xfId="11" applyNumberFormat="1" applyBorder="1" applyAlignment="1">
      <alignment horizontal="center" vertical="center"/>
    </xf>
    <xf numFmtId="0" fontId="0" fillId="0" borderId="11" xfId="0" applyFont="1" applyFill="1" applyBorder="1" applyAlignment="1">
      <alignment horizontal="center" vertical="center"/>
    </xf>
    <xf numFmtId="2" fontId="7" fillId="0" borderId="0" xfId="0" applyNumberFormat="1" applyFont="1" applyFill="1" applyBorder="1" applyAlignment="1">
      <alignment horizontal="center" vertical="center"/>
    </xf>
    <xf numFmtId="166" fontId="7" fillId="0" borderId="0" xfId="0" applyNumberFormat="1" applyFont="1" applyFill="1" applyBorder="1" applyAlignment="1">
      <alignment horizontal="center" vertical="center"/>
    </xf>
    <xf numFmtId="166" fontId="11" fillId="7" borderId="0" xfId="0" applyNumberFormat="1" applyFont="1" applyFill="1" applyAlignment="1">
      <alignment horizontal="center"/>
    </xf>
    <xf numFmtId="1" fontId="78" fillId="0" borderId="0" xfId="0" applyNumberFormat="1" applyFont="1" applyAlignment="1">
      <alignment horizontal="center" vertical="center"/>
    </xf>
    <xf numFmtId="2" fontId="64" fillId="0" borderId="7" xfId="0" applyNumberFormat="1" applyFont="1" applyBorder="1" applyAlignment="1">
      <alignment horizontal="center" vertical="center"/>
    </xf>
    <xf numFmtId="0" fontId="65" fillId="0" borderId="7" xfId="0" applyFont="1" applyFill="1" applyBorder="1" applyAlignment="1">
      <alignment horizontal="left" vertical="center"/>
    </xf>
    <xf numFmtId="0" fontId="66" fillId="0" borderId="7" xfId="0" applyFont="1" applyFill="1" applyBorder="1" applyAlignment="1">
      <alignment horizontal="right" vertical="center"/>
    </xf>
    <xf numFmtId="11" fontId="25" fillId="0" borderId="7" xfId="0" applyNumberFormat="1" applyFont="1" applyBorder="1" applyAlignment="1">
      <alignment horizontal="center" vertical="center"/>
    </xf>
    <xf numFmtId="2" fontId="67" fillId="0" borderId="7" xfId="0" applyNumberFormat="1" applyFont="1" applyBorder="1" applyAlignment="1">
      <alignment horizontal="center" vertical="center"/>
    </xf>
    <xf numFmtId="2" fontId="11" fillId="0" borderId="7" xfId="0" applyNumberFormat="1" applyFont="1" applyBorder="1" applyAlignment="1">
      <alignment horizontal="center" vertical="center"/>
    </xf>
    <xf numFmtId="2" fontId="11" fillId="0" borderId="7" xfId="0" applyNumberFormat="1" applyFont="1" applyBorder="1" applyAlignment="1">
      <alignment horizontal="right" vertical="center" indent="2"/>
    </xf>
    <xf numFmtId="2" fontId="25" fillId="0" borderId="7" xfId="0" applyNumberFormat="1" applyFont="1" applyBorder="1" applyAlignment="1">
      <alignment horizontal="left" vertical="center" indent="5"/>
    </xf>
    <xf numFmtId="2" fontId="25" fillId="0" borderId="7" xfId="0" applyNumberFormat="1" applyFont="1" applyBorder="1" applyAlignment="1">
      <alignment horizontal="center" vertical="center"/>
    </xf>
    <xf numFmtId="2" fontId="25" fillId="0" borderId="7" xfId="0" applyNumberFormat="1" applyFont="1" applyFill="1" applyBorder="1" applyAlignment="1">
      <alignment horizontal="center" vertical="center"/>
    </xf>
    <xf numFmtId="0" fontId="17" fillId="0" borderId="7" xfId="0" applyFont="1" applyFill="1" applyBorder="1" applyAlignment="1">
      <alignment vertical="center"/>
    </xf>
    <xf numFmtId="0" fontId="21" fillId="0" borderId="7" xfId="0" applyFont="1" applyFill="1" applyBorder="1" applyAlignment="1">
      <alignment horizontal="left" vertical="center"/>
    </xf>
    <xf numFmtId="0" fontId="0" fillId="0" borderId="4" xfId="0" applyFont="1" applyBorder="1" applyAlignment="1">
      <alignment vertical="center"/>
    </xf>
    <xf numFmtId="0" fontId="25" fillId="0" borderId="5" xfId="0" applyFont="1" applyBorder="1" applyAlignment="1">
      <alignment horizontal="center" vertical="center"/>
    </xf>
    <xf numFmtId="0" fontId="21" fillId="0" borderId="4" xfId="0" applyFont="1" applyFill="1" applyBorder="1" applyAlignment="1">
      <alignment horizontal="left" vertical="center"/>
    </xf>
    <xf numFmtId="2" fontId="11" fillId="0" borderId="5" xfId="0" applyNumberFormat="1" applyFont="1" applyBorder="1" applyAlignment="1">
      <alignment horizontal="center" vertical="center"/>
    </xf>
    <xf numFmtId="0" fontId="65" fillId="0" borderId="5" xfId="0" applyFont="1" applyFill="1" applyBorder="1" applyAlignment="1">
      <alignment horizontal="left" vertical="center"/>
    </xf>
    <xf numFmtId="11" fontId="11" fillId="0" borderId="4" xfId="0" applyNumberFormat="1" applyFont="1" applyBorder="1" applyAlignment="1">
      <alignment horizontal="center" vertical="center"/>
    </xf>
    <xf numFmtId="0" fontId="21" fillId="0" borderId="5" xfId="0" applyFont="1" applyFill="1" applyBorder="1" applyAlignment="1">
      <alignment horizontal="left" vertical="center"/>
    </xf>
    <xf numFmtId="2" fontId="25" fillId="0" borderId="5" xfId="0" applyNumberFormat="1" applyFont="1" applyFill="1" applyBorder="1" applyAlignment="1">
      <alignment horizontal="center" vertical="center"/>
    </xf>
    <xf numFmtId="2" fontId="11" fillId="0" borderId="5" xfId="0" applyNumberFormat="1" applyFont="1" applyBorder="1" applyAlignment="1">
      <alignment horizontal="right" vertical="center" indent="2"/>
    </xf>
    <xf numFmtId="9" fontId="11" fillId="7" borderId="7" xfId="1" applyFont="1" applyFill="1" applyBorder="1" applyAlignment="1">
      <alignment horizontal="center" vertical="center"/>
    </xf>
    <xf numFmtId="11" fontId="80" fillId="0" borderId="11" xfId="0" applyNumberFormat="1" applyFont="1" applyFill="1" applyBorder="1" applyAlignment="1">
      <alignment horizontal="center" vertical="center"/>
    </xf>
    <xf numFmtId="2" fontId="80" fillId="0" borderId="11" xfId="0" applyNumberFormat="1" applyFont="1" applyFill="1" applyBorder="1" applyAlignment="1">
      <alignment horizontal="center" vertical="center"/>
    </xf>
    <xf numFmtId="0" fontId="81" fillId="0" borderId="0" xfId="0" applyFont="1" applyAlignment="1">
      <alignment vertical="center"/>
    </xf>
    <xf numFmtId="14" fontId="79" fillId="0" borderId="0" xfId="0" applyNumberFormat="1" applyFont="1" applyAlignment="1">
      <alignment vertical="center"/>
    </xf>
    <xf numFmtId="2" fontId="79" fillId="0" borderId="0" xfId="0" applyNumberFormat="1" applyFont="1" applyAlignment="1">
      <alignment horizontal="center" vertical="center"/>
    </xf>
    <xf numFmtId="10" fontId="82" fillId="0" borderId="11" xfId="12" applyNumberFormat="1" applyFill="1" applyBorder="1" applyAlignment="1">
      <alignment horizontal="center"/>
    </xf>
    <xf numFmtId="10" fontId="82" fillId="0" borderId="11" xfId="12" applyNumberFormat="1" applyFill="1" applyBorder="1" applyAlignment="1">
      <alignment horizontal="center" vertical="center"/>
    </xf>
    <xf numFmtId="0" fontId="82" fillId="0" borderId="11" xfId="12" applyBorder="1" applyAlignment="1">
      <alignment horizontal="center" wrapText="1"/>
    </xf>
    <xf numFmtId="0" fontId="82" fillId="20" borderId="11" xfId="12" applyFill="1" applyBorder="1" applyAlignment="1" applyProtection="1">
      <alignment horizontal="center" wrapText="1"/>
      <protection locked="0"/>
    </xf>
    <xf numFmtId="0" fontId="82" fillId="0" borderId="11" xfId="12" applyFont="1" applyBorder="1" applyAlignment="1">
      <alignment horizontal="center" wrapText="1"/>
    </xf>
    <xf numFmtId="0" fontId="82" fillId="0" borderId="11" xfId="12" applyFont="1" applyBorder="1" applyAlignment="1">
      <alignment horizontal="center"/>
    </xf>
    <xf numFmtId="0" fontId="82" fillId="0" borderId="11" xfId="12" applyNumberFormat="1" applyFill="1" applyBorder="1" applyAlignment="1">
      <alignment horizontal="center"/>
    </xf>
    <xf numFmtId="0" fontId="82" fillId="0" borderId="11" xfId="12" applyNumberFormat="1" applyFill="1" applyBorder="1" applyAlignment="1">
      <alignment horizontal="center" vertical="center"/>
    </xf>
    <xf numFmtId="0" fontId="39" fillId="19" borderId="11" xfId="0" applyFont="1" applyFill="1" applyBorder="1" applyAlignment="1">
      <alignment horizontal="center" vertical="center"/>
    </xf>
    <xf numFmtId="0" fontId="0" fillId="0" borderId="0" xfId="0" applyAlignment="1">
      <alignment horizontal="left"/>
    </xf>
    <xf numFmtId="10" fontId="0" fillId="0" borderId="11" xfId="0" applyNumberFormat="1" applyFill="1" applyBorder="1" applyAlignment="1">
      <alignment horizontal="center"/>
    </xf>
    <xf numFmtId="11" fontId="52" fillId="16" borderId="11" xfId="9" applyNumberFormat="1" applyBorder="1" applyAlignment="1">
      <alignment horizontal="center" vertical="center"/>
    </xf>
    <xf numFmtId="11" fontId="52" fillId="16" borderId="11" xfId="9" applyNumberFormat="1" applyBorder="1" applyAlignment="1">
      <alignment horizontal="left" vertical="center"/>
    </xf>
    <xf numFmtId="1" fontId="1" fillId="16" borderId="11" xfId="9" applyNumberFormat="1" applyFont="1" applyBorder="1" applyAlignment="1">
      <alignment horizontal="center" vertical="center"/>
    </xf>
    <xf numFmtId="0" fontId="4" fillId="0" borderId="13" xfId="0" applyFont="1" applyBorder="1" applyAlignment="1">
      <alignment vertical="center"/>
    </xf>
    <xf numFmtId="0" fontId="4" fillId="0" borderId="12" xfId="0" applyFont="1" applyBorder="1" applyAlignment="1">
      <alignment vertical="center"/>
    </xf>
    <xf numFmtId="2" fontId="64" fillId="0" borderId="13" xfId="0" applyNumberFormat="1" applyFont="1" applyBorder="1" applyAlignment="1">
      <alignment horizontal="center" vertical="center"/>
    </xf>
    <xf numFmtId="0" fontId="23" fillId="0" borderId="12" xfId="0" applyFont="1" applyFill="1" applyBorder="1" applyAlignment="1">
      <alignment horizontal="left" vertical="center"/>
    </xf>
    <xf numFmtId="2" fontId="67" fillId="0" borderId="13" xfId="0" applyNumberFormat="1" applyFont="1" applyBorder="1" applyAlignment="1">
      <alignment horizontal="center" vertical="center"/>
    </xf>
    <xf numFmtId="2" fontId="11" fillId="0" borderId="12" xfId="0" applyNumberFormat="1" applyFont="1" applyBorder="1" applyAlignment="1">
      <alignment horizontal="center" vertical="center"/>
    </xf>
    <xf numFmtId="0" fontId="24" fillId="0" borderId="13" xfId="0" applyFont="1" applyFill="1" applyBorder="1" applyAlignment="1">
      <alignment vertical="center"/>
    </xf>
    <xf numFmtId="0" fontId="17" fillId="0" borderId="14" xfId="0" applyFont="1" applyFill="1" applyBorder="1" applyAlignment="1">
      <alignment vertical="center"/>
    </xf>
    <xf numFmtId="0" fontId="0" fillId="0" borderId="7" xfId="0" applyFont="1" applyBorder="1" applyAlignment="1">
      <alignment vertical="center"/>
    </xf>
    <xf numFmtId="2" fontId="14" fillId="0" borderId="0" xfId="0" applyNumberFormat="1" applyFont="1" applyBorder="1" applyAlignment="1">
      <alignment horizontal="center" vertical="center"/>
    </xf>
    <xf numFmtId="0" fontId="17" fillId="0" borderId="6" xfId="0" applyFont="1" applyFill="1" applyBorder="1" applyAlignment="1">
      <alignment vertical="center"/>
    </xf>
    <xf numFmtId="11" fontId="11" fillId="0" borderId="0" xfId="0" applyNumberFormat="1" applyFont="1" applyBorder="1" applyAlignment="1">
      <alignment horizontal="center" vertical="center"/>
    </xf>
    <xf numFmtId="0" fontId="4" fillId="0" borderId="7" xfId="0" applyFont="1" applyBorder="1" applyAlignment="1">
      <alignment vertical="center"/>
    </xf>
    <xf numFmtId="0" fontId="4" fillId="0" borderId="0" xfId="0" applyFont="1" applyBorder="1" applyAlignment="1">
      <alignment vertical="center"/>
    </xf>
    <xf numFmtId="0" fontId="23" fillId="7" borderId="6" xfId="0" applyFont="1" applyFill="1" applyBorder="1" applyAlignment="1">
      <alignment horizontal="left" vertical="center"/>
    </xf>
    <xf numFmtId="0" fontId="0" fillId="0" borderId="5" xfId="0" applyFont="1" applyBorder="1" applyAlignment="1">
      <alignment vertical="center"/>
    </xf>
    <xf numFmtId="0" fontId="17" fillId="0" borderId="3" xfId="0" applyFont="1" applyFill="1" applyBorder="1" applyAlignment="1">
      <alignment vertical="center"/>
    </xf>
    <xf numFmtId="2" fontId="11" fillId="0" borderId="0" xfId="0" applyNumberFormat="1" applyFont="1" applyBorder="1" applyAlignment="1">
      <alignment horizontal="center" vertical="center"/>
    </xf>
    <xf numFmtId="0" fontId="45" fillId="0" borderId="11" xfId="0" applyFont="1" applyFill="1" applyBorder="1" applyAlignment="1">
      <alignment horizontal="center" vertical="center"/>
    </xf>
    <xf numFmtId="0" fontId="7" fillId="0" borderId="11" xfId="13" applyFont="1" applyFill="1" applyBorder="1" applyAlignment="1">
      <alignment horizontal="center" vertical="center"/>
    </xf>
    <xf numFmtId="0" fontId="9" fillId="0" borderId="11" xfId="0" applyFont="1" applyFill="1" applyBorder="1" applyAlignment="1">
      <alignment horizontal="center" vertical="center"/>
    </xf>
    <xf numFmtId="0" fontId="85" fillId="0" borderId="0" xfId="0" applyFont="1" applyAlignment="1">
      <alignment horizontal="left" vertical="center"/>
    </xf>
    <xf numFmtId="0" fontId="87" fillId="0" borderId="11" xfId="0" applyFont="1" applyFill="1" applyBorder="1" applyAlignment="1">
      <alignment horizontal="center" vertical="center"/>
    </xf>
    <xf numFmtId="9" fontId="87" fillId="0" borderId="11" xfId="0" applyNumberFormat="1" applyFont="1" applyFill="1" applyBorder="1" applyAlignment="1">
      <alignment horizontal="center" vertical="center"/>
    </xf>
    <xf numFmtId="2" fontId="7" fillId="0" borderId="11" xfId="0" applyNumberFormat="1" applyFont="1" applyFill="1" applyBorder="1" applyAlignment="1">
      <alignment horizontal="center" vertical="center"/>
    </xf>
    <xf numFmtId="1" fontId="7" fillId="0" borderId="11" xfId="0" applyNumberFormat="1" applyFont="1" applyFill="1" applyBorder="1" applyAlignment="1">
      <alignment horizontal="center" vertical="center"/>
    </xf>
    <xf numFmtId="9" fontId="7" fillId="0" borderId="11" xfId="1" applyFont="1" applyFill="1" applyBorder="1" applyAlignment="1">
      <alignment horizontal="center" vertical="center"/>
    </xf>
    <xf numFmtId="0" fontId="25" fillId="0" borderId="11" xfId="0" applyFont="1" applyFill="1" applyBorder="1" applyAlignment="1">
      <alignment horizontal="center" vertical="center"/>
    </xf>
    <xf numFmtId="1" fontId="7" fillId="9" borderId="11" xfId="0" applyNumberFormat="1" applyFont="1" applyFill="1" applyBorder="1" applyAlignment="1">
      <alignment horizontal="center" vertical="center"/>
    </xf>
    <xf numFmtId="9" fontId="7" fillId="9" borderId="11" xfId="1" applyFont="1" applyFill="1" applyBorder="1" applyAlignment="1">
      <alignment horizontal="center" vertical="center"/>
    </xf>
    <xf numFmtId="0" fontId="7" fillId="9" borderId="11" xfId="0" applyFont="1" applyFill="1" applyBorder="1" applyAlignment="1">
      <alignment horizontal="center" vertical="center"/>
    </xf>
    <xf numFmtId="166" fontId="80" fillId="0" borderId="11" xfId="0" applyNumberFormat="1" applyFont="1" applyFill="1" applyBorder="1" applyAlignment="1">
      <alignment horizontal="center" vertical="center"/>
    </xf>
    <xf numFmtId="165" fontId="1" fillId="13" borderId="11" xfId="6" applyNumberFormat="1" applyBorder="1" applyAlignment="1">
      <alignment horizontal="center" vertical="center"/>
    </xf>
    <xf numFmtId="164" fontId="0" fillId="0" borderId="0" xfId="1" applyNumberFormat="1" applyFont="1" applyAlignment="1">
      <alignment horizontal="center" vertical="center"/>
    </xf>
    <xf numFmtId="11" fontId="0" fillId="0" borderId="0" xfId="0" applyNumberFormat="1" applyAlignment="1">
      <alignment horizontal="center" vertical="center"/>
    </xf>
    <xf numFmtId="166" fontId="1" fillId="15" borderId="11" xfId="8" applyNumberFormat="1" applyBorder="1" applyAlignment="1">
      <alignment horizontal="center" vertical="center"/>
    </xf>
    <xf numFmtId="0" fontId="87" fillId="0" borderId="0" xfId="0" applyFont="1" applyBorder="1" applyAlignment="1">
      <alignment horizontal="right" vertical="center"/>
    </xf>
    <xf numFmtId="9" fontId="87" fillId="0" borderId="7" xfId="1" applyFont="1" applyBorder="1" applyAlignment="1">
      <alignment horizontal="center" vertical="center"/>
    </xf>
    <xf numFmtId="2" fontId="0" fillId="7" borderId="11" xfId="0" applyNumberFormat="1" applyFont="1" applyFill="1" applyBorder="1" applyAlignment="1">
      <alignment horizontal="center" vertical="center"/>
    </xf>
    <xf numFmtId="0" fontId="31" fillId="9" borderId="11" xfId="0" applyFont="1" applyFill="1" applyBorder="1" applyAlignment="1">
      <alignment horizontal="center"/>
    </xf>
    <xf numFmtId="2" fontId="7" fillId="9" borderId="11" xfId="0" applyNumberFormat="1" applyFont="1" applyFill="1" applyBorder="1" applyAlignment="1">
      <alignment horizontal="center" vertical="center"/>
    </xf>
    <xf numFmtId="9" fontId="14" fillId="9" borderId="11" xfId="1" applyFont="1" applyFill="1" applyBorder="1" applyAlignment="1">
      <alignment horizontal="center" vertical="center"/>
    </xf>
    <xf numFmtId="166" fontId="35" fillId="24" borderId="11" xfId="14" applyNumberFormat="1" applyFill="1" applyBorder="1" applyAlignment="1">
      <alignment horizontal="center" vertical="center"/>
    </xf>
    <xf numFmtId="9" fontId="0" fillId="0" borderId="0" xfId="1" applyFont="1" applyAlignment="1">
      <alignment horizontal="center" vertical="center"/>
    </xf>
    <xf numFmtId="0" fontId="90" fillId="0" borderId="0" xfId="0" applyFont="1" applyAlignment="1">
      <alignment vertical="center"/>
    </xf>
    <xf numFmtId="166" fontId="90" fillId="0" borderId="0" xfId="0" applyNumberFormat="1" applyFont="1" applyAlignment="1">
      <alignment horizontal="center" vertical="center"/>
    </xf>
    <xf numFmtId="0" fontId="91" fillId="7" borderId="11" xfId="13" applyFont="1" applyFill="1" applyBorder="1" applyAlignment="1">
      <alignment horizontal="center" vertical="center"/>
    </xf>
    <xf numFmtId="0" fontId="92" fillId="7" borderId="11" xfId="0" applyFont="1" applyFill="1" applyBorder="1" applyAlignment="1">
      <alignment horizontal="center" vertical="center"/>
    </xf>
    <xf numFmtId="166" fontId="91" fillId="7" borderId="11" xfId="0" applyNumberFormat="1" applyFont="1" applyFill="1" applyBorder="1" applyAlignment="1">
      <alignment horizontal="center" vertical="center"/>
    </xf>
    <xf numFmtId="1" fontId="91" fillId="7" borderId="11" xfId="0" applyNumberFormat="1" applyFont="1" applyFill="1" applyBorder="1" applyAlignment="1">
      <alignment horizontal="center" vertical="center"/>
    </xf>
    <xf numFmtId="2" fontId="91" fillId="7" borderId="11" xfId="0" applyNumberFormat="1" applyFont="1" applyFill="1" applyBorder="1" applyAlignment="1">
      <alignment horizontal="center" vertical="center"/>
    </xf>
    <xf numFmtId="9" fontId="93" fillId="7" borderId="11" xfId="0" applyNumberFormat="1" applyFont="1" applyFill="1" applyBorder="1" applyAlignment="1">
      <alignment horizontal="center" vertical="center"/>
    </xf>
    <xf numFmtId="165" fontId="91" fillId="7" borderId="11" xfId="0" applyNumberFormat="1" applyFont="1" applyFill="1" applyBorder="1" applyAlignment="1">
      <alignment horizontal="center" vertical="center"/>
    </xf>
    <xf numFmtId="1" fontId="37" fillId="0" borderId="11" xfId="9" applyNumberFormat="1" applyFont="1" applyFill="1" applyBorder="1" applyAlignment="1">
      <alignment horizontal="center" vertical="center"/>
    </xf>
    <xf numFmtId="165" fontId="0" fillId="0" borderId="0" xfId="0" applyNumberFormat="1" applyFont="1" applyBorder="1" applyAlignment="1">
      <alignment horizontal="center" vertical="center"/>
    </xf>
    <xf numFmtId="165" fontId="0" fillId="0" borderId="4" xfId="0" applyNumberFormat="1" applyFont="1" applyBorder="1" applyAlignment="1">
      <alignment horizontal="center" vertical="center"/>
    </xf>
    <xf numFmtId="165" fontId="0" fillId="0" borderId="11" xfId="0" applyNumberFormat="1" applyFont="1" applyBorder="1" applyAlignment="1">
      <alignment horizontal="center" vertical="center"/>
    </xf>
    <xf numFmtId="0" fontId="0" fillId="10" borderId="11" xfId="0" applyFont="1" applyFill="1" applyBorder="1" applyAlignment="1">
      <alignment vertical="center"/>
    </xf>
    <xf numFmtId="165" fontId="0" fillId="10" borderId="11" xfId="0" applyNumberFormat="1" applyFont="1" applyFill="1" applyBorder="1" applyAlignment="1">
      <alignment horizontal="center" vertical="center"/>
    </xf>
    <xf numFmtId="0" fontId="21" fillId="10" borderId="11" xfId="0" applyFont="1" applyFill="1" applyBorder="1" applyAlignment="1">
      <alignment horizontal="left" vertical="center"/>
    </xf>
    <xf numFmtId="0" fontId="0" fillId="10" borderId="10" xfId="0" applyFont="1" applyFill="1" applyBorder="1" applyAlignment="1">
      <alignment vertical="center"/>
    </xf>
    <xf numFmtId="2" fontId="0" fillId="10" borderId="9" xfId="0" applyNumberFormat="1" applyFont="1" applyFill="1" applyBorder="1" applyAlignment="1">
      <alignment horizontal="center" vertical="center"/>
    </xf>
    <xf numFmtId="0" fontId="0" fillId="10" borderId="8" xfId="0" applyFont="1" applyFill="1" applyBorder="1" applyAlignment="1">
      <alignment vertical="center"/>
    </xf>
    <xf numFmtId="9" fontId="39" fillId="19" borderId="11" xfId="1" applyFont="1" applyFill="1" applyBorder="1" applyAlignment="1">
      <alignment horizontal="center" vertical="center"/>
    </xf>
    <xf numFmtId="0" fontId="95" fillId="25" borderId="13" xfId="0" applyFont="1" applyFill="1" applyBorder="1" applyAlignment="1">
      <alignment horizontal="left" vertical="center"/>
    </xf>
    <xf numFmtId="0" fontId="22" fillId="7" borderId="12" xfId="0" applyFont="1" applyFill="1" applyBorder="1" applyAlignment="1">
      <alignment vertical="center"/>
    </xf>
    <xf numFmtId="2" fontId="39" fillId="19" borderId="11" xfId="2" applyNumberFormat="1" applyFont="1" applyFill="1" applyBorder="1" applyAlignment="1">
      <alignment horizontal="left" vertical="center"/>
    </xf>
    <xf numFmtId="0" fontId="0" fillId="19" borderId="12" xfId="0" applyFont="1" applyFill="1" applyBorder="1" applyAlignment="1">
      <alignment vertical="center"/>
    </xf>
    <xf numFmtId="0" fontId="0" fillId="19" borderId="14" xfId="0" applyFont="1" applyFill="1" applyBorder="1" applyAlignment="1">
      <alignment vertical="center"/>
    </xf>
    <xf numFmtId="0" fontId="95" fillId="25" borderId="14" xfId="0" applyFont="1" applyFill="1" applyBorder="1" applyAlignment="1">
      <alignment horizontal="center" vertical="center"/>
    </xf>
    <xf numFmtId="0" fontId="35" fillId="27" borderId="13" xfId="15" applyBorder="1" applyAlignment="1">
      <alignment horizontal="center" vertical="center"/>
    </xf>
    <xf numFmtId="165" fontId="1" fillId="29" borderId="11" xfId="6" applyNumberFormat="1" applyFill="1" applyBorder="1" applyAlignment="1">
      <alignment horizontal="center" vertical="center"/>
    </xf>
    <xf numFmtId="9" fontId="17" fillId="0" borderId="0" xfId="1" applyFont="1" applyFill="1" applyBorder="1" applyAlignment="1">
      <alignment vertical="center"/>
    </xf>
    <xf numFmtId="2" fontId="0" fillId="0" borderId="0" xfId="0" applyNumberFormat="1" applyAlignment="1">
      <alignment vertical="center"/>
    </xf>
    <xf numFmtId="9" fontId="21" fillId="0" borderId="11" xfId="1" applyFont="1" applyFill="1" applyBorder="1" applyAlignment="1">
      <alignment horizontal="left" vertical="center"/>
    </xf>
    <xf numFmtId="0" fontId="4" fillId="3" borderId="5" xfId="3" applyFont="1" applyBorder="1" applyAlignment="1">
      <alignment horizontal="left" vertical="center" indent="1"/>
    </xf>
    <xf numFmtId="0" fontId="64" fillId="0" borderId="0" xfId="0" applyFont="1" applyAlignment="1">
      <alignment vertical="center"/>
    </xf>
    <xf numFmtId="0" fontId="0" fillId="28" borderId="11" xfId="0" applyFont="1" applyFill="1" applyBorder="1" applyAlignment="1">
      <alignment vertical="center"/>
    </xf>
    <xf numFmtId="9" fontId="0" fillId="0" borderId="0" xfId="1" applyFont="1" applyAlignment="1">
      <alignment vertical="center"/>
    </xf>
    <xf numFmtId="0" fontId="0" fillId="0" borderId="0" xfId="0" quotePrefix="1"/>
    <xf numFmtId="0" fontId="76" fillId="18" borderId="0" xfId="11" applyAlignment="1">
      <alignment vertical="center"/>
    </xf>
    <xf numFmtId="0" fontId="84" fillId="21" borderId="0" xfId="13" applyAlignment="1">
      <alignment vertical="center"/>
    </xf>
    <xf numFmtId="171" fontId="0" fillId="0" borderId="0" xfId="0" applyNumberFormat="1"/>
    <xf numFmtId="169" fontId="0" fillId="30" borderId="11" xfId="0" applyNumberFormat="1" applyFont="1" applyFill="1" applyBorder="1" applyAlignment="1">
      <alignment horizontal="center" vertical="center"/>
    </xf>
    <xf numFmtId="165" fontId="1" fillId="15" borderId="11" xfId="8" applyNumberFormat="1" applyBorder="1" applyAlignment="1">
      <alignment horizontal="center" vertical="center"/>
    </xf>
    <xf numFmtId="2" fontId="0" fillId="0" borderId="9" xfId="0" applyNumberFormat="1" applyFont="1" applyFill="1" applyBorder="1" applyAlignment="1">
      <alignment horizontal="center" vertical="center"/>
    </xf>
    <xf numFmtId="1" fontId="0" fillId="0" borderId="11"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2" fontId="7" fillId="0" borderId="0" xfId="0" applyNumberFormat="1" applyFont="1" applyFill="1" applyBorder="1" applyAlignment="1">
      <alignment horizontal="right" vertical="center"/>
    </xf>
    <xf numFmtId="2" fontId="7" fillId="0" borderId="0" xfId="0" applyNumberFormat="1" applyFont="1" applyFill="1" applyBorder="1" applyAlignment="1">
      <alignment horizontal="left" vertical="center"/>
    </xf>
    <xf numFmtId="0" fontId="0" fillId="0" borderId="16" xfId="0" applyFont="1" applyFill="1" applyBorder="1" applyAlignment="1">
      <alignment horizontal="right" vertical="center"/>
    </xf>
    <xf numFmtId="2" fontId="0" fillId="0" borderId="4" xfId="0" applyNumberFormat="1" applyFont="1" applyFill="1" applyBorder="1" applyAlignment="1">
      <alignment horizontal="center" vertical="center"/>
    </xf>
    <xf numFmtId="0" fontId="21" fillId="0" borderId="0" xfId="0" applyFont="1" applyFill="1" applyBorder="1" applyAlignment="1">
      <alignment horizontal="center" vertical="center"/>
    </xf>
    <xf numFmtId="9" fontId="0" fillId="0" borderId="0" xfId="1" applyFont="1" applyFill="1" applyBorder="1" applyAlignment="1">
      <alignment horizontal="center" vertical="center"/>
    </xf>
    <xf numFmtId="9" fontId="7" fillId="0" borderId="0" xfId="1" applyFont="1" applyFill="1" applyBorder="1" applyAlignment="1">
      <alignment horizontal="center" vertical="center"/>
    </xf>
    <xf numFmtId="165" fontId="0" fillId="0" borderId="0" xfId="0" applyNumberFormat="1" applyFont="1" applyFill="1" applyBorder="1" applyAlignment="1">
      <alignment horizontal="center" vertical="center"/>
    </xf>
    <xf numFmtId="9" fontId="97" fillId="0" borderId="0" xfId="1" applyFont="1" applyFill="1" applyBorder="1" applyAlignment="1">
      <alignment horizontal="center" vertical="center"/>
    </xf>
    <xf numFmtId="2" fontId="0" fillId="0" borderId="0" xfId="1"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9" fontId="7" fillId="0" borderId="9" xfId="1" applyFont="1" applyFill="1" applyBorder="1" applyAlignment="1">
      <alignment horizontal="center" vertical="center"/>
    </xf>
    <xf numFmtId="9" fontId="7" fillId="0" borderId="8" xfId="1" applyFont="1" applyBorder="1" applyAlignment="1">
      <alignment horizontal="center" vertical="center"/>
    </xf>
    <xf numFmtId="9" fontId="7" fillId="0" borderId="6" xfId="1" applyFont="1" applyBorder="1" applyAlignment="1">
      <alignment horizontal="center" vertical="center"/>
    </xf>
    <xf numFmtId="165" fontId="0" fillId="0" borderId="4" xfId="0" applyNumberFormat="1" applyFont="1" applyFill="1" applyBorder="1" applyAlignment="1">
      <alignment horizontal="center" vertical="center"/>
    </xf>
    <xf numFmtId="9" fontId="7" fillId="0" borderId="4" xfId="1" applyFont="1" applyFill="1" applyBorder="1" applyAlignment="1">
      <alignment horizontal="center" vertical="center"/>
    </xf>
    <xf numFmtId="9" fontId="7" fillId="0" borderId="3" xfId="1" applyFont="1" applyBorder="1" applyAlignment="1">
      <alignment horizontal="center" vertical="center"/>
    </xf>
    <xf numFmtId="2" fontId="0" fillId="0" borderId="9" xfId="1" applyNumberFormat="1" applyFont="1" applyFill="1" applyBorder="1" applyAlignment="1">
      <alignment horizontal="center" vertical="center"/>
    </xf>
    <xf numFmtId="164" fontId="0" fillId="0" borderId="4" xfId="1" applyNumberFormat="1" applyFont="1" applyFill="1" applyBorder="1" applyAlignment="1">
      <alignment horizontal="center" vertical="center"/>
    </xf>
    <xf numFmtId="0" fontId="21" fillId="0" borderId="9" xfId="0" applyFont="1" applyFill="1" applyBorder="1" applyAlignment="1">
      <alignment horizontal="center" vertical="center"/>
    </xf>
    <xf numFmtId="0" fontId="21" fillId="0" borderId="8" xfId="0" applyFont="1" applyFill="1" applyBorder="1" applyAlignment="1">
      <alignment horizontal="center" vertical="center"/>
    </xf>
    <xf numFmtId="165" fontId="91" fillId="31" borderId="4" xfId="0" applyNumberFormat="1" applyFont="1" applyFill="1" applyBorder="1" applyAlignment="1">
      <alignment horizontal="center" vertical="center"/>
    </xf>
    <xf numFmtId="2" fontId="91" fillId="31" borderId="4" xfId="0" applyNumberFormat="1" applyFont="1" applyFill="1" applyBorder="1" applyAlignment="1">
      <alignment horizontal="center" vertical="center"/>
    </xf>
    <xf numFmtId="9" fontId="91" fillId="31" borderId="4" xfId="1" applyFont="1" applyFill="1" applyBorder="1" applyAlignment="1">
      <alignment horizontal="center" vertical="center"/>
    </xf>
    <xf numFmtId="9" fontId="91" fillId="31" borderId="3" xfId="1" applyFont="1" applyFill="1" applyBorder="1" applyAlignment="1">
      <alignment horizontal="center" vertical="center"/>
    </xf>
    <xf numFmtId="1" fontId="58" fillId="0" borderId="15" xfId="9" applyNumberFormat="1" applyFont="1" applyFill="1" applyBorder="1" applyAlignment="1">
      <alignment horizontal="center" vertical="center"/>
    </xf>
    <xf numFmtId="0" fontId="96" fillId="31" borderId="16" xfId="0" applyFont="1" applyFill="1" applyBorder="1" applyAlignment="1">
      <alignment horizontal="right" vertical="center"/>
    </xf>
    <xf numFmtId="0" fontId="0" fillId="0" borderId="15" xfId="0" applyFont="1" applyFill="1" applyBorder="1" applyAlignment="1">
      <alignment horizontal="right" vertical="center"/>
    </xf>
    <xf numFmtId="0" fontId="0" fillId="0" borderId="17" xfId="0" applyFont="1" applyFill="1" applyBorder="1" applyAlignment="1">
      <alignment horizontal="right" vertical="center"/>
    </xf>
    <xf numFmtId="0" fontId="0" fillId="0" borderId="15" xfId="0" applyFont="1" applyBorder="1" applyAlignment="1">
      <alignment horizontal="right" vertical="center"/>
    </xf>
    <xf numFmtId="0" fontId="0" fillId="0" borderId="17" xfId="0" applyFont="1" applyBorder="1" applyAlignment="1">
      <alignment horizontal="right" vertical="center"/>
    </xf>
    <xf numFmtId="0" fontId="21" fillId="0" borderId="10" xfId="0" applyFont="1" applyFill="1" applyBorder="1" applyAlignment="1">
      <alignment horizontal="center" vertical="center"/>
    </xf>
    <xf numFmtId="9" fontId="91" fillId="31" borderId="5" xfId="1" applyFont="1" applyFill="1" applyBorder="1" applyAlignment="1">
      <alignment horizontal="center" vertical="center"/>
    </xf>
    <xf numFmtId="9" fontId="7" fillId="0" borderId="10" xfId="1" applyFont="1" applyFill="1" applyBorder="1" applyAlignment="1">
      <alignment horizontal="center" vertical="center"/>
    </xf>
    <xf numFmtId="9" fontId="7" fillId="0" borderId="7" xfId="1" applyFont="1" applyFill="1" applyBorder="1" applyAlignment="1">
      <alignment horizontal="center" vertical="center"/>
    </xf>
    <xf numFmtId="9" fontId="7" fillId="0" borderId="5" xfId="1" applyFont="1" applyFill="1" applyBorder="1" applyAlignment="1">
      <alignment horizontal="center" vertical="center"/>
    </xf>
    <xf numFmtId="166" fontId="93" fillId="7" borderId="11" xfId="0" applyNumberFormat="1" applyFont="1" applyFill="1" applyBorder="1" applyAlignment="1">
      <alignment horizontal="center" vertical="center"/>
    </xf>
    <xf numFmtId="1" fontId="39" fillId="19" borderId="11" xfId="1" applyNumberFormat="1" applyFont="1" applyFill="1" applyBorder="1" applyAlignment="1">
      <alignment horizontal="right" vertical="center"/>
    </xf>
    <xf numFmtId="1" fontId="35" fillId="23" borderId="13" xfId="14" applyNumberFormat="1" applyBorder="1" applyAlignment="1">
      <alignment horizontal="right" vertical="center"/>
    </xf>
    <xf numFmtId="0" fontId="0" fillId="7" borderId="11" xfId="0" applyFont="1" applyFill="1" applyBorder="1" applyAlignment="1">
      <alignment vertical="center"/>
    </xf>
    <xf numFmtId="1" fontId="0" fillId="7" borderId="11" xfId="0" applyNumberFormat="1" applyFont="1" applyFill="1" applyBorder="1" applyAlignment="1">
      <alignment horizontal="center" vertical="center"/>
    </xf>
    <xf numFmtId="0" fontId="0" fillId="11" borderId="11" xfId="0" applyFont="1" applyFill="1" applyBorder="1" applyAlignment="1">
      <alignment vertical="center"/>
    </xf>
    <xf numFmtId="1" fontId="14" fillId="0" borderId="0" xfId="0" applyNumberFormat="1" applyFont="1" applyFill="1" applyBorder="1" applyAlignment="1">
      <alignment horizontal="center" vertical="center"/>
    </xf>
    <xf numFmtId="0" fontId="14" fillId="0" borderId="0" xfId="0" applyFont="1" applyFill="1" applyBorder="1" applyAlignment="1">
      <alignment vertical="center"/>
    </xf>
    <xf numFmtId="9" fontId="14" fillId="0" borderId="0" xfId="0" applyNumberFormat="1" applyFont="1" applyFill="1" applyBorder="1" applyAlignment="1">
      <alignment horizontal="left" vertical="center"/>
    </xf>
    <xf numFmtId="0" fontId="98" fillId="0" borderId="11" xfId="0" quotePrefix="1" applyFont="1" applyBorder="1"/>
    <xf numFmtId="9" fontId="14" fillId="0" borderId="0" xfId="1" applyFont="1" applyFill="1" applyBorder="1" applyAlignment="1">
      <alignment horizontal="center" vertical="center"/>
    </xf>
    <xf numFmtId="0" fontId="99" fillId="0" borderId="11" xfId="12" applyFont="1" applyBorder="1" applyAlignment="1">
      <alignment horizontal="center" wrapText="1"/>
    </xf>
    <xf numFmtId="10" fontId="99" fillId="0" borderId="11" xfId="12" applyNumberFormat="1" applyFont="1" applyFill="1" applyBorder="1" applyAlignment="1">
      <alignment horizontal="center"/>
    </xf>
    <xf numFmtId="10" fontId="99" fillId="0" borderId="11" xfId="12" applyNumberFormat="1" applyFont="1" applyFill="1" applyBorder="1" applyAlignment="1">
      <alignment horizontal="center" vertical="center"/>
    </xf>
    <xf numFmtId="0" fontId="82" fillId="4" borderId="11" xfId="12" applyNumberFormat="1" applyFill="1" applyBorder="1" applyAlignment="1">
      <alignment horizontal="center"/>
    </xf>
    <xf numFmtId="10" fontId="82" fillId="4" borderId="11" xfId="12" applyNumberFormat="1" applyFill="1" applyBorder="1" applyAlignment="1">
      <alignment horizontal="center"/>
    </xf>
    <xf numFmtId="10" fontId="0" fillId="4" borderId="11" xfId="0" applyNumberFormat="1" applyFill="1" applyBorder="1" applyAlignment="1">
      <alignment horizontal="center"/>
    </xf>
    <xf numFmtId="0" fontId="82" fillId="7" borderId="11" xfId="12" applyNumberFormat="1" applyFill="1" applyBorder="1" applyAlignment="1">
      <alignment horizontal="center"/>
    </xf>
    <xf numFmtId="10" fontId="82" fillId="7" borderId="11" xfId="12" applyNumberFormat="1" applyFill="1" applyBorder="1" applyAlignment="1">
      <alignment horizontal="center"/>
    </xf>
    <xf numFmtId="10" fontId="0" fillId="7" borderId="11" xfId="0" applyNumberFormat="1" applyFill="1" applyBorder="1" applyAlignment="1">
      <alignment horizontal="center"/>
    </xf>
    <xf numFmtId="0" fontId="82" fillId="22" borderId="11" xfId="12" applyNumberFormat="1" applyFill="1" applyBorder="1" applyAlignment="1">
      <alignment horizontal="center"/>
    </xf>
    <xf numFmtId="10" fontId="82" fillId="22" borderId="11" xfId="12" applyNumberFormat="1" applyFill="1" applyBorder="1" applyAlignment="1">
      <alignment horizontal="center"/>
    </xf>
    <xf numFmtId="10" fontId="0" fillId="22" borderId="11" xfId="0" applyNumberFormat="1" applyFill="1" applyBorder="1" applyAlignment="1">
      <alignment horizontal="center"/>
    </xf>
    <xf numFmtId="0" fontId="82" fillId="10" borderId="11" xfId="12" applyNumberFormat="1" applyFill="1" applyBorder="1" applyAlignment="1">
      <alignment horizontal="center"/>
    </xf>
    <xf numFmtId="10" fontId="82" fillId="10" borderId="11" xfId="12" applyNumberFormat="1" applyFill="1" applyBorder="1" applyAlignment="1">
      <alignment horizontal="center"/>
    </xf>
    <xf numFmtId="10" fontId="0" fillId="10" borderId="11" xfId="0" applyNumberFormat="1" applyFill="1" applyBorder="1" applyAlignment="1">
      <alignment horizontal="center"/>
    </xf>
    <xf numFmtId="0" fontId="82" fillId="33" borderId="11" xfId="12" applyNumberFormat="1" applyFill="1" applyBorder="1" applyAlignment="1">
      <alignment horizontal="center"/>
    </xf>
    <xf numFmtId="10" fontId="82" fillId="33" borderId="11" xfId="12" applyNumberFormat="1" applyFill="1" applyBorder="1" applyAlignment="1">
      <alignment horizontal="center"/>
    </xf>
    <xf numFmtId="10" fontId="0" fillId="33" borderId="11" xfId="0" applyNumberFormat="1" applyFill="1" applyBorder="1" applyAlignment="1">
      <alignment horizontal="center"/>
    </xf>
    <xf numFmtId="10" fontId="100" fillId="4" borderId="11" xfId="12" applyNumberFormat="1" applyFont="1" applyFill="1" applyBorder="1" applyAlignment="1">
      <alignment horizontal="center"/>
    </xf>
    <xf numFmtId="10" fontId="100" fillId="22" borderId="11" xfId="12" applyNumberFormat="1" applyFont="1" applyFill="1" applyBorder="1" applyAlignment="1">
      <alignment horizontal="center"/>
    </xf>
    <xf numFmtId="10" fontId="100" fillId="10" borderId="11" xfId="12" applyNumberFormat="1" applyFont="1" applyFill="1" applyBorder="1" applyAlignment="1">
      <alignment horizontal="center"/>
    </xf>
    <xf numFmtId="10" fontId="100" fillId="33" borderId="11" xfId="12" applyNumberFormat="1" applyFont="1" applyFill="1" applyBorder="1" applyAlignment="1">
      <alignment horizontal="center"/>
    </xf>
    <xf numFmtId="10" fontId="100" fillId="7" borderId="11" xfId="12" applyNumberFormat="1" applyFont="1" applyFill="1" applyBorder="1" applyAlignment="1">
      <alignment horizontal="center"/>
    </xf>
    <xf numFmtId="0" fontId="82" fillId="0" borderId="0" xfId="12" applyFont="1" applyBorder="1" applyAlignment="1">
      <alignment horizontal="left"/>
    </xf>
    <xf numFmtId="0" fontId="7" fillId="0" borderId="0" xfId="0" applyFont="1" applyBorder="1"/>
    <xf numFmtId="0" fontId="0" fillId="0" borderId="11" xfId="0" applyBorder="1"/>
    <xf numFmtId="9" fontId="0" fillId="0" borderId="11" xfId="0" applyNumberFormat="1" applyBorder="1" applyAlignment="1">
      <alignment horizontal="center"/>
    </xf>
    <xf numFmtId="9" fontId="0" fillId="0" borderId="11" xfId="1" applyFont="1" applyBorder="1" applyAlignment="1">
      <alignment horizontal="center"/>
    </xf>
    <xf numFmtId="9" fontId="4" fillId="0" borderId="11" xfId="1" applyFont="1" applyBorder="1" applyAlignment="1">
      <alignment horizontal="center"/>
    </xf>
    <xf numFmtId="0" fontId="4" fillId="0" borderId="11" xfId="0" applyFont="1" applyBorder="1"/>
    <xf numFmtId="0" fontId="4" fillId="0" borderId="11" xfId="0" applyFont="1" applyBorder="1" applyAlignment="1">
      <alignment horizontal="center"/>
    </xf>
    <xf numFmtId="164" fontId="0" fillId="22" borderId="11" xfId="0" applyNumberFormat="1" applyFill="1" applyBorder="1" applyAlignment="1">
      <alignment horizontal="center" vertical="center"/>
    </xf>
    <xf numFmtId="0" fontId="0" fillId="0" borderId="10" xfId="0" applyFont="1" applyBorder="1" applyAlignment="1">
      <alignment vertical="center"/>
    </xf>
    <xf numFmtId="2" fontId="0" fillId="0" borderId="9" xfId="0" applyNumberFormat="1" applyFont="1" applyBorder="1" applyAlignment="1">
      <alignment horizontal="center" vertical="center"/>
    </xf>
    <xf numFmtId="0" fontId="0" fillId="0" borderId="9" xfId="0" applyFont="1" applyBorder="1" applyAlignment="1">
      <alignment vertical="center"/>
    </xf>
    <xf numFmtId="2" fontId="0" fillId="0" borderId="6" xfId="0" applyNumberFormat="1" applyFont="1" applyBorder="1" applyAlignment="1">
      <alignment horizontal="center" vertical="center"/>
    </xf>
    <xf numFmtId="0" fontId="0" fillId="22" borderId="5" xfId="0" applyFont="1" applyFill="1" applyBorder="1" applyAlignment="1">
      <alignment vertical="center"/>
    </xf>
    <xf numFmtId="0" fontId="0" fillId="22" borderId="4" xfId="0" applyFont="1" applyFill="1" applyBorder="1" applyAlignment="1">
      <alignment vertical="center"/>
    </xf>
    <xf numFmtId="2" fontId="0" fillId="22" borderId="3" xfId="0" applyNumberFormat="1" applyFont="1" applyFill="1" applyBorder="1" applyAlignment="1">
      <alignment horizontal="center" vertical="center"/>
    </xf>
    <xf numFmtId="2" fontId="0" fillId="0" borderId="8" xfId="0" applyNumberFormat="1" applyFont="1" applyBorder="1" applyAlignment="1">
      <alignment horizontal="left" vertical="center"/>
    </xf>
    <xf numFmtId="170" fontId="0" fillId="0" borderId="0" xfId="0" applyNumberFormat="1"/>
    <xf numFmtId="169" fontId="0" fillId="0" borderId="0" xfId="0" applyNumberFormat="1"/>
    <xf numFmtId="164" fontId="0" fillId="0" borderId="0" xfId="0" applyNumberFormat="1"/>
    <xf numFmtId="167" fontId="0" fillId="0" borderId="0" xfId="0" applyNumberFormat="1"/>
    <xf numFmtId="9" fontId="0" fillId="0" borderId="0" xfId="1" applyFont="1"/>
    <xf numFmtId="10" fontId="0" fillId="0" borderId="0" xfId="1" applyNumberFormat="1" applyFont="1" applyAlignment="1">
      <alignment vertical="center"/>
    </xf>
    <xf numFmtId="0" fontId="0" fillId="12" borderId="0" xfId="0" applyFont="1" applyFill="1" applyAlignment="1">
      <alignment vertical="center"/>
    </xf>
    <xf numFmtId="0" fontId="76" fillId="12" borderId="11" xfId="11" applyFill="1" applyBorder="1" applyAlignment="1">
      <alignment vertical="center"/>
    </xf>
    <xf numFmtId="0" fontId="0" fillId="12" borderId="0" xfId="0" quotePrefix="1" applyFont="1" applyFill="1" applyAlignment="1">
      <alignment vertical="center"/>
    </xf>
    <xf numFmtId="0" fontId="52" fillId="12" borderId="11" xfId="9" applyFill="1" applyBorder="1" applyAlignment="1">
      <alignment vertical="center"/>
    </xf>
    <xf numFmtId="0" fontId="0" fillId="12" borderId="9" xfId="0" applyFont="1" applyFill="1" applyBorder="1" applyAlignment="1">
      <alignment vertical="center"/>
    </xf>
    <xf numFmtId="0" fontId="0" fillId="12" borderId="8" xfId="0" applyFont="1" applyFill="1" applyBorder="1" applyAlignment="1">
      <alignment vertical="center"/>
    </xf>
    <xf numFmtId="0" fontId="0" fillId="12" borderId="7" xfId="0" applyFont="1" applyFill="1" applyBorder="1" applyAlignment="1">
      <alignment vertical="center"/>
    </xf>
    <xf numFmtId="0" fontId="0" fillId="12" borderId="6" xfId="0" applyFont="1" applyFill="1" applyBorder="1" applyAlignment="1">
      <alignment vertical="center"/>
    </xf>
    <xf numFmtId="0" fontId="0" fillId="12" borderId="0" xfId="0" applyFont="1" applyFill="1" applyBorder="1" applyAlignment="1">
      <alignment vertical="center"/>
    </xf>
    <xf numFmtId="0" fontId="4" fillId="12" borderId="5" xfId="0" applyFont="1" applyFill="1" applyBorder="1" applyAlignment="1">
      <alignment horizontal="right" vertical="center"/>
    </xf>
    <xf numFmtId="0" fontId="87" fillId="12" borderId="4" xfId="0" applyFont="1" applyFill="1" applyBorder="1" applyAlignment="1">
      <alignment horizontal="left" vertical="center"/>
    </xf>
    <xf numFmtId="0" fontId="4" fillId="12" borderId="3" xfId="0" applyFont="1" applyFill="1" applyBorder="1" applyAlignment="1">
      <alignment vertical="center"/>
    </xf>
    <xf numFmtId="0" fontId="67" fillId="12" borderId="10" xfId="0" applyFont="1" applyFill="1" applyBorder="1" applyAlignment="1">
      <alignment vertical="center"/>
    </xf>
    <xf numFmtId="166" fontId="67" fillId="12" borderId="9" xfId="0" applyNumberFormat="1" applyFont="1" applyFill="1" applyBorder="1" applyAlignment="1">
      <alignment vertical="center"/>
    </xf>
    <xf numFmtId="0" fontId="67" fillId="12" borderId="8" xfId="0" applyFont="1" applyFill="1" applyBorder="1" applyAlignment="1">
      <alignment vertical="center"/>
    </xf>
    <xf numFmtId="0" fontId="77" fillId="12" borderId="7" xfId="0" applyFont="1" applyFill="1" applyBorder="1" applyAlignment="1">
      <alignment vertical="center"/>
    </xf>
    <xf numFmtId="166" fontId="77" fillId="12" borderId="0" xfId="0" applyNumberFormat="1" applyFont="1" applyFill="1" applyBorder="1" applyAlignment="1">
      <alignment vertical="center"/>
    </xf>
    <xf numFmtId="0" fontId="77" fillId="12" borderId="6" xfId="0" applyFont="1" applyFill="1" applyBorder="1" applyAlignment="1">
      <alignment vertical="center"/>
    </xf>
    <xf numFmtId="0" fontId="0" fillId="12" borderId="7" xfId="0" applyFont="1" applyFill="1" applyBorder="1" applyAlignment="1">
      <alignment horizontal="left" vertical="center" indent="1"/>
    </xf>
    <xf numFmtId="166" fontId="25" fillId="12" borderId="0" xfId="0" applyNumberFormat="1" applyFont="1" applyFill="1" applyBorder="1" applyAlignment="1">
      <alignment vertical="center"/>
    </xf>
    <xf numFmtId="0" fontId="25" fillId="12" borderId="6" xfId="0" applyFont="1" applyFill="1" applyBorder="1" applyAlignment="1">
      <alignment vertical="center"/>
    </xf>
    <xf numFmtId="0" fontId="0" fillId="12" borderId="5" xfId="0" applyFont="1" applyFill="1" applyBorder="1" applyAlignment="1">
      <alignment horizontal="left" vertical="center" indent="1"/>
    </xf>
    <xf numFmtId="166" fontId="25" fillId="12" borderId="4" xfId="0" applyNumberFormat="1" applyFont="1" applyFill="1" applyBorder="1" applyAlignment="1">
      <alignment vertical="center"/>
    </xf>
    <xf numFmtId="0" fontId="25" fillId="12" borderId="3" xfId="0" applyFont="1" applyFill="1" applyBorder="1" applyAlignment="1">
      <alignment vertical="center"/>
    </xf>
    <xf numFmtId="0" fontId="3" fillId="12" borderId="6" xfId="0" applyFont="1" applyFill="1" applyBorder="1" applyAlignment="1">
      <alignment vertical="center"/>
    </xf>
    <xf numFmtId="166" fontId="3" fillId="12" borderId="0" xfId="16" applyNumberFormat="1" applyFont="1" applyFill="1" applyBorder="1" applyAlignment="1">
      <alignment vertical="center"/>
    </xf>
    <xf numFmtId="10" fontId="0" fillId="0" borderId="0" xfId="1" applyNumberFormat="1" applyFont="1"/>
    <xf numFmtId="2" fontId="0" fillId="35" borderId="0" xfId="0" applyNumberFormat="1" applyFill="1"/>
    <xf numFmtId="0" fontId="3" fillId="9" borderId="0" xfId="0" applyFont="1" applyFill="1"/>
    <xf numFmtId="0" fontId="103" fillId="0" borderId="11" xfId="0" applyFont="1" applyBorder="1" applyAlignment="1">
      <alignment horizontal="left"/>
    </xf>
    <xf numFmtId="0" fontId="104" fillId="0" borderId="0" xfId="0" applyFont="1"/>
    <xf numFmtId="0" fontId="105" fillId="0" borderId="0" xfId="0" applyFont="1"/>
    <xf numFmtId="0" fontId="106" fillId="0" borderId="0" xfId="0" applyFont="1"/>
    <xf numFmtId="0" fontId="107" fillId="0" borderId="0" xfId="0" applyFont="1"/>
    <xf numFmtId="0" fontId="107" fillId="0" borderId="0" xfId="0" applyFont="1" applyAlignment="1">
      <alignment wrapText="1"/>
    </xf>
    <xf numFmtId="11" fontId="107" fillId="0" borderId="0" xfId="0" applyNumberFormat="1" applyFont="1"/>
    <xf numFmtId="0" fontId="107" fillId="0" borderId="0" xfId="0" applyFont="1" applyAlignment="1">
      <alignment horizontal="right"/>
    </xf>
    <xf numFmtId="0" fontId="107" fillId="0" borderId="0" xfId="0" applyFont="1" applyAlignment="1">
      <alignment horizontal="center"/>
    </xf>
    <xf numFmtId="0" fontId="108" fillId="0" borderId="0" xfId="0" applyFont="1" applyAlignment="1">
      <alignment wrapText="1"/>
    </xf>
    <xf numFmtId="11" fontId="11" fillId="28" borderId="11" xfId="0" applyNumberFormat="1" applyFont="1" applyFill="1" applyBorder="1" applyAlignment="1">
      <alignment horizontal="center" vertical="center"/>
    </xf>
    <xf numFmtId="170" fontId="11" fillId="28" borderId="11" xfId="0" applyNumberFormat="1" applyFont="1" applyFill="1" applyBorder="1" applyAlignment="1">
      <alignment horizontal="center" vertical="center"/>
    </xf>
    <xf numFmtId="0" fontId="0" fillId="12" borderId="0" xfId="0" applyFill="1" applyAlignment="1">
      <alignment vertical="center"/>
    </xf>
    <xf numFmtId="0" fontId="21" fillId="12" borderId="0" xfId="0" applyFont="1" applyFill="1" applyBorder="1" applyAlignment="1">
      <alignment horizontal="left" vertical="center"/>
    </xf>
    <xf numFmtId="2" fontId="0" fillId="12" borderId="0" xfId="0" applyNumberFormat="1" applyFont="1" applyFill="1" applyAlignment="1">
      <alignment horizontal="center" vertical="center"/>
    </xf>
    <xf numFmtId="0" fontId="17" fillId="12" borderId="0" xfId="0" applyFont="1" applyFill="1" applyBorder="1" applyAlignment="1">
      <alignment vertical="center"/>
    </xf>
    <xf numFmtId="0" fontId="86" fillId="12" borderId="0" xfId="0" applyFont="1" applyFill="1" applyAlignment="1">
      <alignment vertical="center"/>
    </xf>
    <xf numFmtId="2" fontId="11" fillId="12" borderId="0" xfId="0" applyNumberFormat="1" applyFont="1" applyFill="1" applyAlignment="1">
      <alignment horizontal="center" vertical="center"/>
    </xf>
    <xf numFmtId="0" fontId="65" fillId="12" borderId="0" xfId="0" applyFont="1" applyFill="1" applyBorder="1" applyAlignment="1">
      <alignment horizontal="left" vertical="center"/>
    </xf>
    <xf numFmtId="11" fontId="11" fillId="12" borderId="0" xfId="0" applyNumberFormat="1" applyFont="1" applyFill="1" applyAlignment="1">
      <alignment horizontal="center" vertical="center"/>
    </xf>
    <xf numFmtId="0" fontId="0" fillId="12" borderId="14" xfId="0" applyFont="1" applyFill="1" applyBorder="1" applyAlignment="1">
      <alignment vertical="center"/>
    </xf>
    <xf numFmtId="0" fontId="25" fillId="12" borderId="0" xfId="0" applyFont="1" applyFill="1" applyAlignment="1">
      <alignment horizontal="center" vertical="center"/>
    </xf>
    <xf numFmtId="0" fontId="109" fillId="0" borderId="0" xfId="0" applyFont="1"/>
    <xf numFmtId="14" fontId="0" fillId="0" borderId="0" xfId="0" applyNumberFormat="1"/>
    <xf numFmtId="166" fontId="0" fillId="0" borderId="0" xfId="0" applyNumberFormat="1" applyAlignment="1">
      <alignment horizontal="center"/>
    </xf>
    <xf numFmtId="0" fontId="0" fillId="12" borderId="10" xfId="0" applyFont="1" applyFill="1" applyBorder="1" applyAlignment="1">
      <alignment vertical="center"/>
    </xf>
    <xf numFmtId="1" fontId="0" fillId="12" borderId="0" xfId="0" applyNumberFormat="1" applyFont="1" applyFill="1" applyBorder="1" applyAlignment="1">
      <alignment vertical="center"/>
    </xf>
    <xf numFmtId="0" fontId="0" fillId="12" borderId="5" xfId="0" applyFont="1" applyFill="1" applyBorder="1" applyAlignment="1">
      <alignment vertical="center"/>
    </xf>
    <xf numFmtId="0" fontId="0" fillId="12" borderId="4" xfId="0" applyFont="1" applyFill="1" applyBorder="1" applyAlignment="1">
      <alignment vertical="center"/>
    </xf>
    <xf numFmtId="164" fontId="0" fillId="12" borderId="5" xfId="0" applyNumberFormat="1" applyFont="1" applyFill="1" applyBorder="1" applyAlignment="1">
      <alignment vertical="center"/>
    </xf>
    <xf numFmtId="9" fontId="0" fillId="12" borderId="4" xfId="1" applyFont="1" applyFill="1" applyBorder="1" applyAlignment="1">
      <alignment vertical="center"/>
    </xf>
    <xf numFmtId="166" fontId="0" fillId="12" borderId="9" xfId="0" applyNumberFormat="1" applyFont="1" applyFill="1" applyBorder="1" applyAlignment="1">
      <alignment vertical="center"/>
    </xf>
    <xf numFmtId="166" fontId="0" fillId="12" borderId="0" xfId="0" applyNumberFormat="1" applyFont="1" applyFill="1" applyBorder="1" applyAlignment="1">
      <alignment vertical="center"/>
    </xf>
    <xf numFmtId="166" fontId="0" fillId="12" borderId="4" xfId="0" applyNumberFormat="1" applyFont="1" applyFill="1" applyBorder="1" applyAlignment="1">
      <alignment vertical="center"/>
    </xf>
    <xf numFmtId="0" fontId="33" fillId="12" borderId="8" xfId="0" applyFont="1" applyFill="1" applyBorder="1" applyAlignment="1">
      <alignment vertical="center"/>
    </xf>
    <xf numFmtId="0" fontId="33" fillId="12" borderId="6" xfId="0" applyFont="1" applyFill="1" applyBorder="1" applyAlignment="1">
      <alignment vertical="center"/>
    </xf>
    <xf numFmtId="0" fontId="33" fillId="12" borderId="3" xfId="0" applyFont="1" applyFill="1" applyBorder="1" applyAlignment="1">
      <alignment vertical="center"/>
    </xf>
    <xf numFmtId="164" fontId="33" fillId="12" borderId="3" xfId="0" applyNumberFormat="1" applyFont="1" applyFill="1" applyBorder="1" applyAlignment="1">
      <alignment vertical="center"/>
    </xf>
    <xf numFmtId="164" fontId="0" fillId="12" borderId="7" xfId="0" applyNumberFormat="1" applyFont="1" applyFill="1" applyBorder="1" applyAlignment="1">
      <alignment vertical="center"/>
    </xf>
    <xf numFmtId="164" fontId="33" fillId="12" borderId="6" xfId="0" applyNumberFormat="1" applyFont="1" applyFill="1" applyBorder="1" applyAlignment="1">
      <alignment vertical="center"/>
    </xf>
    <xf numFmtId="0" fontId="0" fillId="12" borderId="13" xfId="0" applyFont="1" applyFill="1" applyBorder="1" applyAlignment="1">
      <alignment vertical="center"/>
    </xf>
    <xf numFmtId="0" fontId="52" fillId="12" borderId="11" xfId="9" applyFill="1" applyBorder="1" applyAlignment="1">
      <alignment horizontal="center" vertical="center"/>
    </xf>
    <xf numFmtId="0" fontId="77" fillId="12" borderId="12" xfId="0" applyFont="1" applyFill="1" applyBorder="1" applyAlignment="1">
      <alignment vertical="center"/>
    </xf>
    <xf numFmtId="165" fontId="4" fillId="12" borderId="12" xfId="0" applyNumberFormat="1" applyFont="1" applyFill="1" applyBorder="1" applyAlignment="1">
      <alignment vertical="center"/>
    </xf>
    <xf numFmtId="0" fontId="110" fillId="12" borderId="0" xfId="0" applyFont="1" applyFill="1" applyAlignment="1">
      <alignment vertical="center"/>
    </xf>
    <xf numFmtId="0" fontId="111" fillId="12" borderId="0" xfId="0" applyFont="1" applyFill="1" applyAlignment="1">
      <alignment vertical="center"/>
    </xf>
    <xf numFmtId="1" fontId="7" fillId="36" borderId="11" xfId="0" applyNumberFormat="1" applyFont="1" applyFill="1" applyBorder="1" applyAlignment="1">
      <alignment horizontal="center" vertical="center"/>
    </xf>
    <xf numFmtId="0" fontId="0" fillId="12" borderId="4" xfId="0" applyFont="1" applyFill="1" applyBorder="1" applyAlignment="1">
      <alignment horizontal="center" vertical="center"/>
    </xf>
    <xf numFmtId="0" fontId="0" fillId="12" borderId="3" xfId="0" applyFont="1" applyFill="1" applyBorder="1" applyAlignment="1">
      <alignment horizontal="center" vertical="center"/>
    </xf>
    <xf numFmtId="0" fontId="0" fillId="12" borderId="9" xfId="0" applyFont="1" applyFill="1" applyBorder="1" applyAlignment="1">
      <alignment horizontal="center" vertical="center"/>
    </xf>
    <xf numFmtId="0" fontId="0" fillId="12" borderId="8" xfId="0" applyFont="1" applyFill="1" applyBorder="1" applyAlignment="1">
      <alignment horizontal="center" vertical="center"/>
    </xf>
    <xf numFmtId="0" fontId="0" fillId="12" borderId="0" xfId="0" applyFont="1" applyFill="1" applyBorder="1" applyAlignment="1">
      <alignment horizontal="center" vertical="center"/>
    </xf>
    <xf numFmtId="0" fontId="0" fillId="12" borderId="6" xfId="0" applyFont="1" applyFill="1" applyBorder="1" applyAlignment="1">
      <alignment horizontal="center" vertical="center"/>
    </xf>
    <xf numFmtId="1" fontId="0" fillId="12" borderId="0" xfId="0" applyNumberFormat="1" applyFont="1" applyFill="1" applyBorder="1" applyAlignment="1">
      <alignment horizontal="center" vertical="center"/>
    </xf>
    <xf numFmtId="0" fontId="0" fillId="12" borderId="14" xfId="0" applyFont="1" applyFill="1" applyBorder="1" applyAlignment="1">
      <alignment horizontal="center" vertical="center"/>
    </xf>
    <xf numFmtId="11" fontId="0" fillId="10" borderId="11" xfId="0" applyNumberFormat="1" applyFill="1" applyBorder="1" applyAlignment="1">
      <alignment horizontal="center" vertical="center"/>
    </xf>
    <xf numFmtId="166" fontId="0" fillId="4" borderId="11" xfId="0" applyNumberFormat="1" applyFill="1" applyBorder="1" applyAlignment="1">
      <alignment horizontal="center" vertical="center"/>
    </xf>
    <xf numFmtId="2" fontId="0" fillId="12" borderId="0" xfId="0" applyNumberFormat="1" applyFont="1" applyFill="1" applyBorder="1" applyAlignment="1">
      <alignment vertical="center"/>
    </xf>
    <xf numFmtId="0" fontId="0" fillId="7" borderId="0" xfId="0" applyFill="1" applyAlignment="1">
      <alignment vertical="center"/>
    </xf>
    <xf numFmtId="0" fontId="0" fillId="0" borderId="10" xfId="0" applyBorder="1" applyAlignment="1">
      <alignment vertical="center"/>
    </xf>
    <xf numFmtId="0" fontId="33" fillId="0" borderId="9" xfId="0" applyFont="1" applyBorder="1" applyAlignment="1">
      <alignment horizontal="right"/>
    </xf>
    <xf numFmtId="11" fontId="5" fillId="0" borderId="0" xfId="0" applyNumberFormat="1" applyFont="1" applyBorder="1" applyAlignment="1">
      <alignment horizontal="center"/>
    </xf>
    <xf numFmtId="11" fontId="5" fillId="0" borderId="6" xfId="0" applyNumberFormat="1" applyFont="1" applyBorder="1" applyAlignment="1">
      <alignment horizontal="center"/>
    </xf>
    <xf numFmtId="0" fontId="0" fillId="0" borderId="5" xfId="0" applyBorder="1" applyAlignment="1">
      <alignment vertical="center"/>
    </xf>
    <xf numFmtId="0" fontId="0" fillId="0" borderId="4" xfId="0" applyBorder="1" applyAlignment="1">
      <alignment vertical="center"/>
    </xf>
    <xf numFmtId="0" fontId="33" fillId="0" borderId="4" xfId="0" applyFont="1" applyBorder="1" applyAlignment="1">
      <alignment horizontal="right"/>
    </xf>
    <xf numFmtId="0" fontId="0" fillId="4" borderId="11" xfId="0" applyFill="1" applyBorder="1" applyAlignment="1">
      <alignment horizontal="center" vertical="center"/>
    </xf>
    <xf numFmtId="0" fontId="0" fillId="10" borderId="11" xfId="0" applyFill="1" applyBorder="1" applyAlignment="1">
      <alignment horizontal="center" vertical="center"/>
    </xf>
    <xf numFmtId="166" fontId="0" fillId="10" borderId="11" xfId="0" applyNumberFormat="1" applyFill="1" applyBorder="1" applyAlignment="1">
      <alignment horizontal="center" vertical="center"/>
    </xf>
    <xf numFmtId="11" fontId="5" fillId="0" borderId="0" xfId="0" quotePrefix="1" applyNumberFormat="1" applyFont="1" applyBorder="1" applyAlignment="1">
      <alignment horizontal="center" vertical="center"/>
    </xf>
    <xf numFmtId="11" fontId="112" fillId="4" borderId="11" xfId="9" applyNumberFormat="1" applyFont="1" applyFill="1" applyBorder="1" applyAlignment="1">
      <alignment horizontal="center" vertical="center"/>
    </xf>
    <xf numFmtId="11" fontId="0" fillId="0" borderId="0" xfId="0" applyNumberFormat="1" applyAlignment="1">
      <alignment horizontal="center"/>
    </xf>
    <xf numFmtId="0" fontId="29" fillId="10" borderId="11" xfId="0" applyFont="1" applyFill="1" applyBorder="1" applyAlignment="1">
      <alignment horizontal="center" vertical="center"/>
    </xf>
    <xf numFmtId="11" fontId="0" fillId="0" borderId="0" xfId="0" applyNumberFormat="1" applyFont="1" applyBorder="1" applyAlignment="1">
      <alignment horizontal="center" vertical="center"/>
    </xf>
    <xf numFmtId="11" fontId="0" fillId="0" borderId="6" xfId="0" applyNumberFormat="1" applyFont="1" applyBorder="1" applyAlignment="1">
      <alignment horizontal="center" vertical="center"/>
    </xf>
    <xf numFmtId="11" fontId="0" fillId="0" borderId="9" xfId="0" applyNumberFormat="1" applyFont="1" applyBorder="1" applyAlignment="1">
      <alignment horizontal="center" vertical="center"/>
    </xf>
    <xf numFmtId="11" fontId="0" fillId="0" borderId="8" xfId="0" applyNumberFormat="1" applyFont="1" applyBorder="1" applyAlignment="1">
      <alignment horizontal="center" vertical="center"/>
    </xf>
    <xf numFmtId="11" fontId="112" fillId="9" borderId="11" xfId="9"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0" xfId="0" applyFont="1" applyBorder="1" applyAlignment="1">
      <alignment horizontal="center" vertical="center"/>
    </xf>
    <xf numFmtId="0" fontId="0" fillId="0" borderId="7" xfId="0" applyFont="1" applyBorder="1" applyAlignment="1">
      <alignment horizontal="center"/>
    </xf>
    <xf numFmtId="0" fontId="0" fillId="0" borderId="0" xfId="0" applyFont="1" applyBorder="1" applyAlignment="1">
      <alignment horizontal="center"/>
    </xf>
    <xf numFmtId="11" fontId="4" fillId="0" borderId="9" xfId="0" applyNumberFormat="1" applyFont="1" applyBorder="1" applyAlignment="1">
      <alignment horizontal="center" vertical="center"/>
    </xf>
    <xf numFmtId="0" fontId="4" fillId="9" borderId="11" xfId="0" applyFont="1" applyFill="1" applyBorder="1" applyAlignment="1">
      <alignment horizontal="center" vertical="center"/>
    </xf>
    <xf numFmtId="0" fontId="79" fillId="0" borderId="11" xfId="0" applyFont="1" applyBorder="1" applyAlignment="1">
      <alignment horizontal="center"/>
    </xf>
    <xf numFmtId="170" fontId="79" fillId="0" borderId="11" xfId="0" applyNumberFormat="1" applyFont="1" applyBorder="1" applyAlignment="1">
      <alignment horizontal="center" vertical="center"/>
    </xf>
    <xf numFmtId="11" fontId="79" fillId="0" borderId="11" xfId="0" applyNumberFormat="1" applyFont="1" applyBorder="1" applyAlignment="1">
      <alignment horizontal="center"/>
    </xf>
    <xf numFmtId="170" fontId="79" fillId="0" borderId="11" xfId="0" applyNumberFormat="1" applyFont="1" applyBorder="1" applyAlignment="1">
      <alignment horizontal="center"/>
    </xf>
    <xf numFmtId="0" fontId="79" fillId="0" borderId="11" xfId="0" applyFont="1" applyBorder="1" applyAlignment="1">
      <alignment horizontal="center" vertical="center"/>
    </xf>
    <xf numFmtId="165" fontId="79" fillId="0" borderId="11" xfId="0" applyNumberFormat="1" applyFont="1" applyBorder="1" applyAlignment="1">
      <alignment horizontal="center"/>
    </xf>
    <xf numFmtId="165" fontId="79" fillId="0" borderId="11" xfId="0" applyNumberFormat="1" applyFont="1" applyBorder="1" applyAlignment="1">
      <alignment horizontal="center" vertical="center"/>
    </xf>
    <xf numFmtId="0" fontId="16" fillId="0" borderId="0" xfId="0" applyFont="1" applyFill="1" applyAlignment="1">
      <alignment vertical="center"/>
    </xf>
    <xf numFmtId="0" fontId="0" fillId="0" borderId="0" xfId="0" applyFill="1" applyAlignment="1">
      <alignment vertical="center"/>
    </xf>
    <xf numFmtId="0" fontId="0" fillId="0" borderId="0" xfId="0" applyFill="1" applyBorder="1" applyAlignment="1">
      <alignment horizontal="center" vertical="center"/>
    </xf>
    <xf numFmtId="166" fontId="0" fillId="0" borderId="0" xfId="0" applyNumberForma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170" fontId="0" fillId="0" borderId="0" xfId="0" applyNumberFormat="1" applyFill="1" applyBorder="1" applyAlignment="1">
      <alignment horizontal="center" vertical="center"/>
    </xf>
    <xf numFmtId="0" fontId="4" fillId="0" borderId="0" xfId="0" applyFont="1" applyFill="1"/>
    <xf numFmtId="0" fontId="38" fillId="0" borderId="0" xfId="0" applyFont="1" applyFill="1"/>
    <xf numFmtId="0" fontId="0" fillId="0" borderId="0" xfId="0" applyFill="1" applyAlignment="1">
      <alignment horizontal="center" vertical="center"/>
    </xf>
    <xf numFmtId="166" fontId="0" fillId="0" borderId="0" xfId="0" applyNumberFormat="1" applyFill="1" applyAlignment="1">
      <alignment horizontal="center" vertical="center"/>
    </xf>
    <xf numFmtId="11" fontId="0" fillId="0" borderId="0" xfId="0" applyNumberFormat="1" applyFill="1" applyAlignment="1">
      <alignment horizontal="center" vertical="center"/>
    </xf>
    <xf numFmtId="0" fontId="4" fillId="0" borderId="11" xfId="0" applyFont="1" applyFill="1" applyBorder="1" applyAlignment="1">
      <alignment horizontal="center" vertical="center"/>
    </xf>
    <xf numFmtId="2" fontId="113" fillId="0" borderId="11" xfId="0" applyNumberFormat="1" applyFont="1" applyFill="1" applyBorder="1" applyAlignment="1">
      <alignment horizontal="center" vertical="center"/>
    </xf>
    <xf numFmtId="11" fontId="113" fillId="0" borderId="11" xfId="0" applyNumberFormat="1" applyFont="1" applyFill="1" applyBorder="1" applyAlignment="1">
      <alignment horizontal="center" vertical="center"/>
    </xf>
    <xf numFmtId="170" fontId="113" fillId="0" borderId="11" xfId="0" applyNumberFormat="1" applyFont="1" applyFill="1" applyBorder="1" applyAlignment="1">
      <alignment horizontal="center" vertical="center"/>
    </xf>
    <xf numFmtId="167" fontId="0" fillId="0" borderId="0" xfId="1" applyNumberFormat="1" applyFont="1" applyFill="1" applyAlignment="1">
      <alignment horizontal="center" vertical="center"/>
    </xf>
    <xf numFmtId="2" fontId="0" fillId="0" borderId="11" xfId="0" applyNumberFormat="1" applyFill="1" applyBorder="1" applyAlignment="1">
      <alignment horizontal="center" vertical="center"/>
    </xf>
    <xf numFmtId="11" fontId="0" fillId="0" borderId="11" xfId="0" applyNumberFormat="1" applyFill="1" applyBorder="1" applyAlignment="1">
      <alignment horizontal="center" vertical="center"/>
    </xf>
    <xf numFmtId="170" fontId="0" fillId="0" borderId="11" xfId="0" applyNumberFormat="1" applyFill="1" applyBorder="1" applyAlignment="1">
      <alignment horizontal="center" vertical="center"/>
    </xf>
    <xf numFmtId="2" fontId="0" fillId="0" borderId="0" xfId="0" applyNumberFormat="1" applyFill="1" applyBorder="1" applyAlignment="1">
      <alignment horizontal="center" vertical="center"/>
    </xf>
    <xf numFmtId="11" fontId="0" fillId="0" borderId="0" xfId="0" applyNumberFormat="1" applyFill="1" applyBorder="1" applyAlignment="1">
      <alignment horizontal="center" vertical="center"/>
    </xf>
    <xf numFmtId="11" fontId="113" fillId="0" borderId="0" xfId="0" applyNumberFormat="1" applyFont="1" applyFill="1" applyBorder="1" applyAlignment="1">
      <alignment horizontal="center" vertical="center"/>
    </xf>
    <xf numFmtId="170" fontId="113" fillId="0" borderId="0" xfId="0" applyNumberFormat="1" applyFont="1" applyFill="1" applyBorder="1" applyAlignment="1">
      <alignment horizontal="center" vertical="center"/>
    </xf>
    <xf numFmtId="11" fontId="114" fillId="0" borderId="11" xfId="0" applyNumberFormat="1" applyFont="1" applyFill="1" applyBorder="1" applyAlignment="1">
      <alignment horizontal="center" vertical="center"/>
    </xf>
    <xf numFmtId="11" fontId="59" fillId="16" borderId="11" xfId="9" applyNumberFormat="1" applyFont="1" applyBorder="1" applyAlignment="1">
      <alignment horizontal="center" vertical="center"/>
    </xf>
    <xf numFmtId="170" fontId="52" fillId="16" borderId="11" xfId="9" applyNumberFormat="1" applyBorder="1" applyAlignment="1">
      <alignment horizontal="center" vertical="center"/>
    </xf>
    <xf numFmtId="0" fontId="52" fillId="16" borderId="0" xfId="9"/>
    <xf numFmtId="0" fontId="52" fillId="16" borderId="0" xfId="9" applyAlignment="1">
      <alignment vertical="center"/>
    </xf>
    <xf numFmtId="0" fontId="52" fillId="16" borderId="0" xfId="9" applyAlignment="1"/>
    <xf numFmtId="0" fontId="115" fillId="16" borderId="0" xfId="9" applyFont="1" applyAlignment="1"/>
    <xf numFmtId="0" fontId="0" fillId="9" borderId="11" xfId="0" applyFill="1" applyBorder="1" applyAlignment="1">
      <alignment horizontal="center" vertical="center"/>
    </xf>
    <xf numFmtId="166" fontId="0" fillId="0" borderId="11" xfId="0" applyNumberFormat="1" applyFill="1" applyBorder="1" applyAlignment="1">
      <alignment horizontal="center" vertical="center"/>
    </xf>
    <xf numFmtId="165" fontId="52" fillId="0" borderId="11" xfId="9" applyNumberFormat="1" applyFill="1" applyBorder="1" applyAlignment="1">
      <alignment horizontal="center" vertical="center"/>
    </xf>
    <xf numFmtId="170" fontId="1" fillId="0" borderId="11" xfId="9" applyNumberFormat="1" applyFont="1" applyFill="1" applyBorder="1" applyAlignment="1">
      <alignment horizontal="center" vertical="center"/>
    </xf>
    <xf numFmtId="0" fontId="0" fillId="28" borderId="0" xfId="0" applyFill="1"/>
    <xf numFmtId="0" fontId="105" fillId="28" borderId="0" xfId="0" applyFont="1" applyFill="1"/>
    <xf numFmtId="0" fontId="0" fillId="28" borderId="0" xfId="0" applyFill="1" applyAlignment="1">
      <alignment vertical="center"/>
    </xf>
    <xf numFmtId="0" fontId="116" fillId="0" borderId="0" xfId="0" applyFont="1"/>
    <xf numFmtId="0" fontId="1" fillId="29" borderId="0" xfId="9" applyFont="1" applyFill="1" applyAlignment="1"/>
    <xf numFmtId="0" fontId="117" fillId="29" borderId="0" xfId="9" applyFont="1" applyFill="1" applyAlignment="1"/>
    <xf numFmtId="0" fontId="52" fillId="29" borderId="0" xfId="9" applyFill="1"/>
    <xf numFmtId="0" fontId="0" fillId="29" borderId="0" xfId="0" applyFill="1"/>
    <xf numFmtId="0" fontId="105" fillId="29" borderId="0" xfId="0" applyFont="1" applyFill="1"/>
    <xf numFmtId="0" fontId="0" fillId="29" borderId="0" xfId="0" applyFill="1" applyAlignment="1">
      <alignment vertical="center"/>
    </xf>
    <xf numFmtId="0" fontId="52" fillId="29" borderId="0" xfId="9" applyFill="1" applyAlignment="1">
      <alignment vertical="center"/>
    </xf>
    <xf numFmtId="165" fontId="113" fillId="0" borderId="11" xfId="0" applyNumberFormat="1" applyFont="1" applyBorder="1" applyAlignment="1">
      <alignment horizontal="center" vertical="center"/>
    </xf>
    <xf numFmtId="169" fontId="113" fillId="0" borderId="11" xfId="0" applyNumberFormat="1" applyFont="1" applyBorder="1" applyAlignment="1">
      <alignment horizontal="center" vertical="center"/>
    </xf>
    <xf numFmtId="0" fontId="105" fillId="0" borderId="0" xfId="0" applyFont="1" applyFill="1"/>
    <xf numFmtId="169" fontId="113" fillId="0" borderId="11" xfId="0" applyNumberFormat="1" applyFont="1" applyFill="1" applyBorder="1" applyAlignment="1">
      <alignment horizontal="center" vertical="center"/>
    </xf>
    <xf numFmtId="169" fontId="114" fillId="0" borderId="11" xfId="0" applyNumberFormat="1" applyFont="1" applyFill="1" applyBorder="1" applyAlignment="1">
      <alignment horizontal="center" vertical="center"/>
    </xf>
    <xf numFmtId="0" fontId="0" fillId="9" borderId="11" xfId="0" applyFill="1" applyBorder="1" applyAlignment="1">
      <alignment vertical="center"/>
    </xf>
    <xf numFmtId="164" fontId="0" fillId="9" borderId="11" xfId="0" applyNumberFormat="1" applyFill="1" applyBorder="1" applyAlignment="1">
      <alignment horizontal="center" vertical="center"/>
    </xf>
    <xf numFmtId="0" fontId="0" fillId="4" borderId="11" xfId="0" applyFill="1" applyBorder="1" applyAlignment="1">
      <alignment vertical="center"/>
    </xf>
    <xf numFmtId="9" fontId="0" fillId="4" borderId="11" xfId="1" applyFont="1" applyFill="1" applyBorder="1" applyAlignment="1">
      <alignment horizontal="center" vertical="center"/>
    </xf>
    <xf numFmtId="164" fontId="0" fillId="4" borderId="11" xfId="0" applyNumberFormat="1" applyFill="1" applyBorder="1" applyAlignment="1">
      <alignment horizontal="center" vertical="center"/>
    </xf>
    <xf numFmtId="0" fontId="4" fillId="12" borderId="11" xfId="0" applyFont="1" applyFill="1" applyBorder="1" applyAlignment="1">
      <alignment vertical="center"/>
    </xf>
    <xf numFmtId="0" fontId="4" fillId="12" borderId="11" xfId="0" applyFont="1" applyFill="1" applyBorder="1" applyAlignment="1">
      <alignment horizontal="center" vertical="center"/>
    </xf>
    <xf numFmtId="0" fontId="0" fillId="0" borderId="16" xfId="0" applyFont="1" applyBorder="1" applyAlignment="1">
      <alignment horizontal="right" vertical="center"/>
    </xf>
    <xf numFmtId="165" fontId="0" fillId="0" borderId="0" xfId="0" applyNumberFormat="1" applyFill="1"/>
    <xf numFmtId="0" fontId="4" fillId="4" borderId="17" xfId="0" applyFont="1" applyFill="1" applyBorder="1" applyAlignment="1">
      <alignment horizontal="center" vertical="center"/>
    </xf>
    <xf numFmtId="165" fontId="3" fillId="0" borderId="0" xfId="0" applyNumberFormat="1" applyFont="1" applyFill="1"/>
    <xf numFmtId="0" fontId="3" fillId="0" borderId="0" xfId="0" applyFont="1" applyFill="1"/>
    <xf numFmtId="1" fontId="0" fillId="12" borderId="4" xfId="0" applyNumberFormat="1" applyFont="1" applyFill="1" applyBorder="1" applyAlignment="1">
      <alignment horizontal="center" vertical="center"/>
    </xf>
    <xf numFmtId="165" fontId="0" fillId="0" borderId="0" xfId="0" applyNumberFormat="1" applyAlignment="1">
      <alignment horizontal="center"/>
    </xf>
    <xf numFmtId="166" fontId="0" fillId="0" borderId="0" xfId="0" applyNumberFormat="1" applyAlignment="1">
      <alignment horizontal="left"/>
    </xf>
    <xf numFmtId="0" fontId="0" fillId="0" borderId="0" xfId="0" applyAlignment="1">
      <alignment horizontal="right"/>
    </xf>
    <xf numFmtId="11" fontId="22" fillId="0" borderId="0" xfId="0" applyNumberFormat="1" applyFont="1" applyAlignment="1">
      <alignment horizontal="center"/>
    </xf>
    <xf numFmtId="165" fontId="59" fillId="0" borderId="0" xfId="0" applyNumberFormat="1" applyFont="1" applyAlignment="1">
      <alignment horizontal="center"/>
    </xf>
    <xf numFmtId="165" fontId="13" fillId="0" borderId="0" xfId="0" applyNumberFormat="1" applyFont="1" applyAlignment="1">
      <alignment horizontal="center"/>
    </xf>
    <xf numFmtId="2" fontId="0" fillId="0" borderId="0" xfId="0" applyNumberFormat="1" applyAlignment="1">
      <alignment horizontal="center"/>
    </xf>
    <xf numFmtId="11" fontId="0" fillId="0" borderId="0" xfId="0" applyNumberFormat="1" applyAlignment="1">
      <alignment horizontal="left"/>
    </xf>
    <xf numFmtId="1" fontId="0" fillId="0" borderId="0" xfId="0" applyNumberFormat="1" applyAlignment="1">
      <alignment horizontal="center"/>
    </xf>
    <xf numFmtId="0" fontId="0" fillId="36" borderId="0" xfId="0" applyFill="1"/>
    <xf numFmtId="166" fontId="0" fillId="36" borderId="0" xfId="0" applyNumberFormat="1" applyFill="1" applyAlignment="1">
      <alignment horizontal="center"/>
    </xf>
    <xf numFmtId="165" fontId="13" fillId="36" borderId="0" xfId="0" applyNumberFormat="1" applyFont="1" applyFill="1" applyAlignment="1">
      <alignment horizontal="center"/>
    </xf>
    <xf numFmtId="165" fontId="0" fillId="36" borderId="0" xfId="0" applyNumberFormat="1" applyFill="1" applyAlignment="1">
      <alignment horizontal="center"/>
    </xf>
    <xf numFmtId="165" fontId="59" fillId="36" borderId="0" xfId="0" applyNumberFormat="1" applyFont="1" applyFill="1" applyAlignment="1">
      <alignment horizontal="center"/>
    </xf>
    <xf numFmtId="11" fontId="22" fillId="36" borderId="0" xfId="0" applyNumberFormat="1" applyFont="1" applyFill="1" applyAlignment="1">
      <alignment horizontal="center"/>
    </xf>
    <xf numFmtId="169" fontId="0" fillId="0" borderId="11" xfId="0" applyNumberFormat="1" applyFont="1" applyBorder="1" applyAlignment="1">
      <alignment horizontal="center" vertical="center"/>
    </xf>
    <xf numFmtId="0" fontId="0" fillId="4" borderId="0" xfId="0" applyFill="1"/>
    <xf numFmtId="0" fontId="0" fillId="4" borderId="0" xfId="0" applyFill="1" applyAlignment="1">
      <alignment vertical="center"/>
    </xf>
    <xf numFmtId="0" fontId="4" fillId="4" borderId="0" xfId="0" applyFont="1" applyFill="1" applyBorder="1" applyAlignment="1">
      <alignment horizontal="center" vertical="center"/>
    </xf>
    <xf numFmtId="170" fontId="0" fillId="4" borderId="0" xfId="0" applyNumberFormat="1" applyFill="1" applyBorder="1" applyAlignment="1">
      <alignment horizontal="center" vertical="center"/>
    </xf>
    <xf numFmtId="9" fontId="0" fillId="12" borderId="11" xfId="1" applyFont="1" applyFill="1" applyBorder="1" applyAlignment="1">
      <alignment horizontal="center" vertical="center"/>
    </xf>
    <xf numFmtId="9" fontId="0" fillId="7" borderId="11" xfId="1" applyFont="1" applyFill="1" applyBorder="1" applyAlignment="1">
      <alignment horizontal="center" vertical="center"/>
    </xf>
    <xf numFmtId="1" fontId="7" fillId="12" borderId="11" xfId="0" applyNumberFormat="1" applyFont="1" applyFill="1" applyBorder="1" applyAlignment="1">
      <alignment horizontal="center" vertical="center"/>
    </xf>
    <xf numFmtId="9" fontId="7" fillId="12" borderId="11" xfId="1" applyFont="1" applyFill="1" applyBorder="1" applyAlignment="1">
      <alignment horizontal="center" vertical="center"/>
    </xf>
    <xf numFmtId="1" fontId="7" fillId="12" borderId="11" xfId="1" applyNumberFormat="1" applyFont="1" applyFill="1" applyBorder="1" applyAlignment="1">
      <alignment horizontal="center" vertical="center"/>
    </xf>
    <xf numFmtId="0" fontId="7" fillId="12" borderId="11" xfId="0" applyFont="1" applyFill="1" applyBorder="1" applyAlignment="1">
      <alignment horizontal="center" vertical="center"/>
    </xf>
    <xf numFmtId="0" fontId="25" fillId="12" borderId="11" xfId="0" applyFont="1" applyFill="1" applyBorder="1" applyAlignment="1">
      <alignment horizontal="center" vertical="center"/>
    </xf>
    <xf numFmtId="0" fontId="25" fillId="36" borderId="11" xfId="0" applyFont="1" applyFill="1" applyBorder="1" applyAlignment="1">
      <alignment horizontal="center" vertical="center"/>
    </xf>
    <xf numFmtId="0" fontId="7" fillId="36" borderId="11" xfId="0" applyFont="1" applyFill="1" applyBorder="1" applyAlignment="1">
      <alignment horizontal="center" vertical="center"/>
    </xf>
    <xf numFmtId="9" fontId="7" fillId="36" borderId="11" xfId="1" applyFont="1" applyFill="1" applyBorder="1" applyAlignment="1">
      <alignment horizontal="center" vertical="center"/>
    </xf>
    <xf numFmtId="0" fontId="0" fillId="12" borderId="0" xfId="0" applyFill="1"/>
    <xf numFmtId="0" fontId="0" fillId="12" borderId="0" xfId="0" applyFill="1" applyAlignment="1">
      <alignment horizontal="center"/>
    </xf>
    <xf numFmtId="165" fontId="0" fillId="12" borderId="0" xfId="0" applyNumberFormat="1" applyFill="1" applyAlignment="1">
      <alignment horizontal="center"/>
    </xf>
    <xf numFmtId="0" fontId="118" fillId="16" borderId="0" xfId="9" applyFont="1" applyAlignment="1">
      <alignment horizontal="center"/>
    </xf>
    <xf numFmtId="0" fontId="113" fillId="0" borderId="0" xfId="0" applyFont="1" applyAlignment="1">
      <alignment horizontal="center"/>
    </xf>
    <xf numFmtId="0" fontId="40" fillId="0" borderId="0" xfId="0" applyFont="1" applyAlignment="1">
      <alignment horizontal="center"/>
    </xf>
    <xf numFmtId="0" fontId="113" fillId="32" borderId="0" xfId="0" applyFont="1" applyFill="1" applyAlignment="1">
      <alignment horizontal="center"/>
    </xf>
    <xf numFmtId="2" fontId="113" fillId="7" borderId="0" xfId="0" applyNumberFormat="1" applyFont="1" applyFill="1" applyAlignment="1">
      <alignment horizontal="center"/>
    </xf>
    <xf numFmtId="164" fontId="11" fillId="7" borderId="0" xfId="0" applyNumberFormat="1" applyFont="1" applyFill="1" applyAlignment="1">
      <alignment horizontal="center"/>
    </xf>
    <xf numFmtId="1" fontId="7" fillId="0" borderId="11" xfId="1" applyNumberFormat="1" applyFont="1" applyFill="1" applyBorder="1" applyAlignment="1">
      <alignment horizontal="center" vertical="center"/>
    </xf>
    <xf numFmtId="9" fontId="59" fillId="0" borderId="0" xfId="1" applyFont="1" applyAlignment="1">
      <alignment horizontal="center" vertical="center"/>
    </xf>
    <xf numFmtId="1" fontId="59" fillId="0" borderId="0" xfId="0" applyNumberFormat="1" applyFont="1" applyAlignment="1">
      <alignment horizontal="center" vertical="center"/>
    </xf>
    <xf numFmtId="164" fontId="7" fillId="7" borderId="0" xfId="0" applyNumberFormat="1" applyFont="1" applyFill="1" applyAlignment="1">
      <alignment horizontal="center"/>
    </xf>
    <xf numFmtId="0" fontId="25" fillId="0" borderId="16" xfId="0" applyFont="1" applyFill="1" applyBorder="1" applyAlignment="1">
      <alignment horizontal="center" vertical="center"/>
    </xf>
    <xf numFmtId="1" fontId="7" fillId="0" borderId="16" xfId="0" applyNumberFormat="1" applyFont="1" applyFill="1" applyBorder="1" applyAlignment="1">
      <alignment horizontal="center" vertical="center"/>
    </xf>
    <xf numFmtId="9" fontId="7" fillId="0" borderId="16" xfId="1" applyFont="1" applyFill="1" applyBorder="1" applyAlignment="1">
      <alignment horizontal="center" vertical="center"/>
    </xf>
    <xf numFmtId="0" fontId="7" fillId="0" borderId="16" xfId="0" applyFont="1" applyFill="1" applyBorder="1" applyAlignment="1">
      <alignment horizontal="center" vertical="center"/>
    </xf>
    <xf numFmtId="1" fontId="7" fillId="0" borderId="16" xfId="1" applyNumberFormat="1" applyFont="1" applyFill="1" applyBorder="1" applyAlignment="1">
      <alignment horizontal="center" vertical="center"/>
    </xf>
    <xf numFmtId="1" fontId="78" fillId="0" borderId="0" xfId="0" applyNumberFormat="1" applyFont="1" applyAlignment="1">
      <alignment horizontal="right" vertical="center"/>
    </xf>
    <xf numFmtId="9" fontId="78" fillId="0" borderId="0" xfId="1" applyFont="1" applyAlignment="1">
      <alignment horizontal="center" vertical="center"/>
    </xf>
    <xf numFmtId="0" fontId="0" fillId="12" borderId="0" xfId="0" applyFill="1" applyAlignment="1">
      <alignment horizontal="left"/>
    </xf>
    <xf numFmtId="0" fontId="79" fillId="12" borderId="11" xfId="0" applyFont="1" applyFill="1" applyBorder="1" applyAlignment="1">
      <alignment vertical="center"/>
    </xf>
    <xf numFmtId="0" fontId="111" fillId="12" borderId="0" xfId="0" applyFont="1" applyFill="1" applyAlignment="1">
      <alignment horizontal="left" vertical="center"/>
    </xf>
    <xf numFmtId="165" fontId="0" fillId="0" borderId="11" xfId="0" applyNumberFormat="1" applyFont="1" applyFill="1" applyBorder="1" applyAlignment="1">
      <alignment horizontal="center" vertical="center"/>
    </xf>
    <xf numFmtId="0" fontId="119" fillId="0" borderId="0" xfId="0" applyFont="1" applyFill="1" applyBorder="1" applyAlignment="1">
      <alignment horizontal="left" vertical="center"/>
    </xf>
    <xf numFmtId="166" fontId="17" fillId="0" borderId="0" xfId="0" applyNumberFormat="1" applyFont="1" applyFill="1" applyBorder="1" applyAlignment="1">
      <alignment vertical="center"/>
    </xf>
    <xf numFmtId="0" fontId="0" fillId="0" borderId="0" xfId="0" applyFont="1" applyAlignment="1">
      <alignment horizontal="left" vertical="center"/>
    </xf>
    <xf numFmtId="9" fontId="0" fillId="0" borderId="0" xfId="1" applyFont="1" applyAlignment="1">
      <alignment horizontal="left" vertical="center"/>
    </xf>
    <xf numFmtId="0" fontId="16" fillId="37" borderId="0" xfId="0" applyFont="1" applyFill="1"/>
    <xf numFmtId="0" fontId="41" fillId="0" borderId="0" xfId="5" applyAlignment="1">
      <alignment vertical="center"/>
    </xf>
    <xf numFmtId="0" fontId="57" fillId="0" borderId="0" xfId="5" applyFont="1" applyAlignment="1">
      <alignment vertical="center"/>
    </xf>
    <xf numFmtId="0" fontId="41" fillId="32" borderId="11" xfId="5" applyFill="1" applyBorder="1" applyAlignment="1">
      <alignment vertical="center"/>
    </xf>
    <xf numFmtId="14" fontId="41" fillId="0" borderId="0" xfId="5" applyNumberFormat="1" applyAlignment="1">
      <alignment vertical="center"/>
    </xf>
    <xf numFmtId="0" fontId="41" fillId="0" borderId="0" xfId="5" applyFont="1" applyAlignment="1">
      <alignment vertical="center"/>
    </xf>
    <xf numFmtId="0" fontId="120" fillId="38" borderId="0" xfId="5" applyFont="1" applyFill="1" applyAlignment="1">
      <alignment vertical="center"/>
    </xf>
    <xf numFmtId="0" fontId="41" fillId="38" borderId="0" xfId="5" applyFont="1" applyFill="1" applyAlignment="1">
      <alignment vertical="center"/>
    </xf>
    <xf numFmtId="0" fontId="121" fillId="0" borderId="0" xfId="5" applyFont="1" applyAlignment="1">
      <alignment vertical="center"/>
    </xf>
    <xf numFmtId="164" fontId="41" fillId="0" borderId="0" xfId="5" applyNumberFormat="1" applyAlignment="1">
      <alignment vertical="center"/>
    </xf>
    <xf numFmtId="0" fontId="72" fillId="32" borderId="0" xfId="0" applyFont="1" applyFill="1"/>
    <xf numFmtId="0" fontId="122" fillId="39" borderId="0" xfId="5" applyFont="1" applyFill="1" applyAlignment="1">
      <alignment horizontal="center" vertical="center"/>
    </xf>
    <xf numFmtId="0" fontId="41" fillId="0" borderId="0" xfId="5" applyAlignment="1">
      <alignment horizontal="center" vertical="center"/>
    </xf>
    <xf numFmtId="0" fontId="41" fillId="0" borderId="0" xfId="5" applyFont="1" applyAlignment="1">
      <alignment horizontal="left" vertical="center"/>
    </xf>
    <xf numFmtId="0" fontId="57" fillId="0" borderId="0" xfId="5" applyFont="1" applyAlignment="1">
      <alignment horizontal="center" vertical="center"/>
    </xf>
    <xf numFmtId="170" fontId="57" fillId="0" borderId="11" xfId="5" applyNumberFormat="1" applyFont="1" applyBorder="1" applyAlignment="1">
      <alignment horizontal="center" vertical="center"/>
    </xf>
    <xf numFmtId="170" fontId="57" fillId="0" borderId="11" xfId="5" applyNumberFormat="1" applyFont="1" applyBorder="1" applyAlignment="1">
      <alignment vertical="center"/>
    </xf>
    <xf numFmtId="0" fontId="41" fillId="0" borderId="11" xfId="5" applyFill="1" applyBorder="1" applyAlignment="1">
      <alignment horizontal="center" vertical="center"/>
    </xf>
    <xf numFmtId="0" fontId="41" fillId="38" borderId="11" xfId="5" applyFill="1" applyBorder="1" applyAlignment="1">
      <alignment horizontal="center" vertical="center"/>
    </xf>
    <xf numFmtId="2" fontId="41" fillId="40" borderId="11" xfId="5" applyNumberFormat="1" applyFill="1" applyBorder="1" applyAlignment="1">
      <alignment horizontal="center" vertical="center"/>
    </xf>
    <xf numFmtId="0" fontId="41" fillId="0" borderId="15" xfId="5" applyBorder="1" applyAlignment="1">
      <alignment vertical="center"/>
    </xf>
    <xf numFmtId="0" fontId="57" fillId="0" borderId="16" xfId="5" applyFont="1" applyBorder="1" applyAlignment="1">
      <alignment vertical="center"/>
    </xf>
    <xf numFmtId="0" fontId="41" fillId="0" borderId="5" xfId="5" applyBorder="1" applyAlignment="1">
      <alignment horizontal="center" vertical="center"/>
    </xf>
    <xf numFmtId="0" fontId="41" fillId="0" borderId="3" xfId="5" applyBorder="1" applyAlignment="1">
      <alignment horizontal="center" vertical="center"/>
    </xf>
    <xf numFmtId="0" fontId="41" fillId="0" borderId="17" xfId="5" applyFont="1" applyBorder="1" applyAlignment="1">
      <alignment vertical="center"/>
    </xf>
    <xf numFmtId="0" fontId="41" fillId="0" borderId="7" xfId="5" applyBorder="1" applyAlignment="1">
      <alignment horizontal="center" vertical="center"/>
    </xf>
    <xf numFmtId="0" fontId="41" fillId="0" borderId="6" xfId="5" applyBorder="1" applyAlignment="1">
      <alignment horizontal="center" vertical="center"/>
    </xf>
    <xf numFmtId="0" fontId="41" fillId="0" borderId="17" xfId="5" applyBorder="1" applyAlignment="1">
      <alignment vertical="center"/>
    </xf>
    <xf numFmtId="0" fontId="41" fillId="32" borderId="17" xfId="5" applyFill="1" applyBorder="1" applyAlignment="1">
      <alignment vertical="center"/>
    </xf>
    <xf numFmtId="0" fontId="41" fillId="11" borderId="7" xfId="5" applyFill="1" applyBorder="1" applyAlignment="1">
      <alignment horizontal="center" vertical="center"/>
    </xf>
    <xf numFmtId="0" fontId="41" fillId="11" borderId="6" xfId="5" applyFill="1" applyBorder="1" applyAlignment="1">
      <alignment horizontal="center" vertical="center"/>
    </xf>
    <xf numFmtId="0" fontId="41" fillId="32" borderId="6" xfId="5" applyFill="1" applyBorder="1" applyAlignment="1">
      <alignment horizontal="center" vertical="center"/>
    </xf>
    <xf numFmtId="0" fontId="41" fillId="32" borderId="7" xfId="5" applyFont="1" applyFill="1" applyBorder="1" applyAlignment="1">
      <alignment horizontal="center" vertical="center"/>
    </xf>
    <xf numFmtId="0" fontId="123" fillId="11" borderId="7" xfId="5" applyFont="1" applyFill="1" applyBorder="1" applyAlignment="1">
      <alignment horizontal="center" vertical="center"/>
    </xf>
    <xf numFmtId="2" fontId="41" fillId="0" borderId="7" xfId="5" applyNumberFormat="1" applyBorder="1" applyAlignment="1">
      <alignment horizontal="center" vertical="center"/>
    </xf>
    <xf numFmtId="0" fontId="41" fillId="0" borderId="17" xfId="5" applyFill="1" applyBorder="1" applyAlignment="1">
      <alignment vertical="center"/>
    </xf>
    <xf numFmtId="0" fontId="57" fillId="0" borderId="17" xfId="5" applyFont="1" applyBorder="1" applyAlignment="1">
      <alignment vertical="center"/>
    </xf>
    <xf numFmtId="0" fontId="41" fillId="0" borderId="15" xfId="5" applyBorder="1" applyAlignment="1">
      <alignment horizontal="center" vertical="center"/>
    </xf>
    <xf numFmtId="2" fontId="41" fillId="0" borderId="10" xfId="5" applyNumberFormat="1" applyBorder="1" applyAlignment="1">
      <alignment horizontal="center" vertical="center"/>
    </xf>
    <xf numFmtId="2" fontId="124" fillId="0" borderId="10" xfId="5" applyNumberFormat="1" applyFont="1" applyBorder="1" applyAlignment="1">
      <alignment horizontal="center" vertical="center"/>
    </xf>
    <xf numFmtId="2" fontId="124" fillId="0" borderId="11" xfId="5" applyNumberFormat="1" applyFont="1" applyBorder="1" applyAlignment="1">
      <alignment horizontal="center" vertical="center"/>
    </xf>
    <xf numFmtId="0" fontId="57" fillId="0" borderId="11" xfId="5" applyFont="1" applyBorder="1" applyAlignment="1">
      <alignment horizontal="center" vertical="center"/>
    </xf>
    <xf numFmtId="2" fontId="41" fillId="0" borderId="0" xfId="5" applyNumberFormat="1" applyAlignment="1">
      <alignment vertical="center"/>
    </xf>
    <xf numFmtId="9" fontId="80" fillId="0" borderId="11" xfId="1" applyFont="1" applyFill="1" applyBorder="1" applyAlignment="1">
      <alignment horizontal="center" vertical="center"/>
    </xf>
    <xf numFmtId="2" fontId="125" fillId="0" borderId="11" xfId="0" applyNumberFormat="1" applyFont="1" applyFill="1" applyBorder="1" applyAlignment="1">
      <alignment horizontal="center" vertical="center"/>
    </xf>
    <xf numFmtId="166" fontId="125" fillId="0" borderId="11" xfId="0" applyNumberFormat="1" applyFont="1" applyFill="1" applyBorder="1" applyAlignment="1">
      <alignment horizontal="center" vertical="center"/>
    </xf>
    <xf numFmtId="0" fontId="7" fillId="9" borderId="11" xfId="13" applyFont="1" applyFill="1" applyBorder="1" applyAlignment="1">
      <alignment horizontal="center" vertical="center"/>
    </xf>
    <xf numFmtId="0" fontId="45" fillId="9" borderId="11" xfId="0" applyFont="1" applyFill="1" applyBorder="1" applyAlignment="1">
      <alignment horizontal="center" vertical="center"/>
    </xf>
    <xf numFmtId="166" fontId="80" fillId="9" borderId="11" xfId="0" applyNumberFormat="1" applyFont="1" applyFill="1" applyBorder="1" applyAlignment="1">
      <alignment horizontal="center" vertical="center"/>
    </xf>
    <xf numFmtId="9" fontId="80" fillId="9" borderId="11" xfId="1" applyFont="1" applyFill="1" applyBorder="1" applyAlignment="1">
      <alignment horizontal="center" vertical="center"/>
    </xf>
    <xf numFmtId="2" fontId="80" fillId="9" borderId="11" xfId="0" applyNumberFormat="1" applyFont="1" applyFill="1" applyBorder="1" applyAlignment="1">
      <alignment horizontal="center" vertical="center"/>
    </xf>
    <xf numFmtId="9" fontId="87" fillId="9" borderId="11" xfId="0" applyNumberFormat="1" applyFont="1" applyFill="1" applyBorder="1" applyAlignment="1">
      <alignment horizontal="center" vertical="center"/>
    </xf>
    <xf numFmtId="166" fontId="125" fillId="9" borderId="11" xfId="0" applyNumberFormat="1" applyFont="1" applyFill="1" applyBorder="1" applyAlignment="1">
      <alignment horizontal="center" vertical="center"/>
    </xf>
    <xf numFmtId="165" fontId="0" fillId="9" borderId="11" xfId="0" applyNumberFormat="1" applyFont="1" applyFill="1" applyBorder="1" applyAlignment="1">
      <alignment horizontal="center" vertical="center"/>
    </xf>
    <xf numFmtId="11" fontId="0" fillId="9" borderId="11" xfId="0" applyNumberFormat="1" applyFont="1" applyFill="1" applyBorder="1" applyAlignment="1">
      <alignment horizontal="center" vertical="center"/>
    </xf>
    <xf numFmtId="16" fontId="0" fillId="0" borderId="0" xfId="0" applyNumberFormat="1"/>
    <xf numFmtId="1" fontId="127" fillId="12" borderId="11" xfId="1" applyNumberFormat="1" applyFont="1" applyFill="1" applyBorder="1" applyAlignment="1">
      <alignment horizontal="center" vertical="center"/>
    </xf>
    <xf numFmtId="0" fontId="64" fillId="0" borderId="0" xfId="0" applyFont="1" applyFill="1" applyAlignment="1">
      <alignment vertical="center"/>
    </xf>
    <xf numFmtId="0" fontId="17" fillId="0" borderId="0" xfId="0" applyFont="1" applyFill="1" applyAlignment="1">
      <alignment vertical="center"/>
    </xf>
    <xf numFmtId="0" fontId="10" fillId="0" borderId="0" xfId="0" applyFont="1" applyFill="1" applyAlignment="1">
      <alignment vertical="center"/>
    </xf>
    <xf numFmtId="0" fontId="41" fillId="0" borderId="0" xfId="5" applyFill="1"/>
    <xf numFmtId="0" fontId="42" fillId="0" borderId="0" xfId="0" applyFont="1" applyFill="1" applyAlignment="1">
      <alignment horizontal="center"/>
    </xf>
    <xf numFmtId="0" fontId="0" fillId="0" borderId="11" xfId="0" applyFill="1" applyBorder="1" applyAlignment="1">
      <alignment horizontal="left"/>
    </xf>
    <xf numFmtId="0" fontId="45" fillId="0" borderId="11" xfId="0" applyFont="1" applyFill="1" applyBorder="1"/>
    <xf numFmtId="0" fontId="46" fillId="0" borderId="11" xfId="0" applyFont="1" applyFill="1" applyBorder="1" applyAlignment="1">
      <alignment horizontal="left"/>
    </xf>
    <xf numFmtId="0" fontId="5" fillId="0" borderId="0" xfId="0" applyFont="1" applyFill="1" applyAlignment="1">
      <alignment vertical="center"/>
    </xf>
    <xf numFmtId="164" fontId="7" fillId="0" borderId="11" xfId="0" applyNumberFormat="1" applyFont="1" applyFill="1" applyBorder="1" applyAlignment="1">
      <alignment horizontal="center" vertical="center"/>
    </xf>
    <xf numFmtId="11" fontId="7" fillId="0" borderId="11" xfId="0" applyNumberFormat="1" applyFont="1" applyFill="1" applyBorder="1" applyAlignment="1">
      <alignment horizontal="center" vertical="center"/>
    </xf>
    <xf numFmtId="0" fontId="0" fillId="12" borderId="0" xfId="0" applyFont="1" applyFill="1" applyBorder="1" applyAlignment="1">
      <alignment horizontal="right" vertical="center"/>
    </xf>
    <xf numFmtId="0" fontId="128" fillId="12" borderId="0" xfId="0" applyFont="1" applyFill="1" applyAlignment="1">
      <alignment horizontal="left" vertical="center"/>
    </xf>
    <xf numFmtId="0" fontId="98" fillId="12" borderId="11" xfId="0" applyFont="1" applyFill="1" applyBorder="1" applyAlignment="1">
      <alignment vertical="center"/>
    </xf>
    <xf numFmtId="2" fontId="98" fillId="12" borderId="11" xfId="9" applyNumberFormat="1" applyFont="1" applyFill="1" applyBorder="1" applyAlignment="1">
      <alignment horizontal="center" vertical="center"/>
    </xf>
    <xf numFmtId="11" fontId="42" fillId="12" borderId="0" xfId="0" applyNumberFormat="1" applyFont="1" applyFill="1" applyAlignment="1">
      <alignment horizontal="left" vertical="center"/>
    </xf>
    <xf numFmtId="0" fontId="42" fillId="12" borderId="0" xfId="0" applyFont="1" applyFill="1" applyAlignment="1">
      <alignment horizontal="right" vertical="center"/>
    </xf>
    <xf numFmtId="0" fontId="0" fillId="12" borderId="0" xfId="0" applyFont="1" applyFill="1" applyAlignment="1">
      <alignment horizontal="center" vertical="center"/>
    </xf>
    <xf numFmtId="0" fontId="25" fillId="0" borderId="18" xfId="0" applyFont="1" applyFill="1" applyBorder="1" applyAlignment="1">
      <alignment horizontal="center" vertical="center"/>
    </xf>
    <xf numFmtId="1" fontId="7" fillId="0" borderId="18" xfId="0" applyNumberFormat="1" applyFont="1" applyFill="1" applyBorder="1" applyAlignment="1">
      <alignment horizontal="center" vertical="center"/>
    </xf>
    <xf numFmtId="9" fontId="7" fillId="0" borderId="18" xfId="1" applyFont="1" applyFill="1" applyBorder="1" applyAlignment="1">
      <alignment horizontal="center" vertical="center"/>
    </xf>
    <xf numFmtId="0" fontId="7" fillId="0" borderId="18" xfId="0" applyFont="1" applyFill="1" applyBorder="1" applyAlignment="1">
      <alignment horizontal="center" vertical="center"/>
    </xf>
    <xf numFmtId="1" fontId="7" fillId="0" borderId="18" xfId="1" applyNumberFormat="1" applyFont="1" applyFill="1" applyBorder="1" applyAlignment="1">
      <alignment horizontal="center" vertical="center"/>
    </xf>
    <xf numFmtId="0" fontId="0" fillId="12" borderId="11" xfId="0" applyFont="1" applyFill="1" applyBorder="1" applyAlignment="1">
      <alignment horizontal="center" vertical="center"/>
    </xf>
    <xf numFmtId="165" fontId="129" fillId="12" borderId="11" xfId="0" applyNumberFormat="1" applyFont="1" applyFill="1" applyBorder="1" applyAlignment="1">
      <alignment horizontal="center" vertical="center"/>
    </xf>
    <xf numFmtId="165" fontId="0" fillId="12" borderId="11" xfId="0" applyNumberFormat="1" applyFont="1" applyFill="1" applyBorder="1" applyAlignment="1">
      <alignment horizontal="center" vertical="center"/>
    </xf>
    <xf numFmtId="2" fontId="39" fillId="19" borderId="13" xfId="2" applyNumberFormat="1" applyFont="1" applyFill="1" applyBorder="1" applyAlignment="1">
      <alignment horizontal="center" vertical="center"/>
    </xf>
    <xf numFmtId="2" fontId="39" fillId="19" borderId="14" xfId="2" applyNumberFormat="1" applyFont="1" applyFill="1" applyBorder="1" applyAlignment="1">
      <alignment horizontal="center" vertical="center"/>
    </xf>
    <xf numFmtId="9" fontId="0" fillId="19" borderId="11" xfId="1" applyFont="1" applyFill="1" applyBorder="1" applyAlignment="1">
      <alignment horizontal="center" vertical="center"/>
    </xf>
    <xf numFmtId="9" fontId="0" fillId="0" borderId="13" xfId="0" applyNumberFormat="1" applyFont="1" applyBorder="1" applyAlignment="1">
      <alignment horizontal="center" vertical="center"/>
    </xf>
    <xf numFmtId="9" fontId="0" fillId="0" borderId="14" xfId="0" applyNumberFormat="1" applyFont="1" applyBorder="1" applyAlignment="1">
      <alignment horizontal="center" vertical="center"/>
    </xf>
    <xf numFmtId="9" fontId="76" fillId="18" borderId="13" xfId="11" applyNumberFormat="1" applyBorder="1" applyAlignment="1">
      <alignment horizontal="center" vertical="center"/>
    </xf>
    <xf numFmtId="9" fontId="76" fillId="18" borderId="14" xfId="11" applyNumberFormat="1" applyBorder="1" applyAlignment="1">
      <alignment horizontal="center" vertical="center"/>
    </xf>
    <xf numFmtId="167" fontId="0" fillId="0" borderId="13" xfId="0" applyNumberFormat="1" applyFont="1" applyBorder="1" applyAlignment="1">
      <alignment horizontal="center" vertical="center"/>
    </xf>
    <xf numFmtId="167" fontId="0" fillId="0" borderId="14" xfId="0" applyNumberFormat="1" applyFont="1" applyBorder="1" applyAlignment="1">
      <alignment horizontal="center" vertical="center"/>
    </xf>
    <xf numFmtId="11" fontId="0" fillId="0" borderId="11" xfId="0" applyNumberFormat="1" applyFont="1" applyBorder="1" applyAlignment="1">
      <alignment horizontal="center" vertical="center"/>
    </xf>
    <xf numFmtId="0" fontId="95" fillId="25" borderId="11" xfId="0" applyFont="1" applyFill="1" applyBorder="1" applyAlignment="1">
      <alignment horizontal="left" vertical="center"/>
    </xf>
    <xf numFmtId="0" fontId="94" fillId="22" borderId="11" xfId="0" applyFont="1" applyFill="1" applyBorder="1" applyAlignment="1">
      <alignment horizontal="center" vertical="center"/>
    </xf>
    <xf numFmtId="0" fontId="126" fillId="26" borderId="11" xfId="0" applyFont="1" applyFill="1" applyBorder="1" applyAlignment="1">
      <alignment horizontal="center" vertical="center"/>
    </xf>
    <xf numFmtId="0" fontId="95" fillId="25" borderId="5" xfId="0" applyFont="1" applyFill="1" applyBorder="1" applyAlignment="1">
      <alignment horizontal="center" vertical="center"/>
    </xf>
    <xf numFmtId="0" fontId="95" fillId="25" borderId="3" xfId="0" applyFont="1" applyFill="1" applyBorder="1" applyAlignment="1">
      <alignment horizontal="center" vertical="center"/>
    </xf>
    <xf numFmtId="0" fontId="4" fillId="11" borderId="11" xfId="0" applyFont="1" applyFill="1" applyBorder="1" applyAlignment="1">
      <alignment horizontal="center"/>
    </xf>
    <xf numFmtId="11" fontId="0" fillId="0" borderId="11" xfId="0" applyNumberFormat="1" applyBorder="1" applyAlignment="1">
      <alignment horizontal="center"/>
    </xf>
    <xf numFmtId="2" fontId="0" fillId="0" borderId="11" xfId="0" applyNumberFormat="1" applyBorder="1" applyAlignment="1">
      <alignment horizontal="center"/>
    </xf>
    <xf numFmtId="2" fontId="0" fillId="9" borderId="13" xfId="0" applyNumberFormat="1" applyFont="1" applyFill="1" applyBorder="1" applyAlignment="1">
      <alignment horizontal="center" vertical="center"/>
    </xf>
    <xf numFmtId="2" fontId="0" fillId="9" borderId="14" xfId="0" applyNumberFormat="1" applyFont="1" applyFill="1" applyBorder="1" applyAlignment="1">
      <alignment horizontal="center" vertical="center"/>
    </xf>
    <xf numFmtId="167" fontId="0" fillId="0" borderId="11" xfId="0" applyNumberFormat="1" applyBorder="1" applyAlignment="1">
      <alignment horizontal="center"/>
    </xf>
    <xf numFmtId="2" fontId="0" fillId="0" borderId="11" xfId="0" applyNumberFormat="1" applyFill="1" applyBorder="1" applyAlignment="1">
      <alignment horizontal="center"/>
    </xf>
    <xf numFmtId="164" fontId="0" fillId="0" borderId="11" xfId="0" applyNumberFormat="1" applyBorder="1" applyAlignment="1">
      <alignment horizontal="center"/>
    </xf>
    <xf numFmtId="0" fontId="57" fillId="0" borderId="4" xfId="5" applyFont="1" applyBorder="1" applyAlignment="1">
      <alignment horizontal="center" vertical="center"/>
    </xf>
    <xf numFmtId="0" fontId="57" fillId="0" borderId="13" xfId="5" applyFont="1" applyBorder="1" applyAlignment="1">
      <alignment horizontal="center" vertical="center"/>
    </xf>
    <xf numFmtId="0" fontId="57" fillId="0" borderId="14" xfId="5" applyFont="1" applyBorder="1" applyAlignment="1">
      <alignment horizontal="center" vertical="center"/>
    </xf>
    <xf numFmtId="164" fontId="57" fillId="0" borderId="13" xfId="5" applyNumberFormat="1" applyFont="1" applyBorder="1" applyAlignment="1">
      <alignment horizontal="center" vertical="center"/>
    </xf>
    <xf numFmtId="164" fontId="57" fillId="0" borderId="14" xfId="5" applyNumberFormat="1" applyFont="1" applyBorder="1" applyAlignment="1">
      <alignment horizontal="center" vertical="center"/>
    </xf>
  </cellXfs>
  <cellStyles count="17">
    <cellStyle name="20% - Accent1" xfId="6" builtinId="30"/>
    <cellStyle name="20% - Accent5" xfId="7" builtinId="46"/>
    <cellStyle name="20% - Accent6" xfId="8" builtinId="50"/>
    <cellStyle name="60% - Accent5" xfId="16" builtinId="48"/>
    <cellStyle name="Accent1" xfId="14" builtinId="29"/>
    <cellStyle name="Accent5" xfId="15" builtinId="45"/>
    <cellStyle name="Bad" xfId="13" builtinId="27"/>
    <cellStyle name="Calculation" xfId="2" builtinId="22"/>
    <cellStyle name="Comma" xfId="4" builtinId="3"/>
    <cellStyle name="Good" xfId="11" builtinId="26"/>
    <cellStyle name="Input" xfId="10" builtinId="20"/>
    <cellStyle name="Neutral" xfId="9" builtinId="28"/>
    <cellStyle name="Normal" xfId="0" builtinId="0"/>
    <cellStyle name="Normal 2" xfId="5"/>
    <cellStyle name="Normal 3" xfId="12"/>
    <cellStyle name="Note" xfId="3" builtinId="10"/>
    <cellStyle name="Percent" xfId="1" builtinId="5"/>
  </cellStyles>
  <dxfs count="9">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numFmt numFmtId="15" formatCode="0.00E+0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i val="0"/>
        <strike val="0"/>
        <condense val="0"/>
        <extend val="0"/>
        <outline val="0"/>
        <shadow val="0"/>
        <u val="none"/>
        <vertAlign val="baseline"/>
        <sz val="14"/>
        <color theme="1"/>
        <name val="Calibri"/>
        <scheme val="minor"/>
      </font>
    </dxf>
    <dxf>
      <fill>
        <patternFill>
          <bgColor indexed="11"/>
        </patternFill>
      </fill>
    </dxf>
    <dxf>
      <font>
        <color theme="0" tint="-4.9989318521683403E-2"/>
      </font>
    </dxf>
  </dxfs>
  <tableStyles count="0" defaultTableStyle="TableStyleMedium2" defaultPivotStyle="PivotStyleLight16"/>
  <colors>
    <mruColors>
      <color rgb="FFFFFFCC"/>
      <color rgb="FFC4E2C5"/>
      <color rgb="FFCAD0FE"/>
      <color rgb="FFDBC9FF"/>
      <color rgb="FFCCCCFF"/>
      <color rgb="FFE1FFFF"/>
      <color rgb="FFECF4FA"/>
      <color rgb="FFD5FFD5"/>
      <color rgb="FF6666F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E95E-4525-9593-A30C3A124CFD}"/>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E95E-4525-9593-A30C3A124CFD}"/>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E95E-4525-9593-A30C3A124CFD}"/>
            </c:ext>
          </c:extLst>
        </c:ser>
        <c:ser>
          <c:idx val="3"/>
          <c:order val="3"/>
          <c:tx>
            <c:strRef>
              <c:f>'Detector Reqs'!$V$9</c:f>
              <c:strCache>
                <c:ptCount val="1"/>
                <c:pt idx="0">
                  <c:v>Basic Multi2 std Si</c:v>
                </c:pt>
              </c:strCache>
            </c:strRef>
          </c:tx>
          <c:spPr>
            <a:ln w="2857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E95E-4525-9593-A30C3A124CFD}"/>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E95E-4525-9593-A30C3A124CFD}"/>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E95E-4525-9593-A30C3A124CFD}"/>
            </c:ext>
          </c:extLst>
        </c:ser>
        <c:ser>
          <c:idx val="6"/>
          <c:order val="6"/>
          <c:tx>
            <c:strRef>
              <c:f>'Detector Reqs'!$Y$9</c:f>
              <c:strCache>
                <c:ptCount val="1"/>
                <c:pt idx="0">
                  <c:v>Basic Midband Std Si</c:v>
                </c:pt>
              </c:strCache>
            </c:strRef>
          </c:tx>
          <c:spPr>
            <a:ln w="9525"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E95E-4525-9593-A30C3A124CFD}"/>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solidFill>
          <a:schemeClr val="bg1"/>
        </a:soli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BDE!$Z$52</c:f>
          <c:strCache>
            <c:ptCount val="1"/>
            <c:pt idx="0">
              <c:v>IFS1 Goal 2.5  660nm  [ t=250 hrs, fpp=0.1]</c:v>
            </c:pt>
          </c:strCache>
        </c:strRef>
      </c:tx>
      <c:layout>
        <c:manualLayout>
          <c:xMode val="edge"/>
          <c:yMode val="edge"/>
          <c:x val="0.30362006457575919"/>
          <c:y val="8.971600087424797E-2"/>
        </c:manualLayout>
      </c:layout>
      <c:overlay val="1"/>
      <c:spPr>
        <a:solidFill>
          <a:schemeClr val="bg1"/>
        </a:solidFill>
        <a:ln>
          <a:noFill/>
        </a:ln>
        <a:effectLst/>
      </c:spPr>
      <c:txPr>
        <a:bodyPr rot="0" spcFirstLastPara="1" vertOverflow="ellipsis" vert="horz" wrap="square" anchor="ctr" anchorCtr="1"/>
        <a:lstStyle/>
        <a:p>
          <a:pPr>
            <a:defRPr sz="15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smoothMarker"/>
        <c:varyColors val="0"/>
        <c:ser>
          <c:idx val="2"/>
          <c:order val="0"/>
          <c:tx>
            <c:strRef>
              <c:f>BDE!$AC$63</c:f>
              <c:strCache>
                <c:ptCount val="1"/>
                <c:pt idx="0">
                  <c:v>V = 6</c:v>
                </c:pt>
              </c:strCache>
            </c:strRef>
          </c:tx>
          <c:spPr>
            <a:ln w="28575">
              <a:solidFill>
                <a:schemeClr val="accent3">
                  <a:alpha val="20000"/>
                </a:schemeClr>
              </a:solidFill>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BDE!$AC$56:$AC$62</c:f>
              <c:numCache>
                <c:formatCode>0.0E+00</c:formatCode>
                <c:ptCount val="7"/>
                <c:pt idx="0">
                  <c:v>8.6977591389469195E-9</c:v>
                </c:pt>
                <c:pt idx="1">
                  <c:v>4.3117443003581456E-9</c:v>
                </c:pt>
                <c:pt idx="2">
                  <c:v>3.7328312288592994E-9</c:v>
                </c:pt>
                <c:pt idx="3">
                  <c:v>4.0751926856742818E-9</c:v>
                </c:pt>
                <c:pt idx="4">
                  <c:v>4.1505417147557033E-9</c:v>
                </c:pt>
                <c:pt idx="5">
                  <c:v>4.1140006840554368E-9</c:v>
                </c:pt>
                <c:pt idx="6">
                  <c:v>4.0890935025886604E-9</c:v>
                </c:pt>
              </c:numCache>
            </c:numRef>
          </c:yVal>
          <c:smooth val="1"/>
          <c:extLst>
            <c:ext xmlns:c16="http://schemas.microsoft.com/office/drawing/2014/chart" uri="{C3380CC4-5D6E-409C-BE32-E72D297353CC}">
              <c16:uniqueId val="{00000000-82D3-40F6-8DD3-A39074737C27}"/>
            </c:ext>
          </c:extLst>
        </c:ser>
        <c:ser>
          <c:idx val="1"/>
          <c:order val="1"/>
          <c:tx>
            <c:strRef>
              <c:f>BDE!$AB$63</c:f>
              <c:strCache>
                <c:ptCount val="1"/>
                <c:pt idx="0">
                  <c:v>V = 5</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BDE!$AB$56:$AB$62</c:f>
              <c:numCache>
                <c:formatCode>0.0E+00</c:formatCode>
                <c:ptCount val="7"/>
                <c:pt idx="0">
                  <c:v>7.3379024943644363E-9</c:v>
                </c:pt>
                <c:pt idx="1">
                  <c:v>3.2295086767909717E-9</c:v>
                </c:pt>
                <c:pt idx="2">
                  <c:v>2.7996928683523692E-9</c:v>
                </c:pt>
                <c:pt idx="3">
                  <c:v>3.1934172967400083E-9</c:v>
                </c:pt>
                <c:pt idx="4">
                  <c:v>3.2879377078414458E-9</c:v>
                </c:pt>
                <c:pt idx="5">
                  <c:v>3.2760795272935725E-9</c:v>
                </c:pt>
                <c:pt idx="6">
                  <c:v>3.2685996318055449E-9</c:v>
                </c:pt>
              </c:numCache>
            </c:numRef>
          </c:yVal>
          <c:smooth val="1"/>
          <c:extLst>
            <c:ext xmlns:c16="http://schemas.microsoft.com/office/drawing/2014/chart" uri="{C3380CC4-5D6E-409C-BE32-E72D297353CC}">
              <c16:uniqueId val="{00000001-82D3-40F6-8DD3-A39074737C27}"/>
            </c:ext>
          </c:extLst>
        </c:ser>
        <c:ser>
          <c:idx val="0"/>
          <c:order val="2"/>
          <c:tx>
            <c:strRef>
              <c:f>BDE!$AA$63</c:f>
              <c:strCache>
                <c:ptCount val="1"/>
                <c:pt idx="0">
                  <c:v>V = -10</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BDE!$AA$56:$AA$62</c:f>
              <c:numCache>
                <c:formatCode>0.0E+00</c:formatCode>
                <c:ptCount val="7"/>
                <c:pt idx="0">
                  <c:v>6.3038766400929473E-9</c:v>
                </c:pt>
                <c:pt idx="1">
                  <c:v>2.5290599267420874E-9</c:v>
                </c:pt>
                <c:pt idx="2">
                  <c:v>2.2184208260736979E-9</c:v>
                </c:pt>
                <c:pt idx="3">
                  <c:v>2.6274262386544192E-9</c:v>
                </c:pt>
                <c:pt idx="4">
                  <c:v>2.7261700116406178E-9</c:v>
                </c:pt>
                <c:pt idx="5">
                  <c:v>2.7261699888674103E-9</c:v>
                </c:pt>
                <c:pt idx="6">
                  <c:v>2.7261699732541748E-9</c:v>
                </c:pt>
              </c:numCache>
            </c:numRef>
          </c:yVal>
          <c:smooth val="1"/>
          <c:extLst>
            <c:ext xmlns:c16="http://schemas.microsoft.com/office/drawing/2014/chart" uri="{C3380CC4-5D6E-409C-BE32-E72D297353CC}">
              <c16:uniqueId val="{00000002-82D3-40F6-8DD3-A39074737C27}"/>
            </c:ext>
          </c:extLst>
        </c:ser>
        <c:dLbls>
          <c:showLegendKey val="0"/>
          <c:showVal val="0"/>
          <c:showCatName val="0"/>
          <c:showSerName val="0"/>
          <c:showPercent val="0"/>
          <c:showBubbleSize val="0"/>
        </c:dLbls>
        <c:axId val="593779328"/>
        <c:axId val="593778016"/>
      </c:scatterChart>
      <c:valAx>
        <c:axId val="593779328"/>
        <c:scaling>
          <c:orientation val="minMax"/>
          <c:max val="700"/>
          <c:min val="1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planet separation (milli-arcseconds)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8016"/>
        <c:crosses val="autoZero"/>
        <c:crossBetween val="midCat"/>
      </c:valAx>
      <c:valAx>
        <c:axId val="593778016"/>
        <c:scaling>
          <c:orientation val="minMax"/>
        </c:scaling>
        <c:delete val="0"/>
        <c:axPos val="l"/>
        <c:majorGridlines>
          <c:spPr>
            <a:ln w="9525" cap="flat" cmpd="sng" algn="ctr">
              <a:solidFill>
                <a:schemeClr val="dk1">
                  <a:lumMod val="15000"/>
                  <a:lumOff val="85000"/>
                </a:schemeClr>
              </a:solidFill>
              <a:round/>
            </a:ln>
            <a:effectLst/>
          </c:spPr>
        </c:majorGridlines>
        <c:title>
          <c:tx>
            <c:strRef>
              <c:f>BDE!$Y$53</c:f>
              <c:strCache>
                <c:ptCount val="1"/>
                <c:pt idx="0">
                  <c:v>10-sigma  Noise Equiv. Flux Ratio</c:v>
                </c:pt>
              </c:strCache>
            </c:strRef>
          </c:tx>
          <c:layout/>
          <c:overlay val="0"/>
          <c:spPr>
            <a:noFill/>
            <a:ln>
              <a:noFill/>
            </a:ln>
            <a:effectLst/>
          </c:spPr>
          <c:txPr>
            <a:bodyPr rot="-5400000" spcFirstLastPara="1" vertOverflow="ellipsis" vert="horz" wrap="square" anchor="ctr" anchorCtr="1"/>
            <a:lstStyle/>
            <a:p>
              <a:pPr>
                <a:defRPr sz="1050" b="1" i="0" u="none" strike="noStrike" kern="1200" baseline="0">
                  <a:solidFill>
                    <a:schemeClr val="dk1">
                      <a:lumMod val="50000"/>
                      <a:lumOff val="50000"/>
                    </a:schemeClr>
                  </a:solidFill>
                  <a:latin typeface="+mn-lt"/>
                  <a:ea typeface="+mn-ea"/>
                  <a:cs typeface="+mn-cs"/>
                </a:defRPr>
              </a:pPr>
              <a:endParaRPr lang="en-US"/>
            </a:p>
          </c:txPr>
        </c:title>
        <c:numFmt formatCode="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9328"/>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 2  565</a:t>
            </a:r>
            <a:r>
              <a:rPr lang="en-US" baseline="0"/>
              <a:t> nm  HLC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Base Req</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CG!$W$8:$W$28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CG!$Z$8:$Z$28</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0-C117-4D44-863C-F72B80913EA4}"/>
            </c:ext>
          </c:extLst>
        </c:ser>
        <c:ser>
          <c:idx val="1"/>
          <c:order val="1"/>
          <c:tx>
            <c:v>Base Fit</c:v>
          </c:tx>
          <c:spPr>
            <a:ln w="19050" cap="rnd">
              <a:solidFill>
                <a:schemeClr val="accent1">
                  <a:lumMod val="60000"/>
                  <a:lumOff val="40000"/>
                </a:schemeClr>
              </a:solidFill>
              <a:round/>
            </a:ln>
            <a:effectLst/>
          </c:spPr>
          <c:marker>
            <c:symbol val="circle"/>
            <c:size val="5"/>
            <c:spPr>
              <a:solidFill>
                <a:schemeClr val="bg2"/>
              </a:solidFill>
              <a:ln w="9525">
                <a:solidFill>
                  <a:schemeClr val="accent1">
                    <a:lumMod val="60000"/>
                    <a:lumOff val="40000"/>
                  </a:schemeClr>
                </a:solidFill>
              </a:ln>
              <a:effectLst/>
            </c:spPr>
          </c:marker>
          <c:xVal>
            <c:numRef>
              <c:f>CG!$AG$8:$AG$28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CG!$AJ$8:$AJ$28</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C117-4D44-863C-F72B80913EA4}"/>
            </c:ext>
          </c:extLst>
        </c:ser>
        <c:ser>
          <c:idx val="2"/>
          <c:order val="2"/>
          <c:tx>
            <c:v>Goal Req</c:v>
          </c:tx>
          <c:spPr>
            <a:ln w="19050" cap="rnd">
              <a:solidFill>
                <a:schemeClr val="accent4">
                  <a:lumMod val="75000"/>
                </a:schemeClr>
              </a:solidFill>
              <a:round/>
            </a:ln>
            <a:effectLst/>
          </c:spPr>
          <c:marker>
            <c:symbol val="circle"/>
            <c:size val="5"/>
            <c:spPr>
              <a:solidFill>
                <a:schemeClr val="accent3"/>
              </a:solidFill>
              <a:ln w="9525">
                <a:solidFill>
                  <a:schemeClr val="accent4">
                    <a:lumMod val="75000"/>
                  </a:schemeClr>
                </a:solidFill>
              </a:ln>
              <a:effectLst/>
            </c:spPr>
          </c:marker>
          <c:xVal>
            <c:numRef>
              <c:f>CG!$W$35:$W$56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CG!$Z$35:$Z$56</c:f>
              <c:numCache>
                <c:formatCode>0.00E+00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3-C117-4D44-863C-F72B80913EA4}"/>
            </c:ext>
          </c:extLst>
        </c:ser>
        <c:ser>
          <c:idx val="3"/>
          <c:order val="3"/>
          <c:tx>
            <c:v>Goal Fit</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CG!$AG$35:$AG$56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CG!$AJ$35:$AJ$56</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4-C117-4D44-863C-F72B80913EA4}"/>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2   </a:t>
            </a:r>
            <a:r>
              <a:rPr lang="en-US" b="1"/>
              <a:t>770</a:t>
            </a:r>
            <a:r>
              <a:rPr lang="en-US"/>
              <a:t> nm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prstDash val="sysDash"/>
              <a:round/>
            </a:ln>
            <a:effectLst/>
          </c:spPr>
          <c:marker>
            <c:symbol val="circle"/>
            <c:size val="5"/>
            <c:spPr>
              <a:solidFill>
                <a:schemeClr val="accent4"/>
              </a:solidFill>
              <a:ln w="9525">
                <a:solidFill>
                  <a:schemeClr val="accent4"/>
                </a:solidFill>
              </a:ln>
              <a:effectLst/>
            </c:spPr>
          </c:marker>
          <c:xVal>
            <c:numRef>
              <c:f>CG!$CD$40:$CD$65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CG!$CG$40:$CG$65</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29DD-497A-A953-C21ADF0092E4}"/>
            </c:ext>
          </c:extLst>
        </c:ser>
        <c:ser>
          <c:idx val="2"/>
          <c:order val="1"/>
          <c:tx>
            <c:v>Baseline Fit</c:v>
          </c:tx>
          <c:spPr>
            <a:ln w="19050" cap="rnd">
              <a:solidFill>
                <a:schemeClr val="accent4">
                  <a:lumMod val="75000"/>
                </a:schemeClr>
              </a:solidFill>
              <a:round/>
            </a:ln>
            <a:effectLst/>
          </c:spPr>
          <c:marker>
            <c:symbol val="none"/>
          </c:marker>
          <c:xVal>
            <c:numRef>
              <c:f>CG!$CN$40:$CN$65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CG!$CQ$40:$CQ$65</c:f>
              <c:numCache>
                <c:formatCode>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6748-43B2-85EA-6FF0EF16A5B2}"/>
            </c:ext>
          </c:extLst>
        </c:ser>
        <c:ser>
          <c:idx val="0"/>
          <c:order val="2"/>
          <c:tx>
            <c:v>Goal Req</c:v>
          </c:tx>
          <c:spPr>
            <a:ln w="19050" cap="rnd">
              <a:solidFill>
                <a:schemeClr val="accent6"/>
              </a:solidFill>
              <a:prstDash val="sysDash"/>
              <a:round/>
            </a:ln>
            <a:effectLst/>
          </c:spPr>
          <c:marker>
            <c:symbol val="circle"/>
            <c:size val="5"/>
            <c:spPr>
              <a:solidFill>
                <a:schemeClr val="bg1"/>
              </a:solidFill>
              <a:ln w="9525">
                <a:solidFill>
                  <a:schemeClr val="accent6">
                    <a:lumMod val="75000"/>
                  </a:schemeClr>
                </a:solidFill>
              </a:ln>
              <a:effectLst/>
            </c:spPr>
          </c:marker>
          <c:xVal>
            <c:numRef>
              <c:f>CG!$BF$40:$BF$65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CG!$BI$40:$BI$65</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0-6748-43B2-85EA-6FF0EF16A5B2}"/>
            </c:ext>
          </c:extLst>
        </c:ser>
        <c:ser>
          <c:idx val="1"/>
          <c:order val="3"/>
          <c:tx>
            <c:v>Goal Fit</c:v>
          </c:tx>
          <c:spPr>
            <a:ln w="19050" cap="rnd">
              <a:solidFill>
                <a:schemeClr val="accent6">
                  <a:lumMod val="50000"/>
                </a:schemeClr>
              </a:solidFill>
              <a:round/>
            </a:ln>
            <a:effectLst/>
          </c:spPr>
          <c:marker>
            <c:symbol val="none"/>
          </c:marker>
          <c:xVal>
            <c:numRef>
              <c:f>CG!$BR$40:$BR$65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CG!$BU$40:$BU$65</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1-6748-43B2-85EA-6FF0EF16A5B2}"/>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1   </a:t>
            </a:r>
            <a:r>
              <a:rPr lang="en-US" b="1"/>
              <a:t>660</a:t>
            </a:r>
            <a:r>
              <a:rPr lang="en-US"/>
              <a:t> nm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CG!$CD$9:$CD$34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CG!$CG$9:$CG$34</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CF00-4CB0-BC10-6535BC571F63}"/>
            </c:ext>
          </c:extLst>
        </c:ser>
        <c:ser>
          <c:idx val="2"/>
          <c:order val="1"/>
          <c:tx>
            <c:v>Baseline Fit</c:v>
          </c:tx>
          <c:spPr>
            <a:ln w="19050" cap="rnd">
              <a:solidFill>
                <a:schemeClr val="accent4">
                  <a:lumMod val="75000"/>
                </a:schemeClr>
              </a:solidFill>
              <a:round/>
            </a:ln>
            <a:effectLst/>
          </c:spPr>
          <c:marker>
            <c:symbol val="none"/>
          </c:marker>
          <c:xVal>
            <c:numRef>
              <c:f>CG!$CN$9:$CN$34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CG!$CQ$9:$CQ$34</c:f>
              <c:numCache>
                <c:formatCode>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1-CF00-4CB0-BC10-6535BC571F63}"/>
            </c:ext>
          </c:extLst>
        </c:ser>
        <c:ser>
          <c:idx val="0"/>
          <c:order val="2"/>
          <c:tx>
            <c:v>Goal Req</c:v>
          </c:tx>
          <c:spPr>
            <a:ln w="19050" cap="rnd">
              <a:solidFill>
                <a:schemeClr val="accent1"/>
              </a:solidFill>
              <a:round/>
            </a:ln>
            <a:effectLst/>
          </c:spPr>
          <c:marker>
            <c:symbol val="circle"/>
            <c:size val="5"/>
            <c:spPr>
              <a:solidFill>
                <a:schemeClr val="bg1"/>
              </a:solidFill>
              <a:ln w="9525">
                <a:solidFill>
                  <a:schemeClr val="accent6">
                    <a:lumMod val="75000"/>
                  </a:schemeClr>
                </a:solidFill>
              </a:ln>
              <a:effectLst/>
            </c:spPr>
          </c:marker>
          <c:xVal>
            <c:numRef>
              <c:f>CG!$BF$9:$BF$34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CG!$BI$9:$BI$34</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2-CF00-4CB0-BC10-6535BC571F63}"/>
            </c:ext>
          </c:extLst>
        </c:ser>
        <c:ser>
          <c:idx val="1"/>
          <c:order val="3"/>
          <c:tx>
            <c:v>Goal Fit</c:v>
          </c:tx>
          <c:spPr>
            <a:ln w="19050" cap="rnd">
              <a:solidFill>
                <a:schemeClr val="accent6">
                  <a:lumMod val="50000"/>
                </a:schemeClr>
              </a:solidFill>
              <a:round/>
            </a:ln>
            <a:effectLst/>
          </c:spPr>
          <c:marker>
            <c:symbol val="none"/>
          </c:marker>
          <c:xVal>
            <c:numRef>
              <c:f>CG!$BR$9:$BR$34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CG!$BU$9:$BU$34</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3-CF00-4CB0-BC10-6535BC571F63}"/>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Phase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54487737251201"/>
          <c:y val="0.17474293617011799"/>
          <c:w val="0.75398153660552802"/>
          <c:h val="0.61605878246082402"/>
        </c:manualLayout>
      </c:layout>
      <c:scatterChart>
        <c:scatterStyle val="smoothMarker"/>
        <c:varyColors val="0"/>
        <c:ser>
          <c:idx val="0"/>
          <c:order val="0"/>
          <c:tx>
            <c:v>Lewis (Cassini)</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Planets!$AD$25:$AD$43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Planets!$AE$25:$AE$43</c:f>
              <c:numCache>
                <c:formatCode>0.0000</c:formatCode>
                <c:ptCount val="19"/>
                <c:pt idx="0">
                  <c:v>0.37318772560000002</c:v>
                </c:pt>
                <c:pt idx="1">
                  <c:v>0.35652759627500008</c:v>
                </c:pt>
                <c:pt idx="2">
                  <c:v>0.33925137920000004</c:v>
                </c:pt>
                <c:pt idx="3">
                  <c:v>0.32151695312500006</c:v>
                </c:pt>
                <c:pt idx="4">
                  <c:v>0.30347604080000001</c:v>
                </c:pt>
                <c:pt idx="5">
                  <c:v>0.28527377997499997</c:v>
                </c:pt>
                <c:pt idx="6">
                  <c:v>0.26704829440000005</c:v>
                </c:pt>
                <c:pt idx="7">
                  <c:v>0.248930264825</c:v>
                </c:pt>
                <c:pt idx="8">
                  <c:v>0.23104250000000001</c:v>
                </c:pt>
                <c:pt idx="9">
                  <c:v>0.21349950767500003</c:v>
                </c:pt>
                <c:pt idx="10">
                  <c:v>0.19640706560000004</c:v>
                </c:pt>
                <c:pt idx="11">
                  <c:v>0.17986179252500001</c:v>
                </c:pt>
                <c:pt idx="12">
                  <c:v>0.16395071920000001</c:v>
                </c:pt>
                <c:pt idx="13">
                  <c:v>0.14875085937499999</c:v>
                </c:pt>
                <c:pt idx="14">
                  <c:v>0.13432878079999999</c:v>
                </c:pt>
                <c:pt idx="15">
                  <c:v>0.12074017622499998</c:v>
                </c:pt>
                <c:pt idx="16">
                  <c:v>0.10802943439999996</c:v>
                </c:pt>
                <c:pt idx="17">
                  <c:v>9.6229211075000015E-2</c:v>
                </c:pt>
                <c:pt idx="18">
                  <c:v>8.5359999999999978E-2</c:v>
                </c:pt>
              </c:numCache>
            </c:numRef>
          </c:yVal>
          <c:smooth val="1"/>
          <c:extLst>
            <c:ext xmlns:c16="http://schemas.microsoft.com/office/drawing/2014/chart" uri="{C3380CC4-5D6E-409C-BE32-E72D297353CC}">
              <c16:uniqueId val="{00000000-3BA4-4313-9C59-6A71315512C1}"/>
            </c:ext>
          </c:extLst>
        </c:ser>
        <c:ser>
          <c:idx val="1"/>
          <c:order val="1"/>
          <c:tx>
            <c:v>Traub etal</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Planets!$AF$25:$AF$43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Planets!$AG$25:$AG$43</c:f>
              <c:numCache>
                <c:formatCode>0.0000</c:formatCode>
                <c:ptCount val="19"/>
                <c:pt idx="0">
                  <c:v>0.98537014284737978</c:v>
                </c:pt>
                <c:pt idx="1">
                  <c:v>0.96781666822042667</c:v>
                </c:pt>
                <c:pt idx="2">
                  <c:v>0.94415072248203169</c:v>
                </c:pt>
                <c:pt idx="3">
                  <c:v>0.91495527629765538</c:v>
                </c:pt>
                <c:pt idx="4">
                  <c:v>0.88084277957892765</c:v>
                </c:pt>
                <c:pt idx="5">
                  <c:v>0.84244753029429353</c:v>
                </c:pt>
                <c:pt idx="6">
                  <c:v>0.80041799552776727</c:v>
                </c:pt>
                <c:pt idx="7">
                  <c:v>0.75540916492918719</c:v>
                </c:pt>
                <c:pt idx="8">
                  <c:v>0.70807501538564999</c:v>
                </c:pt>
                <c:pt idx="9">
                  <c:v>0.65906116367307499</c:v>
                </c:pt>
                <c:pt idx="10">
                  <c:v>0.60899778104422952</c:v>
                </c:pt>
                <c:pt idx="11">
                  <c:v>0.55849284020678835</c:v>
                </c:pt>
                <c:pt idx="12">
                  <c:v>0.50812576098024143</c:v>
                </c:pt>
                <c:pt idx="13">
                  <c:v>0.45844151613786105</c:v>
                </c:pt>
                <c:pt idx="14">
                  <c:v>0.40994525358919193</c:v>
                </c:pt>
                <c:pt idx="15">
                  <c:v>0.36309748519440987</c:v>
                </c:pt>
                <c:pt idx="16">
                  <c:v>0.31830988618379069</c:v>
                </c:pt>
                <c:pt idx="17">
                  <c:v>0.27594174244675179</c:v>
                </c:pt>
                <c:pt idx="18">
                  <c:v>0.23629707592226157</c:v>
                </c:pt>
              </c:numCache>
            </c:numRef>
          </c:yVal>
          <c:smooth val="1"/>
          <c:extLst>
            <c:ext xmlns:c16="http://schemas.microsoft.com/office/drawing/2014/chart" uri="{C3380CC4-5D6E-409C-BE32-E72D297353CC}">
              <c16:uniqueId val="{00000001-3BA4-4313-9C59-6A71315512C1}"/>
            </c:ext>
          </c:extLst>
        </c:ser>
        <c:dLbls>
          <c:showLegendKey val="0"/>
          <c:showVal val="0"/>
          <c:showCatName val="0"/>
          <c:showSerName val="0"/>
          <c:showPercent val="0"/>
          <c:showBubbleSize val="0"/>
        </c:dLbls>
        <c:axId val="170209664"/>
        <c:axId val="170212352"/>
      </c:scatterChart>
      <c:valAx>
        <c:axId val="17020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Phase Angle (deg)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2352"/>
        <c:crosses val="autoZero"/>
        <c:crossBetween val="midCat"/>
      </c:valAx>
      <c:valAx>
        <c:axId val="170212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Albedo at Phase Angle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9664"/>
        <c:crosses val="autoZero"/>
        <c:crossBetween val="midCat"/>
      </c:valAx>
      <c:spPr>
        <a:noFill/>
        <a:ln>
          <a:noFill/>
        </a:ln>
        <a:effectLst/>
      </c:spPr>
    </c:plotArea>
    <c:legend>
      <c:legendPos val="r"/>
      <c:layout>
        <c:manualLayout>
          <c:xMode val="edge"/>
          <c:yMode val="edge"/>
          <c:x val="0.62169423408645896"/>
          <c:y val="0.19927556930948301"/>
          <c:w val="0.24318632097182399"/>
          <c:h val="0.1590082333135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F089-41DB-8BAA-A50676DB7805}"/>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F089-41DB-8BAA-A50676DB7805}"/>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F089-41DB-8BAA-A50676DB7805}"/>
            </c:ext>
          </c:extLst>
        </c:ser>
        <c:ser>
          <c:idx val="3"/>
          <c:order val="3"/>
          <c:tx>
            <c:strRef>
              <c:f>'Detector Reqs'!$V$9</c:f>
              <c:strCache>
                <c:ptCount val="1"/>
                <c:pt idx="0">
                  <c:v>Basic Multi2 std Si</c:v>
                </c:pt>
              </c:strCache>
            </c:strRef>
          </c:tx>
          <c:spPr>
            <a:ln w="952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F089-41DB-8BAA-A50676DB7805}"/>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F089-41DB-8BAA-A50676DB7805}"/>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F089-41DB-8BAA-A50676DB7805}"/>
            </c:ext>
          </c:extLst>
        </c:ser>
        <c:ser>
          <c:idx val="6"/>
          <c:order val="6"/>
          <c:tx>
            <c:strRef>
              <c:f>'Detector Reqs'!$Y$9</c:f>
              <c:strCache>
                <c:ptCount val="1"/>
                <c:pt idx="0">
                  <c:v>Basic Midband Std Si</c:v>
                </c:pt>
              </c:strCache>
            </c:strRef>
          </c:tx>
          <c:spPr>
            <a:ln w="19050"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F089-41DB-8BAA-A50676DB7805}"/>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2328-41AA-BCB9-370569A33C22}"/>
            </c:ext>
          </c:extLst>
        </c:ser>
        <c:ser>
          <c:idx val="1"/>
          <c:order val="1"/>
          <c:tx>
            <c:v>B22Req</c:v>
          </c:tx>
          <c:spPr>
            <a:ln w="19050" cap="rnd">
              <a:noFill/>
              <a:round/>
            </a:ln>
            <a:effectLst/>
          </c:spPr>
          <c:marker>
            <c:symbol val="circle"/>
            <c:size val="5"/>
            <c:spPr>
              <a:solidFill>
                <a:schemeClr val="accent2"/>
              </a:solidFill>
              <a:ln w="9525">
                <a:solidFill>
                  <a:schemeClr val="accent2"/>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Fits'!$G$12:$G$32</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1-2328-41AA-BCB9-370569A33C22}"/>
            </c:ext>
          </c:extLst>
        </c:ser>
        <c:ser>
          <c:idx val="2"/>
          <c:order val="2"/>
          <c:tx>
            <c:v>Fit</c:v>
          </c:tx>
          <c:spPr>
            <a:ln w="19050" cap="rnd">
              <a:solidFill>
                <a:schemeClr val="accent6">
                  <a:lumMod val="75000"/>
                </a:schemeClr>
              </a:solidFill>
              <a:round/>
            </a:ln>
            <a:effectLst/>
          </c:spPr>
          <c:marker>
            <c:symbol val="none"/>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Fits'!$H$12:$H$32</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2328-41AA-BCB9-370569A33C22}"/>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0749-48BF-B4BD-662A912699CA}"/>
            </c:ext>
          </c:extLst>
        </c:ser>
        <c:ser>
          <c:idx val="1"/>
          <c:order val="1"/>
          <c:tx>
            <c:v>B22Goal</c:v>
          </c:tx>
          <c:spPr>
            <a:ln w="25400" cap="rnd">
              <a:noFill/>
              <a:round/>
            </a:ln>
            <a:effectLst/>
          </c:spPr>
          <c:marker>
            <c:symbol val="circle"/>
            <c:size val="5"/>
            <c:spPr>
              <a:solidFill>
                <a:schemeClr val="accent2"/>
              </a:solidFill>
              <a:ln w="9525">
                <a:solidFill>
                  <a:schemeClr val="accent2"/>
                </a:solidFill>
              </a:ln>
              <a:effectLst/>
            </c:spPr>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Fits'!$K$11:$K$32</c:f>
              <c:numCache>
                <c:formatCode>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1-0749-48BF-B4BD-662A912699CA}"/>
            </c:ext>
          </c:extLst>
        </c:ser>
        <c:ser>
          <c:idx val="2"/>
          <c:order val="2"/>
          <c:spPr>
            <a:ln w="25400" cap="rnd">
              <a:solidFill>
                <a:schemeClr val="accent6">
                  <a:lumMod val="75000"/>
                </a:schemeClr>
              </a:solidFill>
              <a:round/>
            </a:ln>
            <a:effectLst/>
          </c:spPr>
          <c:marker>
            <c:symbol val="none"/>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Fits'!$L$11:$L$32</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2-0749-48BF-B4BD-662A912699CA}"/>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Baseline 660, 10%</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5689-4207-90D9-6C6AA67EC377}"/>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Fits'!$G$55:$G$80</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5689-4207-90D9-6C6AA67EC377}"/>
            </c:ext>
          </c:extLst>
        </c:ser>
        <c:ser>
          <c:idx val="2"/>
          <c:order val="2"/>
          <c:tx>
            <c:v>Fit</c:v>
          </c:tx>
          <c:spPr>
            <a:ln w="19050" cap="rnd">
              <a:solidFill>
                <a:schemeClr val="accent6">
                  <a:lumMod val="75000"/>
                  <a:alpha val="58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Fits'!$H$55:$H$80</c:f>
              <c:numCache>
                <c:formatCode>0.00E+00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2-5689-4207-90D9-6C6AA67EC377}"/>
            </c:ext>
          </c:extLst>
        </c:ser>
        <c:dLbls>
          <c:showLegendKey val="0"/>
          <c:showVal val="0"/>
          <c:showCatName val="0"/>
          <c:showSerName val="0"/>
          <c:showPercent val="0"/>
          <c:showBubbleSize val="0"/>
        </c:dLbls>
        <c:axId val="275656416"/>
        <c:axId val="596580800"/>
      </c:scatterChart>
      <c:valAx>
        <c:axId val="275656416"/>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0800"/>
        <c:crosses val="autoZero"/>
        <c:crossBetween val="midCat"/>
      </c:valAx>
      <c:valAx>
        <c:axId val="59658080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564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660,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8CC9-4606-BCBD-08CE179B727F}"/>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Fits'!$K$55:$K$80</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8CC9-4606-BCBD-08CE179B727F}"/>
            </c:ext>
          </c:extLst>
        </c:ser>
        <c:ser>
          <c:idx val="2"/>
          <c:order val="2"/>
          <c:tx>
            <c:v>Fit</c:v>
          </c:tx>
          <c:spPr>
            <a:ln w="1905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Fits'!$L$55:$L$80</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2-8CC9-4606-BCBD-08CE179B727F}"/>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a:t>
            </a:r>
            <a:r>
              <a:rPr lang="en-US" baseline="0"/>
              <a:t> 7</a:t>
            </a:r>
            <a:r>
              <a:rPr lang="en-US"/>
              <a:t>70, 10%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F914-4FD8-B5D1-C1CC42B227F8}"/>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Fits'!$Q$55:$Q$80</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F914-4FD8-B5D1-C1CC42B227F8}"/>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Fits'!$R$55:$R$80</c:f>
              <c:numCache>
                <c:formatCode>0.00E+00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F914-4FD8-B5D1-C1CC42B227F8}"/>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770,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A915-4EC0-B032-079F72477857}"/>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Fits'!$U$55:$U$80</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A915-4EC0-B032-079F72477857}"/>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Fits'!$V$55:$V$80</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2-A915-4EC0-B032-079F72477857}"/>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15.png"/><Relationship Id="rId4" Type="http://schemas.openxmlformats.org/officeDocument/2006/relationships/chart" Target="../charts/chart9.xml"/><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oneCellAnchor>
    <xdr:from>
      <xdr:col>59</xdr:col>
      <xdr:colOff>7843</xdr:colOff>
      <xdr:row>46</xdr:row>
      <xdr:rowOff>15522</xdr:rowOff>
    </xdr:from>
    <xdr:ext cx="3641911" cy="47596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p>
                      <m:sSupPr>
                        <m:ctrlPr>
                          <a:rPr lang="en-US" sz="1200" b="0" i="1">
                            <a:latin typeface="Cambria Math" panose="02040503050406030204" pitchFamily="18" charset="0"/>
                          </a:rPr>
                        </m:ctrlPr>
                      </m:sSupPr>
                      <m:e>
                        <m:r>
                          <a:rPr lang="en-US" sz="1200" b="0" i="1">
                            <a:latin typeface="Cambria Math" panose="02040503050406030204" pitchFamily="18" charset="0"/>
                          </a:rPr>
                          <m:t>𝐹</m:t>
                        </m:r>
                      </m:e>
                      <m:sup>
                        <m:r>
                          <a:rPr lang="en-US" sz="1200" b="0" i="1">
                            <a:latin typeface="Cambria Math" panose="02040503050406030204" pitchFamily="18" charset="0"/>
                          </a:rPr>
                          <m:t>𝐸𝑍</m:t>
                        </m:r>
                      </m:sup>
                    </m:sSup>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latin typeface="Cambria Math" panose="02040503050406030204" pitchFamily="18" charset="0"/>
                              </a:rPr>
                            </m:ctrlPr>
                          </m:sSupPr>
                          <m:e>
                            <m:r>
                              <a:rPr lang="en-US" sz="1200" b="0" i="1">
                                <a:latin typeface="Cambria Math" panose="02040503050406030204" pitchFamily="18" charset="0"/>
                              </a:rPr>
                              <m:t>10</m:t>
                            </m:r>
                          </m:e>
                          <m:sup>
                            <m:r>
                              <a:rPr lang="en-US" sz="1200" b="0" i="1">
                                <a:latin typeface="Cambria Math" panose="02040503050406030204" pitchFamily="18" charset="0"/>
                              </a:rPr>
                              <m:t>−0.4</m:t>
                            </m:r>
                            <m:d>
                              <m:dPr>
                                <m:ctrlPr>
                                  <a:rPr lang="en-US" sz="1200" b="0" i="1">
                                    <a:solidFill>
                                      <a:schemeClr val="tx1"/>
                                    </a:solidFill>
                                    <a:effectLst/>
                                    <a:latin typeface="Cambria Math" panose="02040503050406030204" pitchFamily="18" charset="0"/>
                                    <a:ea typeface="+mn-ea"/>
                                    <a:cs typeface="+mn-cs"/>
                                  </a:rPr>
                                </m:ctrlPr>
                              </m:dPr>
                              <m:e>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m:t>
                                    </m:r>
                                  </m:sub>
                                </m:sSub>
                                <m:r>
                                  <a:rPr lang="en-US" sz="1200" b="0" i="1">
                                    <a:solidFill>
                                      <a:schemeClr val="tx1"/>
                                    </a:solidFill>
                                    <a:effectLst/>
                                    <a:latin typeface="Cambria Math" panose="02040503050406030204" pitchFamily="18" charset="0"/>
                                    <a:ea typeface="+mn-ea"/>
                                    <a:cs typeface="+mn-cs"/>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𝑠𝑢𝑛</m:t>
                                    </m:r>
                                  </m:sub>
                                </m:sSub>
                              </m:e>
                            </m:d>
                          </m:sup>
                        </m:sSup>
                      </m:num>
                      <m:den>
                        <m:sSup>
                          <m:sSupPr>
                            <m:ctrlPr>
                              <a:rPr lang="en-US" sz="1200" b="0" i="1">
                                <a:latin typeface="Cambria Math" panose="02040503050406030204" pitchFamily="18" charset="0"/>
                              </a:rPr>
                            </m:ctrlPr>
                          </m:sSupPr>
                          <m:e>
                            <m:r>
                              <a:rPr lang="en-US" sz="1200" b="0" i="1">
                                <a:latin typeface="Cambria Math" panose="02040503050406030204" pitchFamily="18" charset="0"/>
                              </a:rPr>
                              <m:t>𝑎</m:t>
                            </m:r>
                          </m:e>
                          <m:sup>
                            <m:r>
                              <a:rPr lang="en-US" sz="1200" b="0" i="1">
                                <a:latin typeface="Cambria Math" panose="02040503050406030204" pitchFamily="18" charset="0"/>
                              </a:rPr>
                              <m:t>2</m:t>
                            </m:r>
                          </m:sup>
                        </m:sSup>
                      </m:den>
                    </m:f>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solidFill>
                                  <a:schemeClr val="tx1"/>
                                </a:solidFill>
                                <a:effectLst/>
                                <a:latin typeface="Cambria Math" panose="02040503050406030204" pitchFamily="18" charset="0"/>
                                <a:ea typeface="+mn-ea"/>
                                <a:cs typeface="+mn-cs"/>
                              </a:rPr>
                            </m:ctrlPr>
                          </m:sSupPr>
                          <m:e>
                            <m:r>
                              <a:rPr lang="en-US" sz="1200" b="0" i="1">
                                <a:solidFill>
                                  <a:schemeClr val="tx1"/>
                                </a:solidFill>
                                <a:effectLst/>
                                <a:latin typeface="Cambria Math" panose="02040503050406030204" pitchFamily="18" charset="0"/>
                                <a:ea typeface="+mn-ea"/>
                                <a:cs typeface="+mn-cs"/>
                              </a:rPr>
                              <m:t>10</m:t>
                            </m:r>
                          </m:e>
                          <m:sup>
                            <m:r>
                              <a:rPr lang="en-US" sz="1200" b="0" i="1">
                                <a:solidFill>
                                  <a:schemeClr val="tx1"/>
                                </a:solidFill>
                                <a:effectLst/>
                                <a:latin typeface="Cambria Math" panose="02040503050406030204" pitchFamily="18" charset="0"/>
                                <a:ea typeface="+mn-ea"/>
                                <a:cs typeface="+mn-cs"/>
                              </a:rPr>
                              <m:t>−0.4</m:t>
                            </m:r>
                            <m:d>
                              <m:dPr>
                                <m:ctrlPr>
                                  <a:rPr lang="en-US" sz="1200" b="0" i="1">
                                    <a:solidFill>
                                      <a:schemeClr val="tx1"/>
                                    </a:solidFill>
                                    <a:effectLst/>
                                    <a:latin typeface="Cambria Math" panose="02040503050406030204" pitchFamily="18" charset="0"/>
                                    <a:ea typeface="+mn-ea"/>
                                    <a:cs typeface="+mn-cs"/>
                                  </a:rPr>
                                </m:ctrlPr>
                              </m:dPr>
                              <m:e>
                                <m:r>
                                  <a:rPr lang="en-US" sz="1200" b="0" i="1">
                                    <a:solidFill>
                                      <a:schemeClr val="tx1"/>
                                    </a:solidFill>
                                    <a:effectLst/>
                                    <a:latin typeface="Cambria Math" panose="02040503050406030204" pitchFamily="18" charset="0"/>
                                    <a:ea typeface="+mn-ea"/>
                                    <a:cs typeface="+mn-cs"/>
                                  </a:rPr>
                                  <m:t>22</m:t>
                                </m:r>
                                <m:r>
                                  <a:rPr lang="en-US" sz="1200" b="0" i="1">
                                    <a:solidFill>
                                      <a:schemeClr val="tx1"/>
                                    </a:solidFill>
                                    <a:effectLst/>
                                    <a:latin typeface="Cambria Math" panose="02040503050406030204" pitchFamily="18" charset="0"/>
                                    <a:ea typeface="+mn-ea"/>
                                    <a:cs typeface="+mn-cs"/>
                                  </a:rPr>
                                  <m:t>𝑚𝑎𝑔</m:t>
                                </m:r>
                              </m:e>
                            </m:d>
                          </m:sup>
                        </m:sSup>
                      </m:num>
                      <m:den>
                        <m:r>
                          <a:rPr lang="en-US" sz="1200" b="0" i="1">
                            <a:latin typeface="Cambria Math" panose="02040503050406030204" pitchFamily="18" charset="0"/>
                          </a:rPr>
                          <m:t>𝑎</m:t>
                        </m:r>
                        <m:sSup>
                          <m:sSupPr>
                            <m:ctrlPr>
                              <a:rPr lang="en-US" sz="1200" b="0" i="1">
                                <a:latin typeface="Cambria Math" panose="02040503050406030204" pitchFamily="18" charset="0"/>
                              </a:rPr>
                            </m:ctrlPr>
                          </m:sSupPr>
                          <m:e>
                            <m:r>
                              <a:rPr lang="en-US" sz="1200" b="0" i="1">
                                <a:latin typeface="Cambria Math" panose="02040503050406030204" pitchFamily="18" charset="0"/>
                              </a:rPr>
                              <m:t>𝑠</m:t>
                            </m:r>
                          </m:e>
                          <m:sup>
                            <m:r>
                              <a:rPr lang="en-US" sz="1200" b="0" i="1">
                                <a:latin typeface="Cambria Math" panose="02040503050406030204" pitchFamily="18" charset="0"/>
                              </a:rPr>
                              <m:t>2</m:t>
                            </m:r>
                          </m:sup>
                        </m:sSup>
                      </m:den>
                    </m:f>
                    <m:r>
                      <a:rPr lang="en-US" sz="1200" b="0" i="1">
                        <a:latin typeface="Cambria Math" panose="02040503050406030204" pitchFamily="18" charset="0"/>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𝐹</m:t>
                        </m:r>
                      </m:e>
                      <m:sub>
                        <m:r>
                          <a:rPr lang="en-US" sz="1200" b="0" i="1">
                            <a:solidFill>
                              <a:schemeClr val="tx1"/>
                            </a:solidFill>
                            <a:effectLst/>
                            <a:latin typeface="Cambria Math" panose="02040503050406030204" pitchFamily="18" charset="0"/>
                            <a:ea typeface="+mn-ea"/>
                            <a:cs typeface="+mn-cs"/>
                          </a:rPr>
                          <m:t>𝜆</m:t>
                        </m:r>
                      </m:sub>
                    </m:sSub>
                    <m:r>
                      <a:rPr lang="en-US" sz="1200" b="0" i="1">
                        <a:solidFill>
                          <a:schemeClr val="tx1"/>
                        </a:solidFill>
                        <a:effectLst/>
                        <a:latin typeface="Cambria Math" panose="02040503050406030204" pitchFamily="18" charset="0"/>
                        <a:ea typeface="+mn-ea"/>
                        <a:cs typeface="+mn-cs"/>
                      </a:rPr>
                      <m:t>⋅</m:t>
                    </m:r>
                    <m:r>
                      <m:rPr>
                        <m:sty m:val="p"/>
                      </m:rPr>
                      <a:rPr lang="en-US" sz="1200" b="0" i="0">
                        <a:latin typeface="Cambria Math" panose="02040503050406030204" pitchFamily="18" charset="0"/>
                      </a:rPr>
                      <m:t>Δ</m:t>
                    </m:r>
                    <m:sSub>
                      <m:sSubPr>
                        <m:ctrlPr>
                          <a:rPr lang="en-US" sz="1200" b="0" i="1">
                            <a:latin typeface="Cambria Math" panose="02040503050406030204" pitchFamily="18" charset="0"/>
                          </a:rPr>
                        </m:ctrlPr>
                      </m:sSubPr>
                      <m:e>
                        <m:r>
                          <a:rPr lang="en-US" sz="1200" b="0" i="1">
                            <a:latin typeface="Cambria Math" panose="02040503050406030204" pitchFamily="18" charset="0"/>
                          </a:rPr>
                          <m:t>𝜆</m:t>
                        </m:r>
                      </m:e>
                      <m:sub>
                        <m:r>
                          <a:rPr lang="en-US" sz="1200" b="0" i="1">
                            <a:latin typeface="Cambria Math" panose="02040503050406030204" pitchFamily="18" charset="0"/>
                          </a:rPr>
                          <m:t>𝐼𝐹𝑆</m:t>
                        </m:r>
                      </m:sub>
                    </m:sSub>
                  </m:oMath>
                </m:oMathPara>
              </a14:m>
              <a:endParaRPr lang="en-US" sz="1200" b="0"/>
            </a:p>
          </xdr:txBody>
        </xdr:sp>
      </mc:Choice>
      <mc:Fallback xmlns="">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200" b="0" i="0">
                  <a:latin typeface="Cambria Math" panose="02040503050406030204" pitchFamily="18" charset="0"/>
                </a:rPr>
                <a:t>𝐹^𝐸𝑍=〖10〗^(−0.4</a:t>
              </a:r>
              <a:r>
                <a:rPr lang="en-US" sz="1200" b="0" i="0">
                  <a:solidFill>
                    <a:schemeClr val="tx1"/>
                  </a:solidFill>
                  <a:effectLst/>
                  <a:latin typeface="Cambria Math" panose="02040503050406030204" pitchFamily="18" charset="0"/>
                  <a:ea typeface="+mn-ea"/>
                  <a:cs typeface="+mn-cs"/>
                </a:rPr>
                <a:t>(𝑀_∗−𝑀_𝑠𝑢𝑛 ) )/</a:t>
              </a:r>
              <a:r>
                <a:rPr lang="en-US" sz="1200" b="0" i="0">
                  <a:latin typeface="Cambria Math" panose="02040503050406030204" pitchFamily="18" charset="0"/>
                </a:rPr>
                <a:t>𝑎^2 ⋅</a:t>
              </a:r>
              <a:r>
                <a:rPr lang="en-US" sz="1200" b="0" i="0">
                  <a:solidFill>
                    <a:schemeClr val="tx1"/>
                  </a:solidFill>
                  <a:effectLst/>
                  <a:latin typeface="Cambria Math" panose="02040503050406030204" pitchFamily="18" charset="0"/>
                  <a:ea typeface="+mn-ea"/>
                  <a:cs typeface="+mn-cs"/>
                </a:rPr>
                <a:t>〖10〗^(−0.4(22𝑚𝑎𝑔) )/(</a:t>
              </a:r>
              <a:r>
                <a:rPr lang="en-US" sz="1200" b="0" i="0">
                  <a:latin typeface="Cambria Math" panose="02040503050406030204" pitchFamily="18" charset="0"/>
                </a:rPr>
                <a:t>𝑎𝑠^2 )⋅</a:t>
              </a:r>
              <a:r>
                <a:rPr lang="en-US" sz="1200" b="0" i="0">
                  <a:solidFill>
                    <a:schemeClr val="tx1"/>
                  </a:solidFill>
                  <a:effectLst/>
                  <a:latin typeface="Cambria Math" panose="02040503050406030204" pitchFamily="18" charset="0"/>
                  <a:ea typeface="+mn-ea"/>
                  <a:cs typeface="+mn-cs"/>
                </a:rPr>
                <a:t>𝐹_𝜆⋅</a:t>
              </a:r>
              <a:r>
                <a:rPr lang="en-US" sz="1200" b="0" i="0">
                  <a:latin typeface="Cambria Math" panose="02040503050406030204" pitchFamily="18" charset="0"/>
                </a:rPr>
                <a:t>Δ𝜆_𝐼𝐹𝑆</a:t>
              </a:r>
              <a:endParaRPr lang="en-US" sz="1200" b="0"/>
            </a:p>
          </xdr:txBody>
        </xdr:sp>
      </mc:Fallback>
    </mc:AlternateContent>
    <xdr:clientData/>
  </xdr:oneCellAnchor>
  <xdr:twoCellAnchor>
    <xdr:from>
      <xdr:col>41</xdr:col>
      <xdr:colOff>586448</xdr:colOff>
      <xdr:row>45</xdr:row>
      <xdr:rowOff>15350</xdr:rowOff>
    </xdr:from>
    <xdr:to>
      <xdr:col>45</xdr:col>
      <xdr:colOff>3202596</xdr:colOff>
      <xdr:row>64</xdr:row>
      <xdr:rowOff>152570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542924</xdr:colOff>
      <xdr:row>48</xdr:row>
      <xdr:rowOff>168087</xdr:rowOff>
    </xdr:from>
    <xdr:to>
      <xdr:col>8</xdr:col>
      <xdr:colOff>448234</xdr:colOff>
      <xdr:row>52</xdr:row>
      <xdr:rowOff>22411</xdr:rowOff>
    </xdr:to>
    <xdr:grpSp>
      <xdr:nvGrpSpPr>
        <xdr:cNvPr id="15" name="Group 14">
          <a:extLst>
            <a:ext uri="{FF2B5EF4-FFF2-40B4-BE49-F238E27FC236}">
              <a16:creationId xmlns:a16="http://schemas.microsoft.com/office/drawing/2014/main" id="{00000000-0008-0000-0100-00000F000000}"/>
            </a:ext>
          </a:extLst>
        </xdr:cNvPr>
        <xdr:cNvGrpSpPr/>
      </xdr:nvGrpSpPr>
      <xdr:grpSpPr>
        <a:xfrm>
          <a:off x="2076449" y="9721662"/>
          <a:ext cx="3839135" cy="616324"/>
          <a:chOff x="2279276" y="5972735"/>
          <a:chExt cx="4018430" cy="616324"/>
        </a:xfrm>
      </xdr:grpSpPr>
      <xdr:sp macro="" textlink="">
        <xdr:nvSpPr>
          <xdr:cNvPr id="6" name="Freeform 5">
            <a:extLst>
              <a:ext uri="{FF2B5EF4-FFF2-40B4-BE49-F238E27FC236}">
                <a16:creationId xmlns:a16="http://schemas.microsoft.com/office/drawing/2014/main" id="{00000000-0008-0000-0100-000006000000}"/>
              </a:ext>
            </a:extLst>
          </xdr:cNvPr>
          <xdr:cNvSpPr/>
        </xdr:nvSpPr>
        <xdr:spPr>
          <a:xfrm>
            <a:off x="3966883" y="6367743"/>
            <a:ext cx="2330823" cy="221316"/>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564415" y="154564"/>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1" name="Freeform 10">
            <a:extLst>
              <a:ext uri="{FF2B5EF4-FFF2-40B4-BE49-F238E27FC236}">
                <a16:creationId xmlns:a16="http://schemas.microsoft.com/office/drawing/2014/main" id="{00000000-0008-0000-0100-00000B000000}"/>
              </a:ext>
            </a:extLst>
          </xdr:cNvPr>
          <xdr:cNvSpPr/>
        </xdr:nvSpPr>
        <xdr:spPr>
          <a:xfrm>
            <a:off x="2279276" y="6369424"/>
            <a:ext cx="1642783" cy="219635"/>
          </a:xfrm>
          <a:custGeom>
            <a:avLst/>
            <a:gdLst>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28068" y="80962"/>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2" name="Freeform 11">
            <a:extLst>
              <a:ext uri="{FF2B5EF4-FFF2-40B4-BE49-F238E27FC236}">
                <a16:creationId xmlns:a16="http://schemas.microsoft.com/office/drawing/2014/main" id="{00000000-0008-0000-0100-00000C000000}"/>
              </a:ext>
            </a:extLst>
          </xdr:cNvPr>
          <xdr:cNvSpPr/>
        </xdr:nvSpPr>
        <xdr:spPr>
          <a:xfrm rot="10800000">
            <a:off x="2407022" y="5972735"/>
            <a:ext cx="2912970" cy="174252"/>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73283" y="160336"/>
                  <a:pt x="1808162" y="161925"/>
                  <a:pt x="1333500" y="161925"/>
                </a:cubicBezTo>
                <a:cubicBezTo>
                  <a:pt x="858838" y="161925"/>
                  <a:pt x="361597" y="136524"/>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grpSp>
    <xdr:clientData/>
  </xdr:twoCellAnchor>
  <xdr:twoCellAnchor>
    <xdr:from>
      <xdr:col>5</xdr:col>
      <xdr:colOff>112058</xdr:colOff>
      <xdr:row>3</xdr:row>
      <xdr:rowOff>10543</xdr:rowOff>
    </xdr:from>
    <xdr:to>
      <xdr:col>5</xdr:col>
      <xdr:colOff>392205</xdr:colOff>
      <xdr:row>4</xdr:row>
      <xdr:rowOff>10542</xdr:rowOff>
    </xdr:to>
    <xdr:sp macro="" textlink="">
      <xdr:nvSpPr>
        <xdr:cNvPr id="10" name="Arrow: Right 9">
          <a:extLst>
            <a:ext uri="{FF2B5EF4-FFF2-40B4-BE49-F238E27FC236}">
              <a16:creationId xmlns:a16="http://schemas.microsoft.com/office/drawing/2014/main" id="{00000000-0008-0000-0100-00000A000000}"/>
            </a:ext>
          </a:extLst>
        </xdr:cNvPr>
        <xdr:cNvSpPr/>
      </xdr:nvSpPr>
      <xdr:spPr>
        <a:xfrm rot="10800000">
          <a:off x="3205778" y="803023"/>
          <a:ext cx="280147" cy="198119"/>
        </a:xfrm>
        <a:prstGeom prst="right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140050</xdr:colOff>
      <xdr:row>66</xdr:row>
      <xdr:rowOff>79605</xdr:rowOff>
    </xdr:from>
    <xdr:ext cx="7437503" cy="1845633"/>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7781505" y="13125969"/>
          <a:ext cx="7437503" cy="1845633"/>
        </a:xfrm>
        <a:prstGeom prst="rect">
          <a:avLst/>
        </a:prstGeom>
        <a:solidFill>
          <a:schemeClr val="accent4">
            <a:lumMod val="40000"/>
            <a:lumOff val="60000"/>
          </a:schemeClr>
        </a:solidFill>
        <a:ln>
          <a:solidFill>
            <a:schemeClr val="accent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Photons produce</a:t>
          </a:r>
          <a:r>
            <a:rPr lang="en-US" sz="1400" baseline="0"/>
            <a:t> </a:t>
          </a:r>
          <a:r>
            <a:rPr lang="en-US" sz="1400"/>
            <a:t>electrons in pixels. The signal rates that are used to estimate shot noise should</a:t>
          </a:r>
          <a:r>
            <a:rPr lang="en-US" sz="1400" baseline="0"/>
            <a:t> only have the photo-conversion rate which is traditional QE. This quantity we call simply QE.</a:t>
          </a:r>
        </a:p>
        <a:p>
          <a:r>
            <a:rPr lang="en-US" sz="1400" baseline="0"/>
            <a:t/>
          </a:r>
          <a:br>
            <a:rPr lang="en-US" sz="1400" baseline="0"/>
          </a:br>
          <a:r>
            <a:rPr lang="en-US" sz="1400" baseline="0"/>
            <a:t>In computing detected signal ONLY, should we consider the other two factors, namely photon counting efficiency and charge transfer efficiency. This quantity which has the two other factors we call  signalQE.</a:t>
          </a:r>
        </a:p>
        <a:p>
          <a:r>
            <a:rPr lang="en-US" sz="1400" baseline="0"/>
            <a:t/>
          </a:r>
          <a:br>
            <a:rPr lang="en-US" sz="1400" baseline="0"/>
          </a:br>
          <a:r>
            <a:rPr lang="en-US" sz="1400" baseline="0"/>
            <a:t>Detected signal is what concerns computation of Kappa, as well as the computation of time-to-SNR</a:t>
          </a:r>
        </a:p>
      </xdr:txBody>
    </xdr:sp>
    <xdr:clientData/>
  </xdr:oneCellAnchor>
  <xdr:twoCellAnchor>
    <xdr:from>
      <xdr:col>6</xdr:col>
      <xdr:colOff>827394</xdr:colOff>
      <xdr:row>92</xdr:row>
      <xdr:rowOff>34734</xdr:rowOff>
    </xdr:from>
    <xdr:to>
      <xdr:col>13</xdr:col>
      <xdr:colOff>376323</xdr:colOff>
      <xdr:row>111</xdr:row>
      <xdr:rowOff>40604</xdr:rowOff>
    </xdr:to>
    <xdr:grpSp>
      <xdr:nvGrpSpPr>
        <xdr:cNvPr id="4" name="Group 3">
          <a:extLst>
            <a:ext uri="{FF2B5EF4-FFF2-40B4-BE49-F238E27FC236}">
              <a16:creationId xmlns:a16="http://schemas.microsoft.com/office/drawing/2014/main" id="{00000000-0008-0000-0100-000004000000}"/>
            </a:ext>
          </a:extLst>
        </xdr:cNvPr>
        <xdr:cNvGrpSpPr/>
      </xdr:nvGrpSpPr>
      <xdr:grpSpPr>
        <a:xfrm>
          <a:off x="4646919" y="17989359"/>
          <a:ext cx="5082954" cy="3625370"/>
          <a:chOff x="11878238" y="9293128"/>
          <a:chExt cx="5031263" cy="3620009"/>
        </a:xfrm>
      </xdr:grpSpPr>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a:stretch>
            <a:fillRect/>
          </a:stretch>
        </xdr:blipFill>
        <xdr:spPr>
          <a:xfrm>
            <a:off x="11878238" y="9293128"/>
            <a:ext cx="5031263" cy="3620009"/>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416116" y="10018058"/>
            <a:ext cx="39579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rgbClr val="FF0000"/>
                </a:solidFill>
              </a:rPr>
              <a:t>How do we deal with this in the context of getting spectra?</a:t>
            </a:r>
          </a:p>
        </xdr:txBody>
      </xdr:sp>
    </xdr:grpSp>
    <xdr:clientData/>
  </xdr:twoCellAnchor>
  <xdr:twoCellAnchor editAs="oneCell">
    <xdr:from>
      <xdr:col>16</xdr:col>
      <xdr:colOff>44823</xdr:colOff>
      <xdr:row>88</xdr:row>
      <xdr:rowOff>34642</xdr:rowOff>
    </xdr:from>
    <xdr:to>
      <xdr:col>23</xdr:col>
      <xdr:colOff>364247</xdr:colOff>
      <xdr:row>99</xdr:row>
      <xdr:rowOff>605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0186147" y="16574524"/>
          <a:ext cx="5303801" cy="2046858"/>
        </a:xfrm>
        <a:prstGeom prst="rect">
          <a:avLst/>
        </a:prstGeom>
      </xdr:spPr>
    </xdr:pic>
    <xdr:clientData/>
  </xdr:twoCellAnchor>
  <xdr:twoCellAnchor>
    <xdr:from>
      <xdr:col>21</xdr:col>
      <xdr:colOff>10768</xdr:colOff>
      <xdr:row>33</xdr:row>
      <xdr:rowOff>84068</xdr:rowOff>
    </xdr:from>
    <xdr:to>
      <xdr:col>29</xdr:col>
      <xdr:colOff>72889</xdr:colOff>
      <xdr:row>46</xdr:row>
      <xdr:rowOff>125480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42</xdr:col>
      <xdr:colOff>86098</xdr:colOff>
      <xdr:row>32</xdr:row>
      <xdr:rowOff>169294</xdr:rowOff>
    </xdr:from>
    <xdr:to>
      <xdr:col>52</xdr:col>
      <xdr:colOff>557893</xdr:colOff>
      <xdr:row>52</xdr:row>
      <xdr:rowOff>122464</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99</xdr:col>
      <xdr:colOff>360868</xdr:colOff>
      <xdr:row>39</xdr:row>
      <xdr:rowOff>92887</xdr:rowOff>
    </xdr:from>
    <xdr:to>
      <xdr:col>113</xdr:col>
      <xdr:colOff>456520</xdr:colOff>
      <xdr:row>62</xdr:row>
      <xdr:rowOff>185736</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99</xdr:col>
      <xdr:colOff>408214</xdr:colOff>
      <xdr:row>9</xdr:row>
      <xdr:rowOff>180294</xdr:rowOff>
    </xdr:from>
    <xdr:to>
      <xdr:col>113</xdr:col>
      <xdr:colOff>340580</xdr:colOff>
      <xdr:row>33</xdr:row>
      <xdr:rowOff>82643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33</xdr:col>
      <xdr:colOff>121872</xdr:colOff>
      <xdr:row>23</xdr:row>
      <xdr:rowOff>79128</xdr:rowOff>
    </xdr:from>
    <xdr:to>
      <xdr:col>39</xdr:col>
      <xdr:colOff>204107</xdr:colOff>
      <xdr:row>36</xdr:row>
      <xdr:rowOff>121369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428625</xdr:colOff>
      <xdr:row>11</xdr:row>
      <xdr:rowOff>66675</xdr:rowOff>
    </xdr:from>
    <xdr:to>
      <xdr:col>51</xdr:col>
      <xdr:colOff>494605</xdr:colOff>
      <xdr:row>58</xdr:row>
      <xdr:rowOff>17937</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2202775" y="2162175"/>
          <a:ext cx="5552381" cy="8904762"/>
        </a:xfrm>
        <a:prstGeom prst="rect">
          <a:avLst/>
        </a:prstGeom>
        <a:effectLst>
          <a:outerShdw blurRad="63500" sx="102000" sy="102000" algn="ctr" rotWithShape="0">
            <a:prstClr val="black">
              <a:alpha val="40000"/>
            </a:prstClr>
          </a:outerShdw>
        </a:effectLst>
      </xdr:spPr>
    </xdr:pic>
    <xdr:clientData/>
  </xdr:twoCellAnchor>
  <xdr:twoCellAnchor editAs="oneCell">
    <xdr:from>
      <xdr:col>29</xdr:col>
      <xdr:colOff>581025</xdr:colOff>
      <xdr:row>17</xdr:row>
      <xdr:rowOff>135899</xdr:rowOff>
    </xdr:from>
    <xdr:to>
      <xdr:col>40</xdr:col>
      <xdr:colOff>484845</xdr:colOff>
      <xdr:row>42</xdr:row>
      <xdr:rowOff>27920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4135100" y="3374399"/>
          <a:ext cx="6609420" cy="4654521"/>
        </a:xfrm>
        <a:prstGeom prst="rect">
          <a:avLst/>
        </a:prstGeom>
        <a:effectLst>
          <a:outerShdw blurRad="63500" sx="102000" sy="102000" algn="ctr" rotWithShape="0">
            <a:prstClr val="black">
              <a:alpha val="40000"/>
            </a:prstClr>
          </a:outerShdw>
        </a:effectLst>
      </xdr:spPr>
    </xdr:pic>
    <xdr:clientData/>
  </xdr:twoCellAnchor>
  <xdr:oneCellAnchor>
    <xdr:from>
      <xdr:col>29</xdr:col>
      <xdr:colOff>581025</xdr:colOff>
      <xdr:row>1</xdr:row>
      <xdr:rowOff>66675</xdr:rowOff>
    </xdr:from>
    <xdr:ext cx="6858000" cy="3020186"/>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4135100" y="257175"/>
          <a:ext cx="6858000" cy="3020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Alice Reinheimer, e2v, email 1/10/2017</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Hi Leon,</a:t>
          </a:r>
          <a:endParaRPr lang="en-US"/>
        </a:p>
        <a:p>
          <a:r>
            <a:rPr lang="en-US" sz="1100">
              <a:solidFill>
                <a:schemeClr val="tx1"/>
              </a:solidFill>
              <a:effectLst/>
              <a:latin typeface="+mn-lt"/>
              <a:ea typeface="+mn-ea"/>
              <a:cs typeface="+mn-cs"/>
            </a:rPr>
            <a:t>The -100C QE curves on the website are not exactly what you need because the NIMO devices are a little thicker than the IMO devices and hence have slightly better red QE.  I’ve added the basic midband AR coating to the set of QE curves you sent over.  There are so many QE options that I have not found any way to put them all on one useable plot.  If you need any others let me know.</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I’ve also attached a plot showing the fringing of the basic midband AR coating with the our anti-fringing process / basic midband coating versus our basic multi-2 AR coating.   This was measured at room temperature.  At -100C we would expect more fringing since the silicon will be more transparent and will therefore make more bounces in the etalon set up between the oxide surface and the thinned surface.  </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 hope this helps.  Let me know if you need anything else.</a:t>
          </a:r>
          <a:endParaRPr lang="en-US"/>
        </a:p>
        <a:p>
          <a:r>
            <a:rPr lang="en-US" sz="1100">
              <a:solidFill>
                <a:schemeClr val="tx1"/>
              </a:solidFill>
              <a:effectLst/>
              <a:latin typeface="+mn-lt"/>
              <a:ea typeface="+mn-ea"/>
              <a:cs typeface="+mn-cs"/>
            </a:rPr>
            <a:t>Best regards,</a:t>
          </a:r>
          <a:endParaRPr lang="en-US"/>
        </a:p>
        <a:p>
          <a:r>
            <a:rPr lang="en-US" sz="1100">
              <a:solidFill>
                <a:schemeClr val="tx1"/>
              </a:solidFill>
              <a:effectLst/>
              <a:latin typeface="+mn-lt"/>
              <a:ea typeface="+mn-ea"/>
              <a:cs typeface="+mn-cs"/>
            </a:rPr>
            <a:t>Alice</a:t>
          </a:r>
          <a:endParaRPr lang="en-US"/>
        </a:p>
        <a:p>
          <a:endParaRPr lang="en-US" sz="1100"/>
        </a:p>
      </xdr:txBody>
    </xdr:sp>
    <xdr:clientData/>
  </xdr:oneCellAnchor>
  <xdr:twoCellAnchor>
    <xdr:from>
      <xdr:col>30</xdr:col>
      <xdr:colOff>95250</xdr:colOff>
      <xdr:row>43</xdr:row>
      <xdr:rowOff>47625</xdr:rowOff>
    </xdr:from>
    <xdr:to>
      <xdr:col>41</xdr:col>
      <xdr:colOff>161924</xdr:colOff>
      <xdr:row>67</xdr:row>
      <xdr:rowOff>142875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600074</xdr:colOff>
      <xdr:row>7</xdr:row>
      <xdr:rowOff>38100</xdr:rowOff>
    </xdr:from>
    <xdr:to>
      <xdr:col>16</xdr:col>
      <xdr:colOff>47219</xdr:colOff>
      <xdr:row>24</xdr:row>
      <xdr:rowOff>152400</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5619749" y="1371600"/>
          <a:ext cx="4933545" cy="3352800"/>
          <a:chOff x="5114925" y="1085850"/>
          <a:chExt cx="8109374" cy="5829300"/>
        </a:xfrm>
      </xdr:grpSpPr>
      <xdr:grpSp>
        <xdr:nvGrpSpPr>
          <xdr:cNvPr id="13" name="Group 12">
            <a:extLst>
              <a:ext uri="{FF2B5EF4-FFF2-40B4-BE49-F238E27FC236}">
                <a16:creationId xmlns:a16="http://schemas.microsoft.com/office/drawing/2014/main" id="{00000000-0008-0000-0400-00000D000000}"/>
              </a:ext>
            </a:extLst>
          </xdr:cNvPr>
          <xdr:cNvGrpSpPr/>
        </xdr:nvGrpSpPr>
        <xdr:grpSpPr>
          <a:xfrm>
            <a:off x="5114925" y="1085850"/>
            <a:ext cx="8109374" cy="5829300"/>
            <a:chOff x="5114925" y="1085850"/>
            <a:chExt cx="8109374" cy="5829300"/>
          </a:xfrm>
        </xdr:grpSpPr>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114925" y="1085850"/>
              <a:ext cx="8109374" cy="58293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xnSp macro="">
          <xdr:nvCxnSpPr>
            <xdr:cNvPr id="8" name="Straight Connector 7">
              <a:extLst>
                <a:ext uri="{FF2B5EF4-FFF2-40B4-BE49-F238E27FC236}">
                  <a16:creationId xmlns:a16="http://schemas.microsoft.com/office/drawing/2014/main" id="{00000000-0008-0000-0400-000008000000}"/>
                </a:ext>
              </a:extLst>
            </xdr:cNvPr>
            <xdr:cNvCxnSpPr/>
          </xdr:nvCxnSpPr>
          <xdr:spPr>
            <a:xfrm flipV="1">
              <a:off x="9953625" y="2257425"/>
              <a:ext cx="0" cy="403860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id="{00000000-0008-0000-0400-00000A000000}"/>
                </a:ext>
              </a:extLst>
            </xdr:cNvPr>
            <xdr:cNvCxnSpPr/>
          </xdr:nvCxnSpPr>
          <xdr:spPr>
            <a:xfrm flipH="1">
              <a:off x="5934075" y="4572000"/>
              <a:ext cx="6953250" cy="0"/>
            </a:xfrm>
            <a:prstGeom prst="line">
              <a:avLst/>
            </a:prstGeom>
          </xdr:spPr>
          <xdr:style>
            <a:lnRef idx="1">
              <a:schemeClr val="accent1"/>
            </a:lnRef>
            <a:fillRef idx="0">
              <a:schemeClr val="accent1"/>
            </a:fillRef>
            <a:effectRef idx="0">
              <a:schemeClr val="accent1"/>
            </a:effectRef>
            <a:fontRef idx="minor">
              <a:schemeClr val="tx1"/>
            </a:fontRef>
          </xdr:style>
        </xdr:cxnSp>
      </xdr:grpSp>
      <xdr:cxnSp macro="">
        <xdr:nvCxnSpPr>
          <xdr:cNvPr id="15" name="Straight Connector 14">
            <a:extLst>
              <a:ext uri="{FF2B5EF4-FFF2-40B4-BE49-F238E27FC236}">
                <a16:creationId xmlns:a16="http://schemas.microsoft.com/office/drawing/2014/main" id="{00000000-0008-0000-0400-00000F000000}"/>
              </a:ext>
            </a:extLst>
          </xdr:cNvPr>
          <xdr:cNvCxnSpPr/>
        </xdr:nvCxnSpPr>
        <xdr:spPr>
          <a:xfrm flipH="1">
            <a:off x="6324600" y="2257425"/>
            <a:ext cx="6343650" cy="2695575"/>
          </a:xfrm>
          <a:prstGeom prst="line">
            <a:avLst/>
          </a:prstGeom>
          <a:ln w="19050">
            <a:solidFill>
              <a:schemeClr val="accent4"/>
            </a:solidFill>
            <a:prstDash val="lgDash"/>
          </a:ln>
        </xdr:spPr>
        <xdr:style>
          <a:lnRef idx="1">
            <a:schemeClr val="accent1"/>
          </a:lnRef>
          <a:fillRef idx="0">
            <a:schemeClr val="accent1"/>
          </a:fillRef>
          <a:effectRef idx="0">
            <a:schemeClr val="accent1"/>
          </a:effectRef>
          <a:fontRef idx="minor">
            <a:schemeClr val="tx1"/>
          </a:fontRef>
        </xdr:style>
      </xdr:cxnSp>
      <xdr:sp macro="" textlink="">
        <xdr:nvSpPr>
          <xdr:cNvPr id="16" name="Freeform 15">
            <a:extLst>
              <a:ext uri="{FF2B5EF4-FFF2-40B4-BE49-F238E27FC236}">
                <a16:creationId xmlns:a16="http://schemas.microsoft.com/office/drawing/2014/main" id="{00000000-0008-0000-0400-000010000000}"/>
              </a:ext>
            </a:extLst>
          </xdr:cNvPr>
          <xdr:cNvSpPr/>
        </xdr:nvSpPr>
        <xdr:spPr>
          <a:xfrm>
            <a:off x="8248650" y="3543300"/>
            <a:ext cx="495300" cy="876300"/>
          </a:xfrm>
          <a:custGeom>
            <a:avLst/>
            <a:gdLst>
              <a:gd name="connsiteX0" fmla="*/ 0 w 495300"/>
              <a:gd name="connsiteY0" fmla="*/ 0 h 876300"/>
              <a:gd name="connsiteX1" fmla="*/ 85725 w 495300"/>
              <a:gd name="connsiteY1" fmla="*/ 561975 h 876300"/>
              <a:gd name="connsiteX2" fmla="*/ 495300 w 495300"/>
              <a:gd name="connsiteY2" fmla="*/ 876300 h 876300"/>
            </a:gdLst>
            <a:ahLst/>
            <a:cxnLst>
              <a:cxn ang="0">
                <a:pos x="connsiteX0" y="connsiteY0"/>
              </a:cxn>
              <a:cxn ang="0">
                <a:pos x="connsiteX1" y="connsiteY1"/>
              </a:cxn>
              <a:cxn ang="0">
                <a:pos x="connsiteX2" y="connsiteY2"/>
              </a:cxn>
            </a:cxnLst>
            <a:rect l="l" t="t" r="r" b="b"/>
            <a:pathLst>
              <a:path w="495300" h="876300">
                <a:moveTo>
                  <a:pt x="0" y="0"/>
                </a:moveTo>
                <a:cubicBezTo>
                  <a:pt x="1587" y="207962"/>
                  <a:pt x="3175" y="415925"/>
                  <a:pt x="85725" y="561975"/>
                </a:cubicBezTo>
                <a:cubicBezTo>
                  <a:pt x="168275" y="708025"/>
                  <a:pt x="331787" y="792162"/>
                  <a:pt x="495300" y="876300"/>
                </a:cubicBezTo>
              </a:path>
            </a:pathLst>
          </a:custGeom>
          <a:noFill/>
          <a:ln>
            <a:solidFill>
              <a:schemeClr val="accent4"/>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448235</xdr:colOff>
      <xdr:row>3</xdr:row>
      <xdr:rowOff>44824</xdr:rowOff>
    </xdr:from>
    <xdr:to>
      <xdr:col>11</xdr:col>
      <xdr:colOff>297195</xdr:colOff>
      <xdr:row>26</xdr:row>
      <xdr:rowOff>163545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48235" y="616324"/>
          <a:ext cx="6505254" cy="4500221"/>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0</xdr:col>
      <xdr:colOff>498653</xdr:colOff>
      <xdr:row>28</xdr:row>
      <xdr:rowOff>114631</xdr:rowOff>
    </xdr:from>
    <xdr:to>
      <xdr:col>11</xdr:col>
      <xdr:colOff>349765</xdr:colOff>
      <xdr:row>47</xdr:row>
      <xdr:rowOff>122384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498653" y="5448631"/>
          <a:ext cx="6507406" cy="362725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323850</xdr:colOff>
      <xdr:row>3</xdr:row>
      <xdr:rowOff>19050</xdr:rowOff>
    </xdr:from>
    <xdr:to>
      <xdr:col>26</xdr:col>
      <xdr:colOff>456725</xdr:colOff>
      <xdr:row>11</xdr:row>
      <xdr:rowOff>42438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7639050" y="590550"/>
          <a:ext cx="8667275" cy="15473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154203</xdr:colOff>
      <xdr:row>13</xdr:row>
      <xdr:rowOff>0</xdr:rowOff>
    </xdr:from>
    <xdr:to>
      <xdr:col>21</xdr:col>
      <xdr:colOff>271492</xdr:colOff>
      <xdr:row>35</xdr:row>
      <xdr:rowOff>76200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7469403" y="2476500"/>
          <a:ext cx="5603689" cy="42672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21</xdr:col>
      <xdr:colOff>390418</xdr:colOff>
      <xdr:row>12</xdr:row>
      <xdr:rowOff>176652</xdr:rowOff>
    </xdr:from>
    <xdr:to>
      <xdr:col>31</xdr:col>
      <xdr:colOff>483043</xdr:colOff>
      <xdr:row>35</xdr:row>
      <xdr:rowOff>66675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13192018" y="2462652"/>
          <a:ext cx="6188625" cy="427152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243777</xdr:colOff>
      <xdr:row>1</xdr:row>
      <xdr:rowOff>168088</xdr:rowOff>
    </xdr:from>
    <xdr:to>
      <xdr:col>41</xdr:col>
      <xdr:colOff>98093</xdr:colOff>
      <xdr:row>20</xdr:row>
      <xdr:rowOff>16303</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9607542" y="358588"/>
          <a:ext cx="5300375" cy="3467715"/>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291354</xdr:colOff>
      <xdr:row>20</xdr:row>
      <xdr:rowOff>186919</xdr:rowOff>
    </xdr:from>
    <xdr:to>
      <xdr:col>41</xdr:col>
      <xdr:colOff>556468</xdr:colOff>
      <xdr:row>45</xdr:row>
      <xdr:rowOff>11207</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9655119" y="3996919"/>
          <a:ext cx="5711173" cy="45867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0</xdr:colOff>
      <xdr:row>37</xdr:row>
      <xdr:rowOff>0</xdr:rowOff>
    </xdr:from>
    <xdr:to>
      <xdr:col>20</xdr:col>
      <xdr:colOff>190322</xdr:colOff>
      <xdr:row>55</xdr:row>
      <xdr:rowOff>187647</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7261412" y="7048500"/>
          <a:ext cx="5031263" cy="3616647"/>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447435</xdr:colOff>
      <xdr:row>10</xdr:row>
      <xdr:rowOff>88046</xdr:rowOff>
    </xdr:from>
    <xdr:to>
      <xdr:col>23</xdr:col>
      <xdr:colOff>201706</xdr:colOff>
      <xdr:row>18</xdr:row>
      <xdr:rowOff>20013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96317" y="1993046"/>
          <a:ext cx="4539183" cy="1455967"/>
        </a:xfrm>
        <a:prstGeom prst="rect">
          <a:avLst/>
        </a:prstGeom>
      </xdr:spPr>
    </xdr:pic>
    <xdr:clientData/>
  </xdr:twoCellAnchor>
  <xdr:twoCellAnchor editAs="oneCell">
    <xdr:from>
      <xdr:col>17</xdr:col>
      <xdr:colOff>380999</xdr:colOff>
      <xdr:row>19</xdr:row>
      <xdr:rowOff>9605</xdr:rowOff>
    </xdr:from>
    <xdr:to>
      <xdr:col>26</xdr:col>
      <xdr:colOff>593559</xdr:colOff>
      <xdr:row>29</xdr:row>
      <xdr:rowOff>58637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729881" y="3629105"/>
          <a:ext cx="6812825" cy="1954032"/>
        </a:xfrm>
        <a:prstGeom prst="rect">
          <a:avLst/>
        </a:prstGeom>
      </xdr:spPr>
    </xdr:pic>
    <xdr:clientData/>
  </xdr:twoCellAnchor>
  <xdr:twoCellAnchor>
    <xdr:from>
      <xdr:col>5</xdr:col>
      <xdr:colOff>391993</xdr:colOff>
      <xdr:row>32</xdr:row>
      <xdr:rowOff>57152</xdr:rowOff>
    </xdr:from>
    <xdr:to>
      <xdr:col>9</xdr:col>
      <xdr:colOff>278425</xdr:colOff>
      <xdr:row>43</xdr:row>
      <xdr:rowOff>29308</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820614</xdr:colOff>
      <xdr:row>32</xdr:row>
      <xdr:rowOff>43962</xdr:rowOff>
    </xdr:from>
    <xdr:to>
      <xdr:col>15</xdr:col>
      <xdr:colOff>7326</xdr:colOff>
      <xdr:row>43</xdr:row>
      <xdr:rowOff>73270</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xdr:col>
      <xdr:colOff>0</xdr:colOff>
      <xdr:row>47</xdr:row>
      <xdr:rowOff>0</xdr:rowOff>
    </xdr:from>
    <xdr:ext cx="2102370" cy="28610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8" name="TextBox 7">
              <a:extLst>
                <a:ext uri="{FF2B5EF4-FFF2-40B4-BE49-F238E27FC236}">
                  <a16:creationId xmlns:a16="http://schemas.microsoft.com/office/drawing/2014/main" id="{53F7ABB8-537E-4DBD-9E2C-DBE0F0E7148A}"/>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xdr:from>
      <xdr:col>2</xdr:col>
      <xdr:colOff>425825</xdr:colOff>
      <xdr:row>80</xdr:row>
      <xdr:rowOff>107577</xdr:rowOff>
    </xdr:from>
    <xdr:to>
      <xdr:col>8</xdr:col>
      <xdr:colOff>168090</xdr:colOff>
      <xdr:row>94</xdr:row>
      <xdr:rowOff>183777</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414617</xdr:colOff>
      <xdr:row>80</xdr:row>
      <xdr:rowOff>78441</xdr:rowOff>
    </xdr:from>
    <xdr:to>
      <xdr:col>14</xdr:col>
      <xdr:colOff>403412</xdr:colOff>
      <xdr:row>94</xdr:row>
      <xdr:rowOff>183776</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605117</xdr:colOff>
      <xdr:row>80</xdr:row>
      <xdr:rowOff>78441</xdr:rowOff>
    </xdr:from>
    <xdr:to>
      <xdr:col>20</xdr:col>
      <xdr:colOff>750793</xdr:colOff>
      <xdr:row>94</xdr:row>
      <xdr:rowOff>188259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851648</xdr:colOff>
      <xdr:row>80</xdr:row>
      <xdr:rowOff>67235</xdr:rowOff>
    </xdr:from>
    <xdr:to>
      <xdr:col>27</xdr:col>
      <xdr:colOff>571501</xdr:colOff>
      <xdr:row>94</xdr:row>
      <xdr:rowOff>177053</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0</xdr:colOff>
      <xdr:row>2</xdr:row>
      <xdr:rowOff>0</xdr:rowOff>
    </xdr:from>
    <xdr:ext cx="2102370" cy="286104"/>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A86BD884-72E4-44F1-8643-2CCC1064326B}"/>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editAs="oneCell">
    <xdr:from>
      <xdr:col>35</xdr:col>
      <xdr:colOff>208643</xdr:colOff>
      <xdr:row>44</xdr:row>
      <xdr:rowOff>143816</xdr:rowOff>
    </xdr:from>
    <xdr:to>
      <xdr:col>49</xdr:col>
      <xdr:colOff>294628</xdr:colOff>
      <xdr:row>86</xdr:row>
      <xdr:rowOff>37386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9"/>
        <a:stretch>
          <a:fillRect/>
        </a:stretch>
      </xdr:blipFill>
      <xdr:spPr>
        <a:xfrm>
          <a:off x="24575325" y="8525816"/>
          <a:ext cx="8571894" cy="7894570"/>
        </a:xfrm>
        <a:prstGeom prst="rect">
          <a:avLst/>
        </a:prstGeom>
      </xdr:spPr>
    </xdr:pic>
    <xdr:clientData/>
  </xdr:twoCellAnchor>
  <xdr:twoCellAnchor editAs="oneCell">
    <xdr:from>
      <xdr:col>33</xdr:col>
      <xdr:colOff>0</xdr:colOff>
      <xdr:row>11</xdr:row>
      <xdr:rowOff>0</xdr:rowOff>
    </xdr:from>
    <xdr:to>
      <xdr:col>52</xdr:col>
      <xdr:colOff>359599</xdr:colOff>
      <xdr:row>36</xdr:row>
      <xdr:rowOff>151786</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0"/>
        <a:stretch>
          <a:fillRect/>
        </a:stretch>
      </xdr:blipFill>
      <xdr:spPr>
        <a:xfrm>
          <a:off x="23154409" y="2095500"/>
          <a:ext cx="11876190" cy="49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113434</xdr:colOff>
      <xdr:row>71</xdr:row>
      <xdr:rowOff>100197</xdr:rowOff>
    </xdr:from>
    <xdr:ext cx="6991350" cy="1607229"/>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99559" y="14587722"/>
          <a:ext cx="6991350" cy="1607229"/>
        </a:xfrm>
        <a:prstGeom prst="rect">
          <a:avLst/>
        </a:prstGeom>
        <a:ln w="38100" cap="sq">
          <a:solidFill>
            <a:srgbClr val="000000"/>
          </a:solidFill>
          <a:prstDash val="solid"/>
          <a:miter lim="800000"/>
        </a:ln>
        <a:effectLst>
          <a:outerShdw blurRad="50800" dist="38100" dir="8100000" algn="tr" rotWithShape="0">
            <a:prstClr val="black">
              <a:alpha val="40000"/>
            </a:prstClr>
          </a:outerShdw>
        </a:effectLst>
      </xdr:spPr>
    </xdr:pic>
    <xdr:clientData/>
  </xdr:oneCellAnchor>
</xdr:wsDr>
</file>

<file path=xl/tables/table1.xml><?xml version="1.0" encoding="utf-8"?>
<table xmlns="http://schemas.openxmlformats.org/spreadsheetml/2006/main" id="2" name="Table4" displayName="Table4" ref="A3:E35" totalsRowShown="0" headerRowDxfId="6" dataDxfId="5">
  <autoFilter ref="A3:E35"/>
  <tableColumns count="5">
    <tableColumn id="1" name="Requirement Name" dataDxfId="4"/>
    <tableColumn id="2" name="Threshold Value" dataDxfId="3"/>
    <tableColumn id="3" name="Baseline Value" dataDxfId="2"/>
    <tableColumn id="4" name="SRD Parent Requirement" dataDxfId="1"/>
    <tableColumn id="5" name="Comments"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F7"/>
  <sheetViews>
    <sheetView workbookViewId="0">
      <selection activeCell="O27" sqref="O27"/>
    </sheetView>
  </sheetViews>
  <sheetFormatPr defaultRowHeight="15"/>
  <cols>
    <col min="1" max="1" width="1.85546875" customWidth="1"/>
    <col min="2" max="2" width="9.7109375" customWidth="1"/>
    <col min="3" max="3" width="12.42578125" style="186" customWidth="1"/>
    <col min="4" max="4" width="86.85546875" customWidth="1"/>
  </cols>
  <sheetData>
    <row r="3" spans="2:32">
      <c r="B3" t="s">
        <v>660</v>
      </c>
      <c r="C3" s="186" t="s">
        <v>661</v>
      </c>
      <c r="D3" t="s">
        <v>53</v>
      </c>
    </row>
    <row r="4" spans="2:32">
      <c r="B4" s="546">
        <v>42781</v>
      </c>
      <c r="C4" s="186" t="s">
        <v>662</v>
      </c>
      <c r="D4" t="s">
        <v>663</v>
      </c>
    </row>
    <row r="5" spans="2:32">
      <c r="C5" s="186" t="s">
        <v>662</v>
      </c>
      <c r="D5" t="s">
        <v>664</v>
      </c>
      <c r="AD5" t="s">
        <v>273</v>
      </c>
    </row>
    <row r="6" spans="2:32">
      <c r="B6" s="791">
        <v>42816</v>
      </c>
      <c r="C6" s="186" t="s">
        <v>662</v>
      </c>
      <c r="D6" t="s">
        <v>892</v>
      </c>
      <c r="AE6" t="s">
        <v>486</v>
      </c>
    </row>
    <row r="7" spans="2:32">
      <c r="AF7" t="s">
        <v>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R174"/>
  <sheetViews>
    <sheetView tabSelected="1" zoomScaleNormal="100" workbookViewId="0">
      <selection activeCell="L37" sqref="L37"/>
    </sheetView>
  </sheetViews>
  <sheetFormatPr defaultColWidth="9.140625" defaultRowHeight="15"/>
  <cols>
    <col min="1" max="1" width="2" style="36" customWidth="1"/>
    <col min="2" max="2" width="2.85546875" style="69" customWidth="1"/>
    <col min="3" max="3" width="18.140625" style="69" customWidth="1"/>
    <col min="4" max="4" width="11.42578125" style="72" customWidth="1"/>
    <col min="5" max="5" width="10.7109375" style="69" customWidth="1"/>
    <col min="6" max="6" width="12.28515625" style="72" customWidth="1"/>
    <col min="7" max="8" width="12.28515625" style="69" customWidth="1"/>
    <col min="9" max="9" width="12.28515625" style="90" customWidth="1"/>
    <col min="10" max="10" width="11.42578125" style="69" customWidth="1"/>
    <col min="11" max="11" width="12.5703125" style="69" customWidth="1"/>
    <col min="12" max="12" width="10.5703125" style="54" customWidth="1"/>
    <col min="13" max="13" width="11.5703125" style="54" customWidth="1"/>
    <col min="14" max="14" width="5.5703125" style="54" customWidth="1"/>
    <col min="15" max="15" width="3.140625" style="73" customWidth="1"/>
    <col min="16" max="16" width="2.85546875" style="69" customWidth="1"/>
    <col min="17" max="17" width="4.140625" style="69" customWidth="1"/>
    <col min="18" max="18" width="14.85546875" style="69" customWidth="1"/>
    <col min="19" max="19" width="8.28515625" style="69" customWidth="1"/>
    <col min="20" max="21" width="10.5703125" style="69" customWidth="1"/>
    <col min="22" max="22" width="14.42578125" style="69" customWidth="1"/>
    <col min="23" max="25" width="12" style="69" customWidth="1"/>
    <col min="26" max="26" width="13.42578125" style="69" customWidth="1"/>
    <col min="27" max="29" width="12" style="69" customWidth="1"/>
    <col min="30" max="30" width="2.85546875" style="69" customWidth="1"/>
    <col min="31" max="31" width="3.140625" style="73" customWidth="1"/>
    <col min="32" max="32" width="2.85546875" style="69" customWidth="1"/>
    <col min="33" max="33" width="6.42578125" style="50" customWidth="1"/>
    <col min="34" max="34" width="22.28515625" style="36" customWidth="1"/>
    <col min="35" max="35" width="9.85546875" style="36" customWidth="1"/>
    <col min="36" max="36" width="12.28515625" style="36" customWidth="1"/>
    <col min="37" max="37" width="34.42578125" style="158" customWidth="1"/>
    <col min="38" max="38" width="2.85546875" style="69" customWidth="1"/>
    <col min="39" max="39" width="3" style="66" customWidth="1"/>
    <col min="40" max="40" width="2.85546875" style="69" customWidth="1"/>
    <col min="41" max="41" width="4.28515625" style="69" customWidth="1"/>
    <col min="42" max="42" width="24.85546875" style="36" customWidth="1"/>
    <col min="43" max="44" width="10.5703125" style="36" customWidth="1"/>
    <col min="45" max="45" width="11.140625" style="60" customWidth="1"/>
    <col min="46" max="46" width="56" style="69" customWidth="1"/>
    <col min="47" max="47" width="2.85546875" style="69" customWidth="1"/>
    <col min="48" max="48" width="2.85546875" style="73" customWidth="1"/>
    <col min="50" max="50" width="12.5703125" style="36" customWidth="1"/>
    <col min="51" max="51" width="16.7109375" style="36" customWidth="1"/>
    <col min="52" max="55" width="12.5703125" style="36" customWidth="1"/>
    <col min="56" max="56" width="11.28515625" style="36" customWidth="1"/>
    <col min="57" max="57" width="11.28515625" customWidth="1"/>
    <col min="58" max="58" width="11.28515625" style="36" customWidth="1"/>
    <col min="59" max="59" width="2.85546875" style="36" customWidth="1"/>
    <col min="60" max="60" width="11.28515625" style="36" customWidth="1"/>
    <col min="61" max="61" width="9.140625" style="36"/>
    <col min="62" max="62" width="12" style="36" customWidth="1"/>
    <col min="63" max="64" width="12.5703125" style="36" bestFit="1" customWidth="1"/>
    <col min="65" max="68" width="9.140625" style="36"/>
    <col min="69" max="69" width="3" style="66" customWidth="1"/>
    <col min="70" max="70" width="2.85546875" style="69" customWidth="1"/>
    <col min="71" max="71" width="12.5703125" style="36" customWidth="1"/>
    <col min="72" max="74" width="9.140625" style="36"/>
    <col min="75" max="75" width="14.28515625" style="36" customWidth="1"/>
    <col min="76" max="76" width="18.7109375" style="36" customWidth="1"/>
    <col min="77" max="78" width="14.28515625" style="36" customWidth="1"/>
    <col min="79" max="79" width="13.28515625" style="36" customWidth="1"/>
    <col min="80" max="16384" width="9.140625" style="36"/>
  </cols>
  <sheetData>
    <row r="1" spans="1:70" s="35" customFormat="1" ht="21">
      <c r="B1" s="35" t="s">
        <v>88</v>
      </c>
      <c r="I1" s="89"/>
      <c r="L1" s="222"/>
      <c r="M1" s="222"/>
      <c r="N1" s="222"/>
      <c r="O1" s="222"/>
      <c r="AE1" s="222"/>
      <c r="AG1" s="68"/>
      <c r="AK1" s="154"/>
      <c r="AO1" s="68"/>
    </row>
    <row r="2" spans="1:70" ht="26.25" customHeight="1">
      <c r="B2" s="294"/>
      <c r="C2" s="295"/>
      <c r="D2" s="296"/>
      <c r="K2" s="69" t="str">
        <f>ScenarioSelected</f>
        <v>IFS1 Goal 2.5</v>
      </c>
      <c r="L2" s="733">
        <f ca="1">H7</f>
        <v>12.40498659946118</v>
      </c>
      <c r="M2" s="54" t="s">
        <v>491</v>
      </c>
      <c r="P2" s="494"/>
      <c r="Q2" s="539" t="s">
        <v>484</v>
      </c>
      <c r="R2" s="494"/>
      <c r="S2" s="494"/>
      <c r="T2" s="494"/>
      <c r="U2" s="494"/>
      <c r="V2" s="494"/>
      <c r="W2" s="494"/>
      <c r="X2" s="494"/>
      <c r="Y2" s="494"/>
      <c r="Z2" s="494"/>
      <c r="AA2" s="494"/>
      <c r="AB2" s="494"/>
      <c r="AC2" s="494"/>
      <c r="AD2" s="494"/>
      <c r="AG2" s="92" t="s">
        <v>676</v>
      </c>
      <c r="AH2" s="1"/>
      <c r="AI2" s="1"/>
      <c r="AJ2" s="2"/>
      <c r="AK2" s="155"/>
      <c r="AM2" s="64"/>
      <c r="BG2" s="1"/>
      <c r="BH2" s="32" t="s">
        <v>80</v>
      </c>
      <c r="BI2" s="33" t="s">
        <v>79</v>
      </c>
      <c r="BJ2" s="33" t="s">
        <v>211</v>
      </c>
      <c r="BK2" s="32" t="s">
        <v>216</v>
      </c>
      <c r="BL2" s="32" t="s">
        <v>212</v>
      </c>
      <c r="BM2" s="32" t="s">
        <v>78</v>
      </c>
      <c r="BN2" s="32" t="s">
        <v>77</v>
      </c>
      <c r="BO2" s="32" t="s">
        <v>76</v>
      </c>
      <c r="BP2" s="1"/>
      <c r="BQ2" s="64"/>
    </row>
    <row r="3" spans="1:70" ht="15.75" customHeight="1">
      <c r="A3" s="241"/>
      <c r="B3" s="241"/>
      <c r="C3" s="241"/>
      <c r="D3" s="220"/>
      <c r="E3" s="71"/>
      <c r="F3" s="242"/>
      <c r="G3" s="243" t="str">
        <f>AI23</f>
        <v>G2.5Fit660</v>
      </c>
      <c r="H3" s="732" t="str">
        <f>VLOOKUP(planetNo,planetTable,2)</f>
        <v>MT IWA</v>
      </c>
      <c r="J3" s="71"/>
      <c r="K3" s="371" t="s">
        <v>521</v>
      </c>
      <c r="L3" s="372"/>
      <c r="M3" s="373"/>
      <c r="P3" s="494"/>
      <c r="Q3" s="494"/>
      <c r="R3" s="494"/>
      <c r="S3" s="494"/>
      <c r="T3" s="494"/>
      <c r="U3" s="494"/>
      <c r="V3" s="494"/>
      <c r="W3" s="494"/>
      <c r="X3" s="494"/>
      <c r="Y3" s="494"/>
      <c r="Z3" s="494"/>
      <c r="AA3" s="494"/>
      <c r="AB3" s="494"/>
      <c r="AC3" s="494"/>
      <c r="AD3" s="494"/>
      <c r="AG3" s="93" t="s">
        <v>87</v>
      </c>
      <c r="AH3" s="1"/>
      <c r="AI3" s="1"/>
      <c r="AJ3" s="1"/>
      <c r="AK3" s="155"/>
      <c r="AM3" s="64"/>
      <c r="AN3" s="141"/>
      <c r="AO3" s="86" t="s">
        <v>199</v>
      </c>
      <c r="AP3" s="127"/>
      <c r="AQ3" s="127"/>
      <c r="AR3" s="127"/>
      <c r="AS3" s="127"/>
      <c r="AT3" s="127"/>
      <c r="AU3" s="141"/>
      <c r="BG3" s="1"/>
      <c r="BH3" s="37" t="s">
        <v>73</v>
      </c>
      <c r="BI3" s="29">
        <v>0.36</v>
      </c>
      <c r="BJ3" s="31">
        <v>6.8000000000000005E-2</v>
      </c>
      <c r="BK3" s="30">
        <v>4.3499999999999999E-8</v>
      </c>
      <c r="BL3" s="30">
        <f t="shared" ref="BL3:BL16" si="0">BK3/(h_planck*c_light/(BI3*0.000001))</f>
        <v>78834387669.508423</v>
      </c>
      <c r="BM3" s="30">
        <f t="shared" ref="BM3:BM16" si="1">BL3*(1/1000)*(1/100)^2</f>
        <v>7883.4387669508433</v>
      </c>
      <c r="BN3" s="30">
        <f t="shared" ref="BN3:BN16" si="2">BL3*BJ3</f>
        <v>5360738361.5265732</v>
      </c>
      <c r="BO3" s="29">
        <f t="shared" ref="BO3:BO16" si="3">LOG10(BK3)</f>
        <v>-7.361510743045363</v>
      </c>
      <c r="BP3" s="1"/>
      <c r="BQ3" s="64"/>
    </row>
    <row r="4" spans="1:70" ht="15.75">
      <c r="A4" s="241"/>
      <c r="B4" s="241"/>
      <c r="C4" s="305" t="s">
        <v>453</v>
      </c>
      <c r="D4" s="819" t="s">
        <v>722</v>
      </c>
      <c r="E4" s="820"/>
      <c r="G4" s="256" t="s">
        <v>454</v>
      </c>
      <c r="H4" s="364">
        <v>37</v>
      </c>
      <c r="J4" s="734" t="s">
        <v>790</v>
      </c>
      <c r="K4" s="232" t="s">
        <v>514</v>
      </c>
      <c r="L4" s="367">
        <f ca="1">pl_convertRate*ENF^2</f>
        <v>7.7575676946067826E-3</v>
      </c>
      <c r="M4" s="230" t="s">
        <v>489</v>
      </c>
      <c r="P4" s="494"/>
      <c r="Q4" s="830" t="s">
        <v>466</v>
      </c>
      <c r="R4" s="830"/>
      <c r="S4" s="837" t="s">
        <v>468</v>
      </c>
      <c r="T4" s="838"/>
      <c r="U4" s="350" t="s">
        <v>464</v>
      </c>
      <c r="V4" s="350" t="s">
        <v>465</v>
      </c>
      <c r="W4" s="341" t="s">
        <v>28</v>
      </c>
      <c r="X4" s="341" t="s">
        <v>236</v>
      </c>
      <c r="Y4" s="262" t="s">
        <v>440</v>
      </c>
      <c r="Z4" s="351" t="s">
        <v>506</v>
      </c>
      <c r="AA4" s="494"/>
      <c r="AB4" s="494"/>
      <c r="AC4" s="494"/>
      <c r="AD4" s="494"/>
      <c r="AG4" s="94" t="s">
        <v>86</v>
      </c>
      <c r="AH4" s="98" t="s">
        <v>116</v>
      </c>
      <c r="AI4" s="95">
        <f ca="1">AI72/(f_SR*starFlux*Acol*t_pl*signalQE*integTime)</f>
        <v>1.5934326714704512E-12</v>
      </c>
      <c r="AJ4" s="96" t="s">
        <v>85</v>
      </c>
      <c r="AK4" s="156" t="s">
        <v>83</v>
      </c>
      <c r="AM4" s="64"/>
      <c r="AN4"/>
      <c r="AP4" s="142"/>
      <c r="AQ4" s="142"/>
      <c r="AR4" s="142"/>
      <c r="AS4" s="142"/>
      <c r="AT4" s="142"/>
      <c r="AU4"/>
      <c r="BF4" s="79"/>
      <c r="BG4" s="1"/>
      <c r="BH4" s="38" t="s">
        <v>69</v>
      </c>
      <c r="BI4" s="26">
        <v>0.44</v>
      </c>
      <c r="BJ4" s="28">
        <v>9.8000000000000004E-2</v>
      </c>
      <c r="BK4" s="27">
        <v>7.1999999999999996E-8</v>
      </c>
      <c r="BL4" s="27">
        <f t="shared" si="0"/>
        <v>159481060113.0285</v>
      </c>
      <c r="BM4" s="27">
        <f t="shared" si="1"/>
        <v>15948.106011302851</v>
      </c>
      <c r="BN4" s="27">
        <f t="shared" si="2"/>
        <v>15629143891.076794</v>
      </c>
      <c r="BO4" s="26">
        <f t="shared" si="3"/>
        <v>-7.1426675035687319</v>
      </c>
      <c r="BP4" s="1"/>
      <c r="BQ4" s="64"/>
    </row>
    <row r="5" spans="1:70" ht="15.75">
      <c r="C5" s="69" t="s">
        <v>149</v>
      </c>
      <c r="D5" s="72">
        <f>AI38/0.000000001</f>
        <v>8.2747421923692102</v>
      </c>
      <c r="E5" s="69" t="s">
        <v>21</v>
      </c>
      <c r="F5" s="110"/>
      <c r="J5" s="735">
        <f>MissionLifeFraction</f>
        <v>0.12</v>
      </c>
      <c r="K5" s="232" t="s">
        <v>515</v>
      </c>
      <c r="L5" s="367">
        <f ca="1">sp_bkgRate*ENF^2</f>
        <v>1.8967938888534467E-3</v>
      </c>
      <c r="M5" s="230" t="s">
        <v>489</v>
      </c>
      <c r="P5" s="494"/>
      <c r="Q5" s="831" t="str">
        <f>ScenarioSelected</f>
        <v>IFS1 Goal 2.5</v>
      </c>
      <c r="R5" s="831"/>
      <c r="S5" s="837" t="str">
        <f>AI23</f>
        <v>G2.5Fit660</v>
      </c>
      <c r="T5" s="838"/>
      <c r="U5" s="107">
        <f>lambda/nm</f>
        <v>660</v>
      </c>
      <c r="V5" s="207">
        <f>PRODUCT(AI18:AI19)/nm</f>
        <v>118.8</v>
      </c>
      <c r="W5" s="341">
        <f>AI21</f>
        <v>10</v>
      </c>
      <c r="X5" s="340">
        <f>f_pp</f>
        <v>0.1</v>
      </c>
      <c r="Y5" s="352">
        <f>MissionLifeFraction</f>
        <v>0.12</v>
      </c>
      <c r="Z5" s="339">
        <f>AI20</f>
        <v>250</v>
      </c>
      <c r="AA5" s="494"/>
      <c r="AB5" s="494"/>
      <c r="AC5" s="494"/>
      <c r="AD5" s="494"/>
      <c r="AG5" s="386"/>
      <c r="AH5" s="99" t="s">
        <v>117</v>
      </c>
      <c r="AI5" s="111">
        <f ca="1">AI4*1000000000</f>
        <v>1.5934326714704512E-3</v>
      </c>
      <c r="AJ5" s="97" t="s">
        <v>84</v>
      </c>
      <c r="AK5" s="157" t="s">
        <v>83</v>
      </c>
      <c r="AM5" s="64"/>
      <c r="AN5" s="141"/>
      <c r="AO5" s="143"/>
      <c r="AP5" s="142"/>
      <c r="AQ5" s="142"/>
      <c r="AR5" s="142"/>
      <c r="AS5" s="142"/>
      <c r="AT5" s="142"/>
      <c r="AU5" s="141"/>
      <c r="BF5" s="67"/>
      <c r="BG5" s="1"/>
      <c r="BH5" s="39" t="s">
        <v>20</v>
      </c>
      <c r="BI5" s="23">
        <v>0.55000000000000004</v>
      </c>
      <c r="BJ5" s="25">
        <v>8.8999999999999996E-2</v>
      </c>
      <c r="BK5" s="24">
        <v>3.92E-8</v>
      </c>
      <c r="BL5" s="24">
        <f t="shared" si="0"/>
        <v>108535721465.8111</v>
      </c>
      <c r="BM5" s="24">
        <f t="shared" si="1"/>
        <v>10853.572146581111</v>
      </c>
      <c r="BN5" s="24">
        <f t="shared" si="2"/>
        <v>9659679210.4571877</v>
      </c>
      <c r="BO5" s="23">
        <f t="shared" si="3"/>
        <v>-7.4067139329795424</v>
      </c>
      <c r="BP5" s="1">
        <f>BJ5/BI5</f>
        <v>0.16181818181818181</v>
      </c>
      <c r="BQ5" s="64"/>
    </row>
    <row r="6" spans="1:70">
      <c r="C6" s="69" t="s">
        <v>147</v>
      </c>
      <c r="D6" s="72">
        <f>AI21</f>
        <v>10</v>
      </c>
      <c r="F6" s="110"/>
      <c r="G6" s="69" t="s">
        <v>789</v>
      </c>
      <c r="H6" s="353">
        <f ca="1">IFERROR(H7,-1)</f>
        <v>12.40498659946118</v>
      </c>
      <c r="I6" s="71"/>
      <c r="K6" s="232" t="s">
        <v>516</v>
      </c>
      <c r="L6" s="367">
        <f ca="1" xml:space="preserve"> zo_bkgRate*ENF^2</f>
        <v>1.5148562554011145E-3</v>
      </c>
      <c r="M6" s="230" t="s">
        <v>489</v>
      </c>
      <c r="P6" s="494"/>
      <c r="Q6" s="535"/>
      <c r="R6" s="494"/>
      <c r="S6" s="494"/>
      <c r="T6" s="536"/>
      <c r="U6" s="536"/>
      <c r="V6" s="540"/>
      <c r="W6" s="536"/>
      <c r="X6" s="541"/>
      <c r="Y6" s="542"/>
      <c r="Z6" s="536"/>
      <c r="AA6" s="536"/>
      <c r="AB6" s="536"/>
      <c r="AC6" s="536"/>
      <c r="AD6" s="538"/>
      <c r="AM6" s="64"/>
      <c r="AN6"/>
      <c r="AO6" s="69" t="s">
        <v>202</v>
      </c>
      <c r="AR6" s="71"/>
      <c r="AU6"/>
      <c r="BF6" s="67"/>
      <c r="BG6" s="1"/>
      <c r="BH6" s="40" t="s">
        <v>63</v>
      </c>
      <c r="BI6" s="22">
        <v>0.7</v>
      </c>
      <c r="BJ6" s="21">
        <v>0.22</v>
      </c>
      <c r="BK6" s="20">
        <v>1.7599999999999999E-8</v>
      </c>
      <c r="BL6" s="20">
        <f t="shared" si="0"/>
        <v>62020412266.177757</v>
      </c>
      <c r="BM6" s="20">
        <f t="shared" si="1"/>
        <v>6202.0412266177764</v>
      </c>
      <c r="BN6" s="20">
        <f t="shared" si="2"/>
        <v>13644490698.559107</v>
      </c>
      <c r="BO6" s="19">
        <f t="shared" si="3"/>
        <v>-7.7544873321858505</v>
      </c>
      <c r="BP6" s="1"/>
      <c r="BQ6" s="64"/>
    </row>
    <row r="7" spans="1:70" ht="15.75">
      <c r="C7" s="209" t="s">
        <v>141</v>
      </c>
      <c r="D7" s="210">
        <f>D5/D6</f>
        <v>0.82747421923692099</v>
      </c>
      <c r="E7" s="211" t="s">
        <v>21</v>
      </c>
      <c r="F7" s="110"/>
      <c r="G7" s="355" t="s">
        <v>505</v>
      </c>
      <c r="H7" s="356">
        <f ca="1">SNRtarget^2*totNoiseVarRate/(pl_signalRate^2-SNRtarget^2*f_pp^2*sp_bkgRate^2)/3600</f>
        <v>12.40498659946118</v>
      </c>
      <c r="J7" s="734" t="s">
        <v>581</v>
      </c>
      <c r="K7" s="232" t="s">
        <v>520</v>
      </c>
      <c r="L7" s="365">
        <f>ENF^2*I50*mpix</f>
        <v>1.7664E-3</v>
      </c>
      <c r="M7" s="230" t="s">
        <v>489</v>
      </c>
      <c r="P7" s="494"/>
      <c r="Q7" s="819" t="s">
        <v>512</v>
      </c>
      <c r="R7" s="820"/>
      <c r="S7" s="374">
        <v>0</v>
      </c>
      <c r="T7" s="377" t="s">
        <v>518</v>
      </c>
      <c r="U7" s="378"/>
      <c r="V7" s="378"/>
      <c r="W7" s="379"/>
      <c r="X7" s="494"/>
      <c r="Y7" s="438">
        <v>400</v>
      </c>
      <c r="Z7" s="377" t="s">
        <v>573</v>
      </c>
      <c r="AA7" s="374"/>
      <c r="AB7" s="494"/>
      <c r="AC7" s="494"/>
      <c r="AD7" s="538"/>
      <c r="AG7" s="86" t="s">
        <v>102</v>
      </c>
      <c r="AH7" s="87"/>
      <c r="AI7" s="87"/>
      <c r="AJ7" s="88"/>
      <c r="AK7" s="159"/>
      <c r="AM7" s="64"/>
      <c r="AN7" s="128"/>
      <c r="AO7" s="129">
        <v>1</v>
      </c>
      <c r="AP7" s="130" t="s">
        <v>56</v>
      </c>
      <c r="AQ7" s="834" t="str">
        <f>INDEX(CGtable,MATCH(AI23,CGcase,0),2)</f>
        <v>G25_FIT_660</v>
      </c>
      <c r="AR7" s="834"/>
      <c r="AS7" s="132" t="s">
        <v>54</v>
      </c>
      <c r="AT7" s="133" t="s">
        <v>53</v>
      </c>
      <c r="BF7" s="79"/>
      <c r="BG7" s="1"/>
      <c r="BH7" s="41" t="s">
        <v>61</v>
      </c>
      <c r="BI7" s="15">
        <v>0.8</v>
      </c>
      <c r="BJ7" s="18">
        <v>0.2</v>
      </c>
      <c r="BK7" s="17">
        <v>1.2100000000000001E-8</v>
      </c>
      <c r="BL7" s="16">
        <f t="shared" si="0"/>
        <v>48730323923.425385</v>
      </c>
      <c r="BM7" s="16">
        <f t="shared" si="1"/>
        <v>4873.0323923425385</v>
      </c>
      <c r="BN7" s="16">
        <f t="shared" si="2"/>
        <v>9746064784.6850777</v>
      </c>
      <c r="BO7" s="15">
        <f t="shared" si="3"/>
        <v>-7.9172146296835502</v>
      </c>
      <c r="BP7" s="1"/>
      <c r="BQ7" s="64"/>
    </row>
    <row r="8" spans="1:70" ht="15.75">
      <c r="C8" s="212" t="s">
        <v>150</v>
      </c>
      <c r="D8" s="213">
        <f ca="1">SQRT(SUMSQ(F53,F58))</f>
        <v>0.31546222595042722</v>
      </c>
      <c r="E8" s="214" t="s">
        <v>21</v>
      </c>
      <c r="G8" s="69" t="s">
        <v>504</v>
      </c>
      <c r="H8" s="354">
        <f ca="1">IF(timeToSNR&gt;0,1-(timeToSNR/AI20),-1)</f>
        <v>0.95038005360215527</v>
      </c>
      <c r="J8" s="735">
        <f ca="1">signalQE</f>
        <v>0.65379344875552747</v>
      </c>
      <c r="K8" s="232" t="s">
        <v>517</v>
      </c>
      <c r="L8" s="366">
        <f>ENF^2*I51*(mpix/frameTime)</f>
        <v>3.2576000000000003E-4</v>
      </c>
      <c r="M8" s="230" t="s">
        <v>489</v>
      </c>
      <c r="P8" s="494"/>
      <c r="Q8" s="832" t="s">
        <v>513</v>
      </c>
      <c r="R8" s="833"/>
      <c r="S8" s="381">
        <f>COUNTIF(X12:X30,"&gt;="&amp;S7)</f>
        <v>4</v>
      </c>
      <c r="T8" s="375" t="s">
        <v>519</v>
      </c>
      <c r="U8" s="376"/>
      <c r="V8" s="376"/>
      <c r="W8" s="380"/>
      <c r="X8" s="494"/>
      <c r="Y8" s="439">
        <f>SUMIFS(Y12:Y30,Y12:Y30,"&gt;0",Y12:Y30,"&lt;"&amp;Y7)</f>
        <v>443.23584643995258</v>
      </c>
      <c r="Z8" s="829" t="s">
        <v>574</v>
      </c>
      <c r="AA8" s="829"/>
      <c r="AB8" s="494"/>
      <c r="AC8" s="494"/>
      <c r="AD8" s="538"/>
      <c r="AG8" s="387" t="s">
        <v>413</v>
      </c>
      <c r="AH8" s="69"/>
      <c r="AJ8" s="71"/>
      <c r="AK8" s="158" t="s">
        <v>124</v>
      </c>
      <c r="AM8" s="64"/>
      <c r="AN8" s="128"/>
      <c r="AO8" s="129">
        <v>2</v>
      </c>
      <c r="AP8" s="134" t="s">
        <v>176</v>
      </c>
      <c r="AQ8" s="835">
        <f ca="1">VLOOKUP(planetWA,INDIRECT(AQ7),2)</f>
        <v>0.278501</v>
      </c>
      <c r="AR8" s="835"/>
      <c r="AS8" s="135" t="s">
        <v>128</v>
      </c>
      <c r="AT8" s="136"/>
      <c r="AU8"/>
      <c r="BF8" s="79"/>
      <c r="BG8" s="1"/>
      <c r="BH8" s="42" t="s">
        <v>58</v>
      </c>
      <c r="BI8" s="12">
        <v>0.9</v>
      </c>
      <c r="BJ8" s="14">
        <v>0.24</v>
      </c>
      <c r="BK8" s="13">
        <v>8.2999999999999999E-9</v>
      </c>
      <c r="BL8" s="6">
        <f t="shared" si="0"/>
        <v>37604909060.742523</v>
      </c>
      <c r="BM8" s="6">
        <f t="shared" si="1"/>
        <v>3760.490906074253</v>
      </c>
      <c r="BN8" s="6">
        <f t="shared" si="2"/>
        <v>9025178174.5782051</v>
      </c>
      <c r="BO8" s="12">
        <f t="shared" si="3"/>
        <v>-8.0809219076239263</v>
      </c>
      <c r="BP8" s="1"/>
      <c r="BQ8" s="64"/>
    </row>
    <row r="9" spans="1:70" ht="15.75">
      <c r="C9" s="215" t="s">
        <v>239</v>
      </c>
      <c r="D9" s="216">
        <f ca="1">SQRT(D7^2-D8^2)</f>
        <v>0.76498180860733778</v>
      </c>
      <c r="E9" s="217" t="s">
        <v>21</v>
      </c>
      <c r="K9" s="232" t="s">
        <v>60</v>
      </c>
      <c r="L9" s="365">
        <f>(mpix/frameTime)*I49^2</f>
        <v>0</v>
      </c>
      <c r="M9" s="230" t="s">
        <v>489</v>
      </c>
      <c r="P9" s="494"/>
      <c r="Q9" s="535"/>
      <c r="R9" s="494"/>
      <c r="S9" s="494"/>
      <c r="T9" s="544"/>
      <c r="U9" s="536"/>
      <c r="V9" s="540"/>
      <c r="W9" s="536"/>
      <c r="X9" s="541"/>
      <c r="Y9" s="542"/>
      <c r="Z9" s="536"/>
      <c r="AA9" s="494"/>
      <c r="AB9" s="494"/>
      <c r="AC9" s="494"/>
      <c r="AD9" s="538"/>
      <c r="AG9" s="387"/>
      <c r="AH9" s="69" t="s">
        <v>137</v>
      </c>
      <c r="AI9" s="207">
        <f>VLOOKUP(planetNo,planetTable,4)</f>
        <v>10</v>
      </c>
      <c r="AJ9" s="71" t="s">
        <v>122</v>
      </c>
      <c r="AK9" s="158" t="s">
        <v>123</v>
      </c>
      <c r="AM9" s="64"/>
      <c r="AN9" s="128"/>
      <c r="AO9" s="129">
        <v>3</v>
      </c>
      <c r="AP9" s="134" t="s">
        <v>177</v>
      </c>
      <c r="AQ9" s="835">
        <f ca="1">VLOOKUP(planetWA,INDIRECT(AQ7),3)</f>
        <v>2.9093909000000001E-12</v>
      </c>
      <c r="AR9" s="835"/>
      <c r="AS9" s="137" t="s">
        <v>36</v>
      </c>
      <c r="AT9" s="136" t="s">
        <v>178</v>
      </c>
      <c r="BF9" s="79"/>
      <c r="BG9" s="1"/>
      <c r="BH9" s="43" t="s">
        <v>52</v>
      </c>
      <c r="BI9" s="8">
        <v>1.05</v>
      </c>
      <c r="BJ9" s="10">
        <v>0.2</v>
      </c>
      <c r="BK9" s="9">
        <v>5.7200000000000001E-9</v>
      </c>
      <c r="BL9" s="6">
        <f t="shared" si="0"/>
        <v>30234950979.761658</v>
      </c>
      <c r="BM9" s="6">
        <f t="shared" si="1"/>
        <v>3023.4950979761661</v>
      </c>
      <c r="BN9" s="6">
        <f t="shared" si="2"/>
        <v>6046990195.9523315</v>
      </c>
      <c r="BO9" s="8">
        <f t="shared" si="3"/>
        <v>-8.2426039712069752</v>
      </c>
      <c r="BP9" s="1"/>
      <c r="BQ9" s="64"/>
    </row>
    <row r="10" spans="1:70" ht="15.75">
      <c r="D10" s="219"/>
      <c r="E10" s="71"/>
      <c r="F10" s="208"/>
      <c r="G10" s="71"/>
      <c r="H10" s="71"/>
      <c r="I10" s="221"/>
      <c r="J10" s="71"/>
      <c r="K10" s="368" t="s">
        <v>788</v>
      </c>
      <c r="L10" s="369">
        <f ca="1">ENF^2*(pl_convertRate+sp_bkgRate+zo_bkgRate)+darkNoiseRate+CICnoiseRate+readNoiseRate</f>
        <v>1.3261377838861343E-2</v>
      </c>
      <c r="M10" s="370" t="s">
        <v>489</v>
      </c>
      <c r="P10" s="494"/>
      <c r="Q10" s="265" t="s">
        <v>471</v>
      </c>
      <c r="R10" s="265" t="s">
        <v>463</v>
      </c>
      <c r="S10" s="292" t="s">
        <v>469</v>
      </c>
      <c r="T10" s="335" t="s">
        <v>456</v>
      </c>
      <c r="U10" s="119" t="s">
        <v>503</v>
      </c>
      <c r="V10" s="119" t="s">
        <v>890</v>
      </c>
      <c r="W10" s="292" t="s">
        <v>510</v>
      </c>
      <c r="X10" s="333" t="s">
        <v>504</v>
      </c>
      <c r="Y10" s="331" t="s">
        <v>572</v>
      </c>
      <c r="Z10" s="331" t="s">
        <v>786</v>
      </c>
      <c r="AA10" s="331" t="s">
        <v>783</v>
      </c>
      <c r="AB10" s="331" t="s">
        <v>784</v>
      </c>
      <c r="AC10" s="331" t="s">
        <v>785</v>
      </c>
      <c r="AD10" s="538"/>
      <c r="AG10" s="387"/>
      <c r="AH10" s="69" t="s">
        <v>138</v>
      </c>
      <c r="AI10" s="107">
        <f>VLOOKUP(planetNo,planetTable,3)</f>
        <v>5</v>
      </c>
      <c r="AJ10" s="71" t="s">
        <v>19</v>
      </c>
      <c r="AK10" s="158" t="s">
        <v>225</v>
      </c>
      <c r="AM10" s="64"/>
      <c r="AN10" s="128"/>
      <c r="AO10" s="129">
        <v>4</v>
      </c>
      <c r="AP10" s="134" t="s">
        <v>203</v>
      </c>
      <c r="AQ10" s="835">
        <f ca="1">VLOOKUP(planetWA,INDIRECT(AQ7),4)</f>
        <v>4.1278427473711862E-9</v>
      </c>
      <c r="AR10" s="835"/>
      <c r="AS10" s="137" t="s">
        <v>36</v>
      </c>
      <c r="AT10" s="136" t="s">
        <v>179</v>
      </c>
      <c r="AU10"/>
      <c r="BF10" s="79"/>
      <c r="BG10" s="1"/>
      <c r="BH10" s="43" t="s">
        <v>49</v>
      </c>
      <c r="BI10" s="8">
        <v>1.26</v>
      </c>
      <c r="BJ10" s="10">
        <v>0.26</v>
      </c>
      <c r="BK10" s="9">
        <v>3.3999999999999998E-9</v>
      </c>
      <c r="BL10" s="6">
        <f t="shared" si="0"/>
        <v>21566188810.739086</v>
      </c>
      <c r="BM10" s="6">
        <f t="shared" si="1"/>
        <v>2156.6188810739086</v>
      </c>
      <c r="BN10" s="6">
        <f t="shared" si="2"/>
        <v>5607209090.7921629</v>
      </c>
      <c r="BO10" s="8">
        <f t="shared" si="3"/>
        <v>-8.4685210829577446</v>
      </c>
      <c r="BP10" s="1"/>
      <c r="BQ10" s="64"/>
    </row>
    <row r="11" spans="1:70" ht="15.75">
      <c r="P11" s="494"/>
      <c r="Q11" s="357">
        <f>planetNo</f>
        <v>37</v>
      </c>
      <c r="R11" s="358" t="str">
        <f>H3</f>
        <v>MT IWA</v>
      </c>
      <c r="S11" s="359">
        <f>AI10</f>
        <v>5</v>
      </c>
      <c r="T11" s="360">
        <f ca="1" xml:space="preserve"> AI49</f>
        <v>229.76332847777823</v>
      </c>
      <c r="U11" s="359">
        <f ca="1">planetWA</f>
        <v>4.0000000000000009</v>
      </c>
      <c r="V11" s="359">
        <f>AI12</f>
        <v>0.2</v>
      </c>
      <c r="W11" s="361">
        <f>IFERROR(D5,0)</f>
        <v>8.2747421923692102</v>
      </c>
      <c r="X11" s="362">
        <f ca="1">IF(SNRtimeMargin&gt;0,SNRtimeMargin,-1)</f>
        <v>0.95038005360215527</v>
      </c>
      <c r="Y11" s="437">
        <f ca="1">timeToSNR</f>
        <v>12.40498659946118</v>
      </c>
      <c r="Z11" s="359">
        <f>IFERROR(SUM(L7:L9),-1)</f>
        <v>2.09216E-3</v>
      </c>
      <c r="AA11" s="359">
        <f ca="1">IFERROR(L4,-1)</f>
        <v>7.7575676946067826E-3</v>
      </c>
      <c r="AB11" s="363">
        <f ca="1">IFERROR(L5,-1)</f>
        <v>1.8967938888534467E-3</v>
      </c>
      <c r="AC11" s="359">
        <f ca="1">IFERROR(L6,-1)</f>
        <v>1.5148562554011145E-3</v>
      </c>
      <c r="AD11" s="538"/>
      <c r="AG11" s="387"/>
      <c r="AH11" s="69" t="s">
        <v>13</v>
      </c>
      <c r="AI11" s="207">
        <f>VLOOKUP(planetNo,planetTable,7)</f>
        <v>2.2976332847777821</v>
      </c>
      <c r="AJ11" s="71" t="s">
        <v>12</v>
      </c>
      <c r="AK11" s="158" t="s">
        <v>131</v>
      </c>
      <c r="AM11" s="64"/>
      <c r="AN11" s="128"/>
      <c r="AO11" s="129">
        <v>5</v>
      </c>
      <c r="AP11" s="134" t="s">
        <v>180</v>
      </c>
      <c r="AQ11" s="835">
        <f ca="1">VLOOKUP(planetWA,INDIRECT(AQ7),5)/(0.5/AQ18)</f>
        <v>6.8741936000000003E-2</v>
      </c>
      <c r="AR11" s="835"/>
      <c r="AS11" s="137" t="s">
        <v>36</v>
      </c>
      <c r="AT11" s="136" t="s">
        <v>181</v>
      </c>
      <c r="BF11" s="67"/>
      <c r="BG11" s="1"/>
      <c r="BH11" s="43" t="s">
        <v>46</v>
      </c>
      <c r="BI11" s="8">
        <v>1.64</v>
      </c>
      <c r="BJ11" s="10">
        <v>0.33</v>
      </c>
      <c r="BK11" s="9">
        <v>1.1800000000000001E-9</v>
      </c>
      <c r="BL11" s="6">
        <f t="shared" si="0"/>
        <v>9742037485.1872711</v>
      </c>
      <c r="BM11" s="6">
        <f t="shared" si="1"/>
        <v>974.20374851872725</v>
      </c>
      <c r="BN11" s="6">
        <f t="shared" si="2"/>
        <v>3214872370.1117997</v>
      </c>
      <c r="BO11" s="11">
        <f t="shared" si="3"/>
        <v>-8.9281179926938741</v>
      </c>
      <c r="BP11" s="1"/>
      <c r="BQ11" s="64"/>
    </row>
    <row r="12" spans="1:70" ht="15.75">
      <c r="C12" s="237" t="s">
        <v>429</v>
      </c>
      <c r="D12" s="237" t="s">
        <v>538</v>
      </c>
      <c r="E12" s="238" t="s">
        <v>430</v>
      </c>
      <c r="F12" s="238" t="s">
        <v>63</v>
      </c>
      <c r="G12" s="237" t="s">
        <v>460</v>
      </c>
      <c r="H12" s="237" t="s">
        <v>440</v>
      </c>
      <c r="I12" s="238" t="s">
        <v>236</v>
      </c>
      <c r="J12" s="237" t="s">
        <v>441</v>
      </c>
      <c r="K12" s="238" t="s">
        <v>492</v>
      </c>
      <c r="L12" s="238" t="s">
        <v>28</v>
      </c>
      <c r="M12" s="238" t="s">
        <v>268</v>
      </c>
      <c r="N12" s="266"/>
      <c r="P12" s="494"/>
      <c r="Q12" s="330">
        <v>1</v>
      </c>
      <c r="R12" s="329" t="str">
        <f t="dataTable" ref="R12:AC31" dt2D="0" dtr="0" r1="H4" ca="1"/>
        <v>beta Gem b</v>
      </c>
      <c r="S12" s="342">
        <v>1.1499999999999999</v>
      </c>
      <c r="T12" s="336">
        <v>169.6584414581402</v>
      </c>
      <c r="U12" s="342">
        <v>2.9536208860161759</v>
      </c>
      <c r="V12" s="779">
        <v>0.1</v>
      </c>
      <c r="W12" s="293">
        <v>9.8472194652930707</v>
      </c>
      <c r="X12" s="334">
        <v>-1</v>
      </c>
      <c r="Y12" s="780">
        <v>-1</v>
      </c>
      <c r="Z12" s="731">
        <v>2.09216E-3</v>
      </c>
      <c r="AA12" s="249">
        <v>-1</v>
      </c>
      <c r="AB12" s="249">
        <v>-1</v>
      </c>
      <c r="AC12" s="249">
        <v>-1</v>
      </c>
      <c r="AD12" s="538"/>
      <c r="AG12" s="387"/>
      <c r="AH12" s="69" t="s">
        <v>407</v>
      </c>
      <c r="AI12" s="262">
        <f>VLOOKUP(planetNo,planetTable,17)</f>
        <v>0.2</v>
      </c>
      <c r="AJ12" s="104" t="s">
        <v>132</v>
      </c>
      <c r="AK12" s="158" t="s">
        <v>408</v>
      </c>
      <c r="AM12" s="64"/>
      <c r="AN12" s="128"/>
      <c r="AO12" s="129">
        <v>6</v>
      </c>
      <c r="AP12" s="134" t="s">
        <v>182</v>
      </c>
      <c r="AQ12" s="835">
        <f ca="1">VLOOKUP(planetWA,INDIRECT(AQ7),6)/(0.5/AQ18)</f>
        <v>1.7160019000000001E-3</v>
      </c>
      <c r="AR12" s="835"/>
      <c r="AS12" s="137" t="s">
        <v>36</v>
      </c>
      <c r="AT12" s="136" t="s">
        <v>183</v>
      </c>
      <c r="AU12"/>
      <c r="BF12" s="79"/>
      <c r="BG12" s="1"/>
      <c r="BH12" s="43" t="s">
        <v>43</v>
      </c>
      <c r="BI12" s="8">
        <v>2.1800000000000002</v>
      </c>
      <c r="BJ12" s="10">
        <v>0.44</v>
      </c>
      <c r="BK12" s="9">
        <v>3.9E-10</v>
      </c>
      <c r="BL12" s="6">
        <f t="shared" si="0"/>
        <v>4280012541.290936</v>
      </c>
      <c r="BM12" s="6">
        <f t="shared" si="1"/>
        <v>428.00125412909364</v>
      </c>
      <c r="BN12" s="6">
        <f t="shared" si="2"/>
        <v>1883205518.1680119</v>
      </c>
      <c r="BO12" s="8">
        <f t="shared" si="3"/>
        <v>-9.4089353929735005</v>
      </c>
      <c r="BP12" s="1"/>
      <c r="BQ12" s="64"/>
    </row>
    <row r="13" spans="1:70" ht="15.75">
      <c r="C13" s="704" t="s">
        <v>681</v>
      </c>
      <c r="D13" s="700">
        <v>565</v>
      </c>
      <c r="E13" s="701">
        <f t="shared" ref="E13:E24" si="4">INDEX(CGtable,MATCH(G13,CGcase,0),3)</f>
        <v>0.1</v>
      </c>
      <c r="F13" s="700">
        <v>0</v>
      </c>
      <c r="G13" s="703" t="s">
        <v>744</v>
      </c>
      <c r="H13" s="701">
        <v>0.12</v>
      </c>
      <c r="I13" s="701">
        <v>0.2</v>
      </c>
      <c r="J13" s="703" t="s">
        <v>433</v>
      </c>
      <c r="K13" s="702">
        <v>50</v>
      </c>
      <c r="L13" s="702">
        <v>5</v>
      </c>
      <c r="M13" s="703"/>
      <c r="N13" s="267"/>
      <c r="P13" s="494"/>
      <c r="Q13" s="330">
        <v>2</v>
      </c>
      <c r="R13" s="329" t="str">
        <v>gamma Cep b</v>
      </c>
      <c r="S13" s="342">
        <v>3.21</v>
      </c>
      <c r="T13" s="336">
        <v>140.35199682323577</v>
      </c>
      <c r="U13" s="342">
        <v>2.4434185864749094</v>
      </c>
      <c r="V13" s="779">
        <v>0.05</v>
      </c>
      <c r="W13" s="293">
        <v>4.1490848900707764</v>
      </c>
      <c r="X13" s="334">
        <v>-1</v>
      </c>
      <c r="Y13" s="781">
        <v>-1</v>
      </c>
      <c r="Z13" s="731">
        <v>2.09216E-3</v>
      </c>
      <c r="AA13" s="249">
        <v>-1</v>
      </c>
      <c r="AB13" s="249">
        <v>-1</v>
      </c>
      <c r="AC13" s="249">
        <v>-1</v>
      </c>
      <c r="AD13" s="538"/>
      <c r="AG13" s="387"/>
      <c r="AH13" s="69" t="s">
        <v>409</v>
      </c>
      <c r="AI13" s="262">
        <f>VLOOKUP(planetNo,planetTable,25)</f>
        <v>1</v>
      </c>
      <c r="AJ13" s="104" t="s">
        <v>410</v>
      </c>
      <c r="AM13" s="64"/>
      <c r="AN13" s="128"/>
      <c r="AO13" s="129">
        <v>7</v>
      </c>
      <c r="AP13" s="134" t="s">
        <v>184</v>
      </c>
      <c r="AQ13" s="835">
        <f ca="1">VLOOKUP(planetWA,INDIRECT(AQ7),7)</f>
        <v>5.1436023000000003E-3</v>
      </c>
      <c r="AR13" s="835"/>
      <c r="AS13" s="135" t="s">
        <v>185</v>
      </c>
      <c r="AT13" s="136" t="s">
        <v>186</v>
      </c>
      <c r="BF13" s="67"/>
      <c r="BG13" s="1"/>
      <c r="BH13" s="44" t="s">
        <v>40</v>
      </c>
      <c r="BI13" s="5">
        <v>3.4</v>
      </c>
      <c r="BJ13" s="7">
        <v>0.55000000000000004</v>
      </c>
      <c r="BK13" s="6">
        <v>7.3000000000000006E-11</v>
      </c>
      <c r="BL13" s="6">
        <f t="shared" si="0"/>
        <v>1249469669.1936135</v>
      </c>
      <c r="BM13" s="6">
        <f t="shared" si="1"/>
        <v>124.94696691936136</v>
      </c>
      <c r="BN13" s="6">
        <f t="shared" si="2"/>
        <v>687208318.05648744</v>
      </c>
      <c r="BO13" s="5">
        <f t="shared" si="3"/>
        <v>-10.136677139879543</v>
      </c>
      <c r="BP13" s="1"/>
      <c r="BQ13" s="64"/>
    </row>
    <row r="14" spans="1:70" ht="15.75">
      <c r="C14" s="704" t="s">
        <v>682</v>
      </c>
      <c r="D14" s="700">
        <v>565</v>
      </c>
      <c r="E14" s="701">
        <f t="shared" si="4"/>
        <v>0.1</v>
      </c>
      <c r="F14" s="700">
        <v>0</v>
      </c>
      <c r="G14" s="703" t="s">
        <v>745</v>
      </c>
      <c r="H14" s="701">
        <v>0.12</v>
      </c>
      <c r="I14" s="701">
        <v>0.1</v>
      </c>
      <c r="J14" s="703" t="s">
        <v>433</v>
      </c>
      <c r="K14" s="702">
        <v>50</v>
      </c>
      <c r="L14" s="702">
        <v>5</v>
      </c>
      <c r="M14" s="703"/>
      <c r="P14" s="494"/>
      <c r="Q14" s="330">
        <v>5</v>
      </c>
      <c r="R14" s="329" t="str">
        <v>upsilon And d</v>
      </c>
      <c r="S14" s="342">
        <v>4.0999999999999996</v>
      </c>
      <c r="T14" s="336">
        <v>187.11791040351034</v>
      </c>
      <c r="U14" s="342">
        <v>3.257576596634439</v>
      </c>
      <c r="V14" s="779">
        <v>0.11</v>
      </c>
      <c r="W14" s="293">
        <v>4.9855908976830499</v>
      </c>
      <c r="X14" s="334">
        <v>-1</v>
      </c>
      <c r="Y14" s="781">
        <v>895.41246377816424</v>
      </c>
      <c r="Z14" s="731">
        <v>2.09216E-3</v>
      </c>
      <c r="AA14" s="249">
        <v>8.0279959273085559E-3</v>
      </c>
      <c r="AB14" s="249">
        <v>5.9847188568582744E-3</v>
      </c>
      <c r="AC14" s="249">
        <v>1.8099264641456214E-3</v>
      </c>
      <c r="AD14" s="538"/>
      <c r="AG14" s="387"/>
      <c r="AH14" s="36" t="s">
        <v>204</v>
      </c>
      <c r="AI14" s="107">
        <v>23</v>
      </c>
      <c r="AJ14" s="71" t="s">
        <v>205</v>
      </c>
      <c r="AK14" s="158" t="s">
        <v>206</v>
      </c>
      <c r="AM14" s="64"/>
      <c r="AN14" s="128"/>
      <c r="AO14" s="129">
        <v>8</v>
      </c>
      <c r="AP14" s="134" t="s">
        <v>187</v>
      </c>
      <c r="AQ14" s="839">
        <f ca="1">VLOOKUP(planetWA,INDIRECT(AQ7),8)/(0.5/AQ18)</f>
        <v>0.24327958999999999</v>
      </c>
      <c r="AR14" s="839"/>
      <c r="AS14" s="137" t="s">
        <v>36</v>
      </c>
      <c r="AT14" s="136" t="s">
        <v>188</v>
      </c>
      <c r="AU14"/>
      <c r="BF14" s="67"/>
      <c r="BG14" s="1"/>
      <c r="BH14" s="44" t="s">
        <v>38</v>
      </c>
      <c r="BI14" s="5">
        <v>5</v>
      </c>
      <c r="BJ14" s="7">
        <v>0.3</v>
      </c>
      <c r="BK14" s="6">
        <v>2.1199999999999999E-11</v>
      </c>
      <c r="BL14" s="6">
        <f t="shared" si="0"/>
        <v>533617183.45899689</v>
      </c>
      <c r="BM14" s="6">
        <f t="shared" si="1"/>
        <v>53.361718345899696</v>
      </c>
      <c r="BN14" s="6">
        <f t="shared" si="2"/>
        <v>160085155.03769907</v>
      </c>
      <c r="BO14" s="5">
        <f t="shared" si="3"/>
        <v>-10.673664139071249</v>
      </c>
      <c r="BP14" s="1"/>
      <c r="BQ14" s="64"/>
    </row>
    <row r="15" spans="1:70" ht="15.75">
      <c r="A15" s="615"/>
      <c r="B15" s="241"/>
      <c r="C15" s="338" t="s">
        <v>776</v>
      </c>
      <c r="D15" s="336">
        <v>660</v>
      </c>
      <c r="E15" s="337">
        <f t="shared" si="4"/>
        <v>0.1</v>
      </c>
      <c r="F15" s="336">
        <v>50</v>
      </c>
      <c r="G15" s="236" t="s">
        <v>773</v>
      </c>
      <c r="H15" s="337">
        <v>0.12</v>
      </c>
      <c r="I15" s="337">
        <v>0.2</v>
      </c>
      <c r="J15" s="236" t="s">
        <v>437</v>
      </c>
      <c r="K15" s="717">
        <v>250</v>
      </c>
      <c r="L15" s="717">
        <v>10</v>
      </c>
      <c r="M15" s="236"/>
      <c r="P15" s="494"/>
      <c r="Q15" s="330">
        <v>11</v>
      </c>
      <c r="R15" s="329" t="str">
        <v>HD 114613 b</v>
      </c>
      <c r="S15" s="342">
        <v>4.8499999999999996</v>
      </c>
      <c r="T15" s="336">
        <v>256.94131990304646</v>
      </c>
      <c r="U15" s="342">
        <v>4.4731475924435324</v>
      </c>
      <c r="V15" s="779">
        <v>0.2</v>
      </c>
      <c r="W15" s="293">
        <v>2.5374622562110054</v>
      </c>
      <c r="X15" s="334">
        <v>0.31812183859013732</v>
      </c>
      <c r="Y15" s="781">
        <v>170.46954035246566</v>
      </c>
      <c r="Z15" s="731">
        <v>2.09216E-3</v>
      </c>
      <c r="AA15" s="249">
        <v>2.911586685152527E-3</v>
      </c>
      <c r="AB15" s="249">
        <v>1.7803022407213739E-3</v>
      </c>
      <c r="AC15" s="249">
        <v>1.6063221256324071E-3</v>
      </c>
      <c r="AD15" s="538"/>
      <c r="AG15" s="387"/>
      <c r="AH15" s="36" t="s">
        <v>207</v>
      </c>
      <c r="AI15" s="107">
        <v>22</v>
      </c>
      <c r="AJ15" s="71" t="s">
        <v>205</v>
      </c>
      <c r="AK15" s="158" t="s">
        <v>206</v>
      </c>
      <c r="AM15" s="64"/>
      <c r="AN15" s="128"/>
      <c r="AO15" s="129">
        <v>9</v>
      </c>
      <c r="AP15" s="134" t="s">
        <v>189</v>
      </c>
      <c r="AQ15" s="836">
        <f ca="1">MIN(INDEX(INDIRECT(AQ7),,1))</f>
        <v>3</v>
      </c>
      <c r="AR15" s="836"/>
      <c r="AS15" s="138" t="s">
        <v>190</v>
      </c>
      <c r="AT15" s="136" t="s">
        <v>191</v>
      </c>
      <c r="BF15" s="67"/>
      <c r="BG15" s="1"/>
      <c r="BH15" s="44" t="s">
        <v>34</v>
      </c>
      <c r="BI15" s="5">
        <v>10.199999999999999</v>
      </c>
      <c r="BJ15" s="7">
        <v>5</v>
      </c>
      <c r="BK15" s="6">
        <v>1.23E-12</v>
      </c>
      <c r="BL15" s="6">
        <f t="shared" si="0"/>
        <v>63158124.37430732</v>
      </c>
      <c r="BM15" s="6">
        <f t="shared" si="1"/>
        <v>6.3158124374307327</v>
      </c>
      <c r="BN15" s="6">
        <f t="shared" si="2"/>
        <v>315790621.87153661</v>
      </c>
      <c r="BO15" s="5">
        <f t="shared" si="3"/>
        <v>-11.910094888560602</v>
      </c>
      <c r="BP15" s="1"/>
      <c r="BQ15" s="64"/>
    </row>
    <row r="16" spans="1:70" s="615" customFormat="1" ht="15.75">
      <c r="B16" s="241"/>
      <c r="C16" s="338" t="s">
        <v>722</v>
      </c>
      <c r="D16" s="336">
        <v>660</v>
      </c>
      <c r="E16" s="337">
        <f t="shared" si="4"/>
        <v>0.18</v>
      </c>
      <c r="F16" s="336">
        <v>50</v>
      </c>
      <c r="G16" s="236" t="s">
        <v>746</v>
      </c>
      <c r="H16" s="337">
        <v>0.12</v>
      </c>
      <c r="I16" s="337">
        <v>0.1</v>
      </c>
      <c r="J16" s="236" t="s">
        <v>437</v>
      </c>
      <c r="K16" s="717">
        <v>250</v>
      </c>
      <c r="L16" s="717">
        <v>10</v>
      </c>
      <c r="M16" s="236"/>
      <c r="N16" s="54"/>
      <c r="O16" s="241"/>
      <c r="P16" s="241"/>
      <c r="Q16" s="330">
        <v>7</v>
      </c>
      <c r="R16" s="329" t="str">
        <v>47 UMa b</v>
      </c>
      <c r="S16" s="342">
        <v>5.03</v>
      </c>
      <c r="T16" s="336">
        <v>149.43716356034045</v>
      </c>
      <c r="U16" s="342">
        <v>2.6015842397546645</v>
      </c>
      <c r="V16" s="779">
        <v>0.16</v>
      </c>
      <c r="W16" s="293">
        <v>11.205859015139888</v>
      </c>
      <c r="X16" s="334">
        <v>-1</v>
      </c>
      <c r="Y16" s="781">
        <v>-1</v>
      </c>
      <c r="Z16" s="731">
        <v>2.09216E-3</v>
      </c>
      <c r="AA16" s="249">
        <v>-1</v>
      </c>
      <c r="AB16" s="249">
        <v>-1</v>
      </c>
      <c r="AC16" s="249">
        <v>-1</v>
      </c>
      <c r="AD16" s="54"/>
      <c r="AE16" s="241"/>
      <c r="AF16" s="241"/>
      <c r="AG16" s="793"/>
      <c r="AK16" s="794"/>
      <c r="AL16" s="241"/>
      <c r="AM16" s="795"/>
      <c r="AN16" s="796"/>
      <c r="AO16" s="797">
        <v>10</v>
      </c>
      <c r="AP16" s="798" t="s">
        <v>192</v>
      </c>
      <c r="AQ16" s="840">
        <f ca="1">MAX(INDEX(INDIRECT(AQ7),,1))</f>
        <v>8</v>
      </c>
      <c r="AR16" s="840"/>
      <c r="AS16" s="799" t="s">
        <v>190</v>
      </c>
      <c r="AT16" s="800" t="s">
        <v>191</v>
      </c>
      <c r="AU16" s="141"/>
      <c r="AV16" s="241"/>
      <c r="AW16" s="141"/>
      <c r="BE16" s="141"/>
      <c r="BF16" s="623"/>
      <c r="BG16" s="801"/>
      <c r="BH16" s="236" t="s">
        <v>31</v>
      </c>
      <c r="BI16" s="335">
        <v>21</v>
      </c>
      <c r="BJ16" s="802">
        <v>8</v>
      </c>
      <c r="BK16" s="803">
        <v>6.8000000000000001E-14</v>
      </c>
      <c r="BL16" s="803">
        <f t="shared" si="0"/>
        <v>7188729.6035796953</v>
      </c>
      <c r="BM16" s="803">
        <f t="shared" si="1"/>
        <v>0.71887296035796955</v>
      </c>
      <c r="BN16" s="803">
        <f t="shared" si="2"/>
        <v>57509836.828637563</v>
      </c>
      <c r="BO16" s="335">
        <f t="shared" si="3"/>
        <v>-13.167491087293763</v>
      </c>
      <c r="BP16" s="801"/>
      <c r="BQ16" s="795"/>
      <c r="BR16" s="241"/>
    </row>
    <row r="17" spans="1:69" ht="15.75">
      <c r="A17" s="615"/>
      <c r="B17" s="241"/>
      <c r="C17" s="338" t="s">
        <v>777</v>
      </c>
      <c r="D17" s="336">
        <v>770</v>
      </c>
      <c r="E17" s="337">
        <f t="shared" si="4"/>
        <v>0.1</v>
      </c>
      <c r="F17" s="336">
        <v>50</v>
      </c>
      <c r="G17" s="236" t="s">
        <v>775</v>
      </c>
      <c r="H17" s="337">
        <v>0.12</v>
      </c>
      <c r="I17" s="337">
        <v>0.2</v>
      </c>
      <c r="J17" s="236" t="s">
        <v>437</v>
      </c>
      <c r="K17" s="717">
        <v>250</v>
      </c>
      <c r="L17" s="717">
        <v>10</v>
      </c>
      <c r="M17" s="236"/>
      <c r="P17" s="494"/>
      <c r="Q17" s="330">
        <v>9</v>
      </c>
      <c r="R17" s="329" t="str">
        <v>47 UMa c</v>
      </c>
      <c r="S17" s="342">
        <v>5.03</v>
      </c>
      <c r="T17" s="336">
        <v>254.00314306640973</v>
      </c>
      <c r="U17" s="342">
        <v>4.4219962297591096</v>
      </c>
      <c r="V17" s="779">
        <v>0.28000000000000003</v>
      </c>
      <c r="W17" s="293">
        <v>7.7310017580866077</v>
      </c>
      <c r="X17" s="334">
        <v>0.95126833018622969</v>
      </c>
      <c r="Y17" s="781">
        <v>12.182917453442563</v>
      </c>
      <c r="Z17" s="731">
        <v>2.09216E-3</v>
      </c>
      <c r="AA17" s="249">
        <v>7.5156389013886424E-3</v>
      </c>
      <c r="AB17" s="249">
        <v>1.5083208637950778E-3</v>
      </c>
      <c r="AC17" s="249">
        <v>1.5481964666569281E-3</v>
      </c>
      <c r="AD17" s="538"/>
      <c r="AG17" s="387"/>
      <c r="AH17" s="36" t="s">
        <v>103</v>
      </c>
      <c r="AI17" s="107">
        <f>INDEX(scenarioTable,MATCH(ScenarioSelected,scenarios,0),4)</f>
        <v>50</v>
      </c>
      <c r="AJ17" s="71" t="s">
        <v>63</v>
      </c>
      <c r="AK17" s="158" t="s">
        <v>104</v>
      </c>
      <c r="AM17" s="64"/>
      <c r="AN17" s="128"/>
      <c r="AO17" s="129">
        <v>11</v>
      </c>
      <c r="AP17" s="139" t="s">
        <v>193</v>
      </c>
      <c r="AQ17" s="841">
        <f>INDEX(CGtable,MATCH(AI23,CGcase,0),6)</f>
        <v>0.54458878691384804</v>
      </c>
      <c r="AR17" s="841"/>
      <c r="AS17" s="137" t="s">
        <v>36</v>
      </c>
      <c r="AT17" s="136" t="s">
        <v>191</v>
      </c>
      <c r="BF17" s="67"/>
      <c r="BG17" s="1"/>
      <c r="BH17" s="63" t="s">
        <v>81</v>
      </c>
      <c r="BI17" s="1"/>
      <c r="BJ17" s="1"/>
      <c r="BK17" s="1"/>
      <c r="BL17" s="1"/>
      <c r="BM17" s="1"/>
      <c r="BN17" s="1"/>
      <c r="BO17" s="1"/>
      <c r="BP17" s="1"/>
      <c r="BQ17" s="64"/>
    </row>
    <row r="18" spans="1:69" ht="16.5" thickBot="1">
      <c r="A18" s="615"/>
      <c r="B18" s="241"/>
      <c r="C18" s="811" t="s">
        <v>723</v>
      </c>
      <c r="D18" s="812">
        <v>770</v>
      </c>
      <c r="E18" s="813">
        <f t="shared" si="4"/>
        <v>0.18</v>
      </c>
      <c r="F18" s="812">
        <v>50</v>
      </c>
      <c r="G18" s="814" t="s">
        <v>747</v>
      </c>
      <c r="H18" s="813">
        <v>0.12</v>
      </c>
      <c r="I18" s="813">
        <v>0.1</v>
      </c>
      <c r="J18" s="814" t="s">
        <v>437</v>
      </c>
      <c r="K18" s="717">
        <v>250</v>
      </c>
      <c r="L18" s="815">
        <v>10</v>
      </c>
      <c r="M18" s="814"/>
      <c r="N18" s="267"/>
      <c r="P18" s="494"/>
      <c r="Q18" s="330">
        <v>14</v>
      </c>
      <c r="R18" s="329" t="str">
        <v>mu Ara e</v>
      </c>
      <c r="S18" s="342">
        <v>5.12</v>
      </c>
      <c r="T18" s="336">
        <v>344.30633546299094</v>
      </c>
      <c r="U18" s="342">
        <v>5.9941042418575678</v>
      </c>
      <c r="V18" s="779">
        <v>0.28000000000000003</v>
      </c>
      <c r="W18" s="293">
        <v>3.1393479432500824</v>
      </c>
      <c r="X18" s="334">
        <v>0.18860355988589028</v>
      </c>
      <c r="Y18" s="781">
        <v>202.84911002852743</v>
      </c>
      <c r="Z18" s="731">
        <v>2.09216E-3</v>
      </c>
      <c r="AA18" s="249">
        <v>2.8071977952990922E-3</v>
      </c>
      <c r="AB18" s="249">
        <v>1.7601681072417694E-3</v>
      </c>
      <c r="AC18" s="249">
        <v>1.4214918761222162E-3</v>
      </c>
      <c r="AD18" s="538"/>
      <c r="AG18" s="387"/>
      <c r="AH18" s="69" t="s">
        <v>23</v>
      </c>
      <c r="AI18" s="107">
        <f>INDEX(scenarioTable,MATCH(ScenarioSelected,scenarios,0),2)*nm</f>
        <v>6.6000000000000003E-7</v>
      </c>
      <c r="AJ18" s="71" t="s">
        <v>27</v>
      </c>
      <c r="AM18" s="64"/>
      <c r="AN18" s="128"/>
      <c r="AO18" s="129">
        <v>12</v>
      </c>
      <c r="AP18" s="523" t="s">
        <v>622</v>
      </c>
      <c r="AQ18" s="836">
        <f>INDEX(CGtable,MATCH(AI23,CGcase,0),4)</f>
        <v>0.5</v>
      </c>
      <c r="AR18" s="836"/>
      <c r="AS18" s="446"/>
      <c r="AT18" s="136" t="s">
        <v>623</v>
      </c>
      <c r="AU18"/>
      <c r="BF18" s="67"/>
      <c r="BG18" s="1"/>
      <c r="BH18" s="45" t="s">
        <v>30</v>
      </c>
      <c r="BI18" s="4"/>
      <c r="BJ18" s="4"/>
      <c r="BK18" s="4"/>
      <c r="BL18" s="4"/>
      <c r="BM18" s="4"/>
      <c r="BN18" s="4"/>
      <c r="BO18" s="1"/>
      <c r="BP18" s="1"/>
      <c r="BQ18" s="64"/>
    </row>
    <row r="19" spans="1:69" ht="16.5" thickTop="1">
      <c r="A19" s="615"/>
      <c r="B19" s="241"/>
      <c r="C19" s="721" t="s">
        <v>432</v>
      </c>
      <c r="D19" s="722">
        <v>550</v>
      </c>
      <c r="E19" s="723">
        <f t="shared" si="4"/>
        <v>0.1</v>
      </c>
      <c r="F19" s="722">
        <v>50</v>
      </c>
      <c r="G19" s="724" t="s">
        <v>163</v>
      </c>
      <c r="H19" s="723">
        <v>0.25</v>
      </c>
      <c r="I19" s="723">
        <v>0.2</v>
      </c>
      <c r="J19" s="724" t="s">
        <v>437</v>
      </c>
      <c r="K19" s="725">
        <v>100</v>
      </c>
      <c r="L19" s="725">
        <v>5</v>
      </c>
      <c r="M19" s="724"/>
      <c r="N19" s="267"/>
      <c r="P19" s="494"/>
      <c r="Q19" s="330">
        <v>10</v>
      </c>
      <c r="R19" s="329" t="str">
        <v>HD 39091 b</v>
      </c>
      <c r="S19" s="342">
        <v>5.65</v>
      </c>
      <c r="T19" s="336">
        <v>182.71962871962867</v>
      </c>
      <c r="U19" s="342">
        <v>3.1810059495599727</v>
      </c>
      <c r="V19" s="779">
        <v>0.05</v>
      </c>
      <c r="W19" s="293">
        <v>1.2014829492281485</v>
      </c>
      <c r="X19" s="334">
        <v>-1</v>
      </c>
      <c r="Y19" s="781">
        <v>-51.39967261573296</v>
      </c>
      <c r="Z19" s="731">
        <v>2.09216E-3</v>
      </c>
      <c r="AA19" s="249">
        <v>3.978347298863694E-4</v>
      </c>
      <c r="AB19" s="249">
        <v>1.6698703051952382E-3</v>
      </c>
      <c r="AC19" s="249">
        <v>8.501247376704119E-4</v>
      </c>
      <c r="AD19" s="538"/>
      <c r="AH19" s="69" t="s">
        <v>25</v>
      </c>
      <c r="AI19" s="218">
        <f>INDEX(scenarioTable,MATCH(ScenarioSelected,scenarios,0),3)</f>
        <v>0.18</v>
      </c>
      <c r="AJ19" s="71"/>
      <c r="AM19" s="64"/>
      <c r="AN19" s="128"/>
      <c r="AO19" s="129">
        <v>13</v>
      </c>
      <c r="AP19" s="134" t="s">
        <v>194</v>
      </c>
      <c r="AQ19" s="836">
        <f>INDEX(CGtable,MATCH(AI23,CGcase,0),5)</f>
        <v>0.2</v>
      </c>
      <c r="AR19" s="836"/>
      <c r="AS19" s="138" t="s">
        <v>195</v>
      </c>
      <c r="AT19" s="136" t="s">
        <v>196</v>
      </c>
      <c r="BF19" s="67"/>
      <c r="BG19" s="1"/>
      <c r="BH19" s="46" t="s">
        <v>29</v>
      </c>
      <c r="BI19" s="4"/>
      <c r="BJ19" s="4"/>
      <c r="BK19" s="4"/>
      <c r="BL19" s="4"/>
      <c r="BM19" s="4"/>
      <c r="BN19" s="4"/>
      <c r="BO19" s="1"/>
      <c r="BP19" s="1"/>
      <c r="BQ19" s="64"/>
    </row>
    <row r="20" spans="1:69" ht="15.75">
      <c r="C20" s="705" t="s">
        <v>434</v>
      </c>
      <c r="D20" s="700">
        <v>450</v>
      </c>
      <c r="E20" s="707">
        <f t="shared" si="4"/>
        <v>0.1</v>
      </c>
      <c r="F20" s="569">
        <v>0</v>
      </c>
      <c r="G20" s="706" t="s">
        <v>163</v>
      </c>
      <c r="H20" s="701">
        <v>0.25</v>
      </c>
      <c r="I20" s="701">
        <v>0.1</v>
      </c>
      <c r="J20" s="706" t="s">
        <v>433</v>
      </c>
      <c r="K20" s="702">
        <v>24</v>
      </c>
      <c r="L20" s="702">
        <v>5</v>
      </c>
      <c r="M20" s="706"/>
      <c r="N20" s="267"/>
      <c r="P20" s="494"/>
      <c r="Q20" s="330">
        <v>31</v>
      </c>
      <c r="R20" s="329" t="str">
        <v>HD 142 c</v>
      </c>
      <c r="S20" s="342">
        <v>5.7</v>
      </c>
      <c r="T20" s="336">
        <v>330.09708737864077</v>
      </c>
      <c r="U20" s="342">
        <v>5.7467323365411023</v>
      </c>
      <c r="V20" s="779">
        <v>0.19</v>
      </c>
      <c r="W20" s="293">
        <v>1.1869088290820782</v>
      </c>
      <c r="X20" s="334">
        <v>-1</v>
      </c>
      <c r="Y20" s="781">
        <v>-165.03641110018413</v>
      </c>
      <c r="Z20" s="731">
        <v>2.09216E-3</v>
      </c>
      <c r="AA20" s="249">
        <v>6.3503605845247209E-4</v>
      </c>
      <c r="AB20" s="249">
        <v>1.0347472791188959E-3</v>
      </c>
      <c r="AC20" s="249">
        <v>1.3712279386518136E-3</v>
      </c>
      <c r="AD20" s="538"/>
      <c r="AH20" s="69" t="s">
        <v>140</v>
      </c>
      <c r="AI20" s="107">
        <f>INDEX(scenarioTable,MATCH(ScenarioSelected,scenarios,0),9)</f>
        <v>250</v>
      </c>
      <c r="AJ20" s="71" t="s">
        <v>491</v>
      </c>
      <c r="AK20" s="158" t="s">
        <v>144</v>
      </c>
      <c r="AM20" s="64"/>
      <c r="AN20" s="128"/>
      <c r="AO20" s="129">
        <v>14</v>
      </c>
      <c r="AP20" s="134" t="s">
        <v>197</v>
      </c>
      <c r="AQ20" s="836">
        <f>PI()/4/AQ19^2</f>
        <v>19.634954084936204</v>
      </c>
      <c r="AR20" s="836"/>
      <c r="AS20" s="138" t="s">
        <v>195</v>
      </c>
      <c r="AT20" s="136" t="s">
        <v>198</v>
      </c>
      <c r="AU20"/>
      <c r="BF20" s="67"/>
      <c r="BG20" s="1"/>
      <c r="BO20" s="1"/>
      <c r="BP20" s="1"/>
      <c r="BQ20" s="64"/>
    </row>
    <row r="21" spans="1:69">
      <c r="C21" s="705" t="s">
        <v>435</v>
      </c>
      <c r="D21" s="700">
        <v>565</v>
      </c>
      <c r="E21" s="707">
        <f t="shared" si="4"/>
        <v>0.1</v>
      </c>
      <c r="F21" s="569">
        <v>0</v>
      </c>
      <c r="G21" s="706" t="s">
        <v>163</v>
      </c>
      <c r="H21" s="701">
        <v>0.25</v>
      </c>
      <c r="I21" s="701">
        <v>0.1</v>
      </c>
      <c r="J21" s="706" t="s">
        <v>433</v>
      </c>
      <c r="K21" s="702">
        <v>24</v>
      </c>
      <c r="L21" s="702">
        <v>5</v>
      </c>
      <c r="M21" s="706"/>
      <c r="P21" s="494"/>
      <c r="Q21" s="330">
        <v>4</v>
      </c>
      <c r="R21" s="329" t="str">
        <v>HD 192310 c</v>
      </c>
      <c r="S21" s="342">
        <v>5.73</v>
      </c>
      <c r="T21" s="336">
        <v>132.8213110210109</v>
      </c>
      <c r="U21" s="342">
        <v>2.3123152315206275</v>
      </c>
      <c r="V21" s="779">
        <v>0.14000000000000001</v>
      </c>
      <c r="W21" s="293">
        <v>5.2409602299446147</v>
      </c>
      <c r="X21" s="334">
        <v>-1</v>
      </c>
      <c r="Y21" s="781">
        <v>-1</v>
      </c>
      <c r="Z21" s="731">
        <v>2.09216E-3</v>
      </c>
      <c r="AA21" s="249">
        <v>-1</v>
      </c>
      <c r="AB21" s="249">
        <v>-1</v>
      </c>
      <c r="AC21" s="249">
        <v>-1</v>
      </c>
      <c r="AD21" s="538"/>
      <c r="AG21" s="387"/>
      <c r="AH21" s="36" t="s">
        <v>467</v>
      </c>
      <c r="AI21" s="233">
        <f>INDEX(scenarioTable,MATCH(ScenarioSelected,scenarios,0),10)</f>
        <v>10</v>
      </c>
      <c r="AM21" s="64"/>
      <c r="AN21"/>
      <c r="AO21" s="153"/>
      <c r="AP21" s="77"/>
      <c r="AQ21" s="77"/>
      <c r="AR21" s="71"/>
      <c r="AS21" s="77"/>
      <c r="AU21"/>
      <c r="BF21" s="67"/>
      <c r="BG21" s="1"/>
      <c r="BH21" s="47" t="s">
        <v>26</v>
      </c>
      <c r="BI21" s="48"/>
      <c r="BJ21" s="48"/>
      <c r="BK21" s="48"/>
      <c r="BL21" s="48"/>
      <c r="BM21" s="48"/>
      <c r="BN21" s="49"/>
      <c r="BO21" s="1"/>
      <c r="BP21" s="1"/>
      <c r="BQ21" s="64"/>
    </row>
    <row r="22" spans="1:69">
      <c r="C22" s="705" t="s">
        <v>436</v>
      </c>
      <c r="D22" s="700">
        <v>660</v>
      </c>
      <c r="E22" s="707">
        <f t="shared" si="4"/>
        <v>0.18</v>
      </c>
      <c r="F22" s="569">
        <v>50</v>
      </c>
      <c r="G22" s="706" t="s">
        <v>165</v>
      </c>
      <c r="H22" s="701">
        <v>0.25</v>
      </c>
      <c r="I22" s="701">
        <v>0.1</v>
      </c>
      <c r="J22" s="706" t="s">
        <v>437</v>
      </c>
      <c r="K22" s="702">
        <v>50</v>
      </c>
      <c r="L22" s="702">
        <v>15</v>
      </c>
      <c r="M22" s="706"/>
      <c r="N22" s="267"/>
      <c r="P22" s="494"/>
      <c r="Q22" s="330">
        <v>13</v>
      </c>
      <c r="R22" s="329" t="str">
        <v>Gliese 777 b</v>
      </c>
      <c r="S22" s="342">
        <v>5.73</v>
      </c>
      <c r="T22" s="336">
        <v>250.52812793623363</v>
      </c>
      <c r="U22" s="342">
        <v>4.3614989318970236</v>
      </c>
      <c r="V22" s="779">
        <v>0.28000000000000003</v>
      </c>
      <c r="W22" s="293">
        <v>5.6729680825100806</v>
      </c>
      <c r="X22" s="334">
        <v>0.76906288557793234</v>
      </c>
      <c r="Y22" s="781">
        <v>57.734278605516913</v>
      </c>
      <c r="Z22" s="731">
        <v>2.09216E-3</v>
      </c>
      <c r="AA22" s="249">
        <v>2.8146633997748766E-3</v>
      </c>
      <c r="AB22" s="249">
        <v>8.7446702553092056E-4</v>
      </c>
      <c r="AC22" s="249">
        <v>1.3240208453786E-3</v>
      </c>
      <c r="AD22" s="538"/>
      <c r="AG22" s="387"/>
      <c r="AH22" s="69"/>
      <c r="AI22" s="78"/>
      <c r="AJ22" s="71"/>
      <c r="AM22" s="65"/>
      <c r="AO22" s="153" t="s">
        <v>229</v>
      </c>
      <c r="AP22" s="69"/>
      <c r="AQ22" s="69"/>
      <c r="AR22" s="71"/>
      <c r="BF22" s="67"/>
      <c r="BG22" s="1"/>
      <c r="BH22" s="51" t="s">
        <v>24</v>
      </c>
      <c r="BI22" s="52"/>
      <c r="BJ22" s="52"/>
      <c r="BK22" s="52"/>
      <c r="BL22" s="52"/>
      <c r="BM22" s="52"/>
      <c r="BN22" s="53"/>
      <c r="BO22" s="1"/>
      <c r="BP22" s="1"/>
      <c r="BQ22" s="65"/>
    </row>
    <row r="23" spans="1:69">
      <c r="C23" s="705" t="s">
        <v>438</v>
      </c>
      <c r="D23" s="700">
        <v>770</v>
      </c>
      <c r="E23" s="707">
        <f t="shared" si="4"/>
        <v>0.18</v>
      </c>
      <c r="F23" s="569">
        <v>50</v>
      </c>
      <c r="G23" s="706" t="s">
        <v>165</v>
      </c>
      <c r="H23" s="701">
        <v>0.25</v>
      </c>
      <c r="I23" s="701">
        <v>0.1</v>
      </c>
      <c r="J23" s="706" t="s">
        <v>437</v>
      </c>
      <c r="K23" s="792">
        <v>200</v>
      </c>
      <c r="L23" s="702">
        <v>15</v>
      </c>
      <c r="M23" s="706"/>
      <c r="N23" s="267"/>
      <c r="P23" s="494"/>
      <c r="Q23" s="330">
        <v>33</v>
      </c>
      <c r="R23" s="329" t="str">
        <v>psi Dra B b</v>
      </c>
      <c r="S23" s="342">
        <v>5.81</v>
      </c>
      <c r="T23" s="336">
        <v>200.9981851179673</v>
      </c>
      <c r="U23" s="342">
        <v>3.4992213326576538</v>
      </c>
      <c r="V23" s="779">
        <v>0.28999999999999998</v>
      </c>
      <c r="W23" s="293">
        <v>4.7254937193976776</v>
      </c>
      <c r="X23" s="334">
        <v>-1</v>
      </c>
      <c r="Y23" s="781">
        <v>3516.5316567809705</v>
      </c>
      <c r="Z23" s="731">
        <v>2.09216E-3</v>
      </c>
      <c r="AA23" s="249">
        <v>1.7770283567780773E-3</v>
      </c>
      <c r="AB23" s="249">
        <v>1.2647399510708306E-3</v>
      </c>
      <c r="AC23" s="249">
        <v>1.1030840469419478E-3</v>
      </c>
      <c r="AD23" s="538"/>
      <c r="AG23" s="387"/>
      <c r="AH23" s="69" t="s">
        <v>200</v>
      </c>
      <c r="AI23" s="263" t="str">
        <f>INDEX(scenarioTable,MATCH(ScenarioSelected,scenarios,0),5)</f>
        <v>G2.5Fit660</v>
      </c>
      <c r="AJ23" s="71"/>
      <c r="AK23" s="158" t="s">
        <v>201</v>
      </c>
      <c r="AM23" s="65"/>
      <c r="AO23" s="153"/>
      <c r="AP23" s="69"/>
      <c r="AQ23" s="69"/>
      <c r="AR23" s="71"/>
      <c r="BF23" s="67"/>
      <c r="BG23" s="1"/>
      <c r="BH23" s="51" t="s">
        <v>23</v>
      </c>
      <c r="BI23" s="52" t="s">
        <v>19</v>
      </c>
      <c r="BJ23" s="52" t="s">
        <v>22</v>
      </c>
      <c r="BK23" s="52"/>
      <c r="BL23" s="52"/>
      <c r="BM23" s="52"/>
      <c r="BN23" s="53"/>
      <c r="BO23" s="1"/>
      <c r="BP23" s="1"/>
      <c r="BQ23" s="65"/>
    </row>
    <row r="24" spans="1:69">
      <c r="C24" s="705" t="s">
        <v>439</v>
      </c>
      <c r="D24" s="700">
        <v>890</v>
      </c>
      <c r="E24" s="707">
        <f t="shared" si="4"/>
        <v>0.18</v>
      </c>
      <c r="F24" s="569">
        <v>50</v>
      </c>
      <c r="G24" s="706" t="s">
        <v>165</v>
      </c>
      <c r="H24" s="701">
        <v>0.25</v>
      </c>
      <c r="I24" s="701">
        <v>0.1</v>
      </c>
      <c r="J24" s="706" t="s">
        <v>437</v>
      </c>
      <c r="K24" s="702">
        <v>200</v>
      </c>
      <c r="L24" s="702">
        <v>15</v>
      </c>
      <c r="M24" s="706"/>
      <c r="N24" s="267"/>
      <c r="P24" s="494"/>
      <c r="Q24" s="330">
        <v>17</v>
      </c>
      <c r="R24" s="329" t="str">
        <v>55 Cnc d</v>
      </c>
      <c r="S24" s="342">
        <v>5.96</v>
      </c>
      <c r="T24" s="336">
        <v>443.6128059897415</v>
      </c>
      <c r="U24" s="342">
        <v>7.7229522905809755</v>
      </c>
      <c r="V24" s="779">
        <v>0.28000000000000003</v>
      </c>
      <c r="W24" s="293">
        <v>2.745642709646047</v>
      </c>
      <c r="X24" s="334">
        <v>-1</v>
      </c>
      <c r="Y24" s="781">
        <v>-591.84984847973908</v>
      </c>
      <c r="Z24" s="731">
        <v>2.09216E-3</v>
      </c>
      <c r="AA24" s="249">
        <v>1.0143158550320252E-3</v>
      </c>
      <c r="AB24" s="249">
        <v>8.7477057522266873E-4</v>
      </c>
      <c r="AC24" s="249">
        <v>1.0980412133870568E-3</v>
      </c>
      <c r="AD24" s="538"/>
      <c r="AH24" s="69" t="s">
        <v>418</v>
      </c>
      <c r="AI24" s="218">
        <f>INDEX(scenarioTable,MATCH(ScenarioSelected,scenarios,0),6)</f>
        <v>0.12</v>
      </c>
      <c r="AJ24" s="71" t="s">
        <v>428</v>
      </c>
      <c r="AK24" s="158" t="s">
        <v>419</v>
      </c>
      <c r="AM24" s="65"/>
      <c r="AO24" s="153"/>
      <c r="AR24" s="71"/>
      <c r="BF24" s="67"/>
      <c r="BG24" s="1"/>
      <c r="BH24" s="55">
        <f>lambda/0.000001</f>
        <v>0.66</v>
      </c>
      <c r="BI24" s="145">
        <f>AI10</f>
        <v>5</v>
      </c>
      <c r="BJ24" s="57">
        <f>10^(VLOOKUP(BH24,fluxTable,7)-0.4*BI24)*(BH24*0.000001/(h_planck*c_light))*VLOOKUP(BH24,fluxTable,2)</f>
        <v>115916150.5254862</v>
      </c>
      <c r="BK24" s="56"/>
      <c r="BL24" s="56"/>
      <c r="BM24" s="56"/>
      <c r="BN24" s="58"/>
      <c r="BO24" s="1"/>
      <c r="BP24" s="1"/>
      <c r="BQ24" s="65"/>
    </row>
    <row r="25" spans="1:69">
      <c r="C25" s="269">
        <v>1</v>
      </c>
      <c r="D25" s="269">
        <v>2</v>
      </c>
      <c r="E25" s="269">
        <v>3</v>
      </c>
      <c r="F25" s="269">
        <v>4</v>
      </c>
      <c r="G25" s="269">
        <v>5</v>
      </c>
      <c r="H25" s="269">
        <v>6</v>
      </c>
      <c r="I25" s="269">
        <v>7</v>
      </c>
      <c r="J25" s="269">
        <v>8</v>
      </c>
      <c r="K25" s="269">
        <v>9</v>
      </c>
      <c r="L25" s="269">
        <v>10</v>
      </c>
      <c r="M25" s="269">
        <v>11</v>
      </c>
      <c r="N25" s="71"/>
      <c r="P25" s="494"/>
      <c r="Q25" s="330">
        <v>19</v>
      </c>
      <c r="R25" s="329" t="str">
        <v>HD 217107 c</v>
      </c>
      <c r="S25" s="342">
        <v>6.17</v>
      </c>
      <c r="T25" s="336">
        <v>268.62768796897825</v>
      </c>
      <c r="U25" s="342">
        <v>4.6765981281466136</v>
      </c>
      <c r="V25" s="779">
        <v>0.28000000000000003</v>
      </c>
      <c r="W25" s="293">
        <v>2.9928098884804561</v>
      </c>
      <c r="X25" s="334">
        <v>-1</v>
      </c>
      <c r="Y25" s="781">
        <v>508.27371344820278</v>
      </c>
      <c r="Z25" s="731">
        <v>2.09216E-3</v>
      </c>
      <c r="AA25" s="249">
        <v>1.0391247153327219E-3</v>
      </c>
      <c r="AB25" s="249">
        <v>5.2858883970485792E-4</v>
      </c>
      <c r="AC25" s="249">
        <v>1.3255345583737248E-3</v>
      </c>
      <c r="AD25" s="538"/>
      <c r="AG25" s="387"/>
      <c r="AH25" s="36" t="s">
        <v>235</v>
      </c>
      <c r="AI25" s="218">
        <f>INDEX(scenarioTable,MATCH(ScenarioSelected,scenarios,0),7)</f>
        <v>0.1</v>
      </c>
      <c r="AJ25" s="71" t="s">
        <v>236</v>
      </c>
      <c r="AK25" s="158" t="s">
        <v>237</v>
      </c>
      <c r="AM25" s="65"/>
      <c r="AP25" s="308" t="s">
        <v>480</v>
      </c>
      <c r="AQ25" s="309" t="str">
        <f>HLOOKUP(CCDQEno,CCDQEcoatings,2)</f>
        <v>Basic Multi2 std Si</v>
      </c>
      <c r="AR25" s="308"/>
      <c r="AS25" s="310">
        <v>5</v>
      </c>
      <c r="AT25" s="332">
        <v>5</v>
      </c>
      <c r="BF25" s="67"/>
      <c r="BG25" s="1"/>
      <c r="BH25" s="1"/>
      <c r="BI25" s="1"/>
      <c r="BJ25" s="1"/>
      <c r="BK25" s="1"/>
      <c r="BL25" s="1"/>
      <c r="BM25" s="1"/>
      <c r="BN25" s="1"/>
      <c r="BO25" s="1"/>
      <c r="BP25" s="1"/>
      <c r="BQ25" s="65"/>
    </row>
    <row r="26" spans="1:69">
      <c r="C26" s="269"/>
      <c r="D26" s="269"/>
      <c r="E26" s="269"/>
      <c r="F26" s="269"/>
      <c r="G26" s="269"/>
      <c r="H26" s="269"/>
      <c r="I26" s="269"/>
      <c r="J26" s="269"/>
      <c r="K26" s="269"/>
      <c r="L26" s="269"/>
      <c r="M26" s="269"/>
      <c r="N26" s="71"/>
      <c r="P26" s="494"/>
      <c r="Q26" s="330">
        <v>22</v>
      </c>
      <c r="R26" s="329" t="str">
        <v>HD 134987 c</v>
      </c>
      <c r="S26" s="342">
        <v>6.47</v>
      </c>
      <c r="T26" s="336">
        <v>222.2865429012993</v>
      </c>
      <c r="U26" s="342">
        <v>3.8698350058555668</v>
      </c>
      <c r="V26" s="779">
        <v>0.23</v>
      </c>
      <c r="W26" s="293">
        <v>2.2398179413352808</v>
      </c>
      <c r="X26" s="334">
        <v>-1</v>
      </c>
      <c r="Y26" s="781">
        <v>-801.98453614325729</v>
      </c>
      <c r="Z26" s="731">
        <v>2.09216E-3</v>
      </c>
      <c r="AA26" s="249">
        <v>5.1835179289478738E-4</v>
      </c>
      <c r="AB26" s="249">
        <v>5.3208585269686392E-4</v>
      </c>
      <c r="AC26" s="249">
        <v>1.1330877494137028E-3</v>
      </c>
      <c r="AD26" s="538"/>
      <c r="AG26" s="387"/>
      <c r="AH26" s="69" t="s">
        <v>143</v>
      </c>
      <c r="AI26" s="108">
        <v>100</v>
      </c>
      <c r="AJ26" s="71" t="s">
        <v>94</v>
      </c>
      <c r="AK26" s="54" t="s">
        <v>98</v>
      </c>
      <c r="AM26" s="65"/>
      <c r="AO26" s="129"/>
      <c r="AP26" s="130" t="s">
        <v>420</v>
      </c>
      <c r="AQ26" s="131" t="s">
        <v>421</v>
      </c>
      <c r="AR26" s="131" t="s">
        <v>422</v>
      </c>
      <c r="AS26" s="132" t="s">
        <v>447</v>
      </c>
      <c r="AT26" s="133" t="s">
        <v>53</v>
      </c>
      <c r="BF26" s="67"/>
      <c r="BG26" s="1"/>
      <c r="BH26" s="34"/>
      <c r="BI26" s="59" t="s">
        <v>18</v>
      </c>
      <c r="BJ26" s="3"/>
      <c r="BK26" s="34"/>
      <c r="BL26" s="34"/>
      <c r="BM26" s="3"/>
      <c r="BN26" s="3"/>
      <c r="BO26" s="3"/>
      <c r="BP26" s="3"/>
      <c r="BQ26" s="65"/>
    </row>
    <row r="27" spans="1:69">
      <c r="C27" s="670" t="s">
        <v>468</v>
      </c>
      <c r="D27" s="671" t="s">
        <v>617</v>
      </c>
      <c r="E27" s="671" t="s">
        <v>430</v>
      </c>
      <c r="F27" s="671" t="s">
        <v>166</v>
      </c>
      <c r="G27" s="671" t="s">
        <v>618</v>
      </c>
      <c r="H27" s="671" t="s">
        <v>42</v>
      </c>
      <c r="I27" s="269"/>
      <c r="J27" s="718">
        <f>E18</f>
        <v>0.18</v>
      </c>
      <c r="K27" s="718">
        <f>H18</f>
        <v>0.12</v>
      </c>
      <c r="L27" s="718">
        <f>I18</f>
        <v>0.1</v>
      </c>
      <c r="M27" s="719">
        <f>L18</f>
        <v>10</v>
      </c>
      <c r="N27" s="71"/>
      <c r="O27" s="74"/>
      <c r="P27" s="494"/>
      <c r="Q27" s="330">
        <v>15</v>
      </c>
      <c r="R27" s="329" t="str">
        <v>14 Her b</v>
      </c>
      <c r="S27" s="342">
        <v>6.61</v>
      </c>
      <c r="T27" s="336">
        <v>166.95235493637458</v>
      </c>
      <c r="U27" s="342">
        <v>2.9065100343464354</v>
      </c>
      <c r="V27" s="779">
        <v>0.2</v>
      </c>
      <c r="W27" s="293">
        <v>6.8300544001785113</v>
      </c>
      <c r="X27" s="334">
        <v>-1</v>
      </c>
      <c r="Y27" s="781">
        <v>-1</v>
      </c>
      <c r="Z27" s="731">
        <v>2.09216E-3</v>
      </c>
      <c r="AA27" s="249">
        <v>-1</v>
      </c>
      <c r="AB27" s="249">
        <v>-1</v>
      </c>
      <c r="AC27" s="249">
        <v>-1</v>
      </c>
      <c r="AD27" s="538"/>
      <c r="AE27" s="74"/>
      <c r="AG27" s="387"/>
      <c r="AI27" s="70"/>
      <c r="AM27" s="64"/>
      <c r="AO27" s="129"/>
      <c r="AP27" s="229" t="s">
        <v>423</v>
      </c>
      <c r="AQ27" s="120">
        <v>0</v>
      </c>
      <c r="AR27" s="120">
        <f>AQ27</f>
        <v>0</v>
      </c>
      <c r="AS27" s="230" t="s">
        <v>93</v>
      </c>
      <c r="AT27" s="231" t="s">
        <v>426</v>
      </c>
      <c r="AV27" s="74"/>
      <c r="BF27" s="67"/>
      <c r="BG27" s="1"/>
      <c r="BH27" s="1"/>
      <c r="BI27" s="1" t="s">
        <v>16</v>
      </c>
      <c r="BJ27" s="1">
        <v>6.6260700000000002E-34</v>
      </c>
      <c r="BK27" s="103" t="s">
        <v>15</v>
      </c>
      <c r="BL27" s="1" t="s">
        <v>14</v>
      </c>
      <c r="BM27" s="1"/>
      <c r="BN27" s="1"/>
      <c r="BO27" s="1"/>
      <c r="BP27" s="1"/>
      <c r="BQ27" s="64"/>
    </row>
    <row r="28" spans="1:69">
      <c r="C28" s="665" t="s">
        <v>163</v>
      </c>
      <c r="D28" s="645" t="s">
        <v>619</v>
      </c>
      <c r="E28" s="698">
        <v>0.1</v>
      </c>
      <c r="F28" s="218">
        <v>1</v>
      </c>
      <c r="G28" s="645">
        <v>0.3</v>
      </c>
      <c r="H28" s="666">
        <v>0.58514508983843505</v>
      </c>
      <c r="I28" s="269"/>
      <c r="J28" s="269"/>
      <c r="K28" s="269"/>
      <c r="L28" s="269"/>
      <c r="M28" s="269"/>
      <c r="N28" s="71"/>
      <c r="O28" s="74"/>
      <c r="P28" s="494"/>
      <c r="Q28" s="330">
        <v>20</v>
      </c>
      <c r="R28" s="329" t="str">
        <v>HD 154345 b</v>
      </c>
      <c r="S28" s="342">
        <v>6.76</v>
      </c>
      <c r="T28" s="336">
        <v>226.70034539526776</v>
      </c>
      <c r="U28" s="342">
        <v>3.9466758581048906</v>
      </c>
      <c r="V28" s="779">
        <v>0.24</v>
      </c>
      <c r="W28" s="293">
        <v>4.4664833059962232</v>
      </c>
      <c r="X28" s="334">
        <v>-1</v>
      </c>
      <c r="Y28" s="781">
        <v>814.94251407898037</v>
      </c>
      <c r="Z28" s="731">
        <v>2.09216E-3</v>
      </c>
      <c r="AA28" s="249">
        <v>7.9136638920377148E-4</v>
      </c>
      <c r="AB28" s="249">
        <v>4.0736312341020132E-4</v>
      </c>
      <c r="AC28" s="249">
        <v>1.1029079156291283E-3</v>
      </c>
      <c r="AD28" s="538"/>
      <c r="AE28" s="74"/>
      <c r="AG28" s="387" t="s">
        <v>527</v>
      </c>
      <c r="AM28" s="64"/>
      <c r="AO28" s="129"/>
      <c r="AP28" s="229" t="s">
        <v>424</v>
      </c>
      <c r="AQ28" s="264">
        <v>3.0000000000000001E-5</v>
      </c>
      <c r="AR28" s="264">
        <v>6.9999999999999999E-4</v>
      </c>
      <c r="AS28" s="230" t="s">
        <v>99</v>
      </c>
      <c r="AT28" s="231" t="s">
        <v>426</v>
      </c>
      <c r="AV28" s="74"/>
      <c r="BF28" s="67"/>
      <c r="BG28" s="1"/>
      <c r="BH28" s="1"/>
      <c r="BI28" s="1" t="s">
        <v>11</v>
      </c>
      <c r="BJ28" s="1">
        <v>299792000</v>
      </c>
      <c r="BK28" s="103" t="s">
        <v>10</v>
      </c>
      <c r="BL28" s="1" t="s">
        <v>9</v>
      </c>
      <c r="BM28" s="1"/>
      <c r="BN28" s="1"/>
      <c r="BO28" s="1"/>
      <c r="BP28" s="1"/>
      <c r="BQ28" s="64"/>
    </row>
    <row r="29" spans="1:69">
      <c r="C29" s="667" t="s">
        <v>165</v>
      </c>
      <c r="D29" s="589" t="s">
        <v>620</v>
      </c>
      <c r="E29" s="699">
        <v>0.18</v>
      </c>
      <c r="F29" s="668">
        <v>0.5</v>
      </c>
      <c r="G29" s="589">
        <v>0.2</v>
      </c>
      <c r="H29" s="669">
        <v>0.54458878691384804</v>
      </c>
      <c r="I29" s="269"/>
      <c r="J29" s="269"/>
      <c r="K29" s="269"/>
      <c r="L29" s="269"/>
      <c r="M29" s="269"/>
      <c r="N29" s="71"/>
      <c r="P29" s="494"/>
      <c r="Q29" s="330">
        <v>23</v>
      </c>
      <c r="R29" s="329" t="str">
        <v>HD 87883 b</v>
      </c>
      <c r="S29" s="342">
        <v>7.57</v>
      </c>
      <c r="T29" s="336">
        <v>196.45591870365283</v>
      </c>
      <c r="U29" s="342">
        <v>3.4201440239433736</v>
      </c>
      <c r="V29" s="779">
        <v>0.09</v>
      </c>
      <c r="W29" s="293">
        <v>2.2500260835674624</v>
      </c>
      <c r="X29" s="334">
        <v>-1</v>
      </c>
      <c r="Y29" s="781">
        <v>-1953.4593470267732</v>
      </c>
      <c r="Z29" s="731">
        <v>2.09216E-3</v>
      </c>
      <c r="AA29" s="249">
        <v>1.6727641817029345E-4</v>
      </c>
      <c r="AB29" s="249">
        <v>2.5003524859035898E-4</v>
      </c>
      <c r="AC29" s="249">
        <v>9.26935029737869E-4</v>
      </c>
      <c r="AD29" s="538"/>
      <c r="AG29" s="387"/>
      <c r="AH29" s="69" t="s">
        <v>567</v>
      </c>
      <c r="AI29" s="395">
        <f ca="1">f_SR*planetFlux*Acol*t_pl*QE</f>
        <v>7.7575676946067826E-3</v>
      </c>
      <c r="AJ29" s="71" t="s">
        <v>489</v>
      </c>
      <c r="AK29" s="158" t="s">
        <v>565</v>
      </c>
      <c r="AM29" s="64"/>
      <c r="AO29" s="129"/>
      <c r="AP29" s="229" t="s">
        <v>425</v>
      </c>
      <c r="AQ29" s="264">
        <v>2E-3</v>
      </c>
      <c r="AR29" s="264">
        <v>2.3E-3</v>
      </c>
      <c r="AS29" s="230" t="s">
        <v>93</v>
      </c>
      <c r="AT29" s="231" t="s">
        <v>426</v>
      </c>
      <c r="BF29" s="67"/>
      <c r="BG29" s="1"/>
      <c r="BH29" s="1"/>
      <c r="BI29" s="1" t="s">
        <v>7</v>
      </c>
      <c r="BJ29" s="1">
        <v>1.5999999999999999E-19</v>
      </c>
      <c r="BK29" s="103" t="s">
        <v>6</v>
      </c>
      <c r="BL29" s="1" t="s">
        <v>5</v>
      </c>
      <c r="BM29" s="1"/>
      <c r="BN29" s="1"/>
      <c r="BO29" s="1"/>
      <c r="BP29" s="1"/>
      <c r="BQ29" s="64"/>
    </row>
    <row r="30" spans="1:69">
      <c r="C30" s="665" t="s">
        <v>744</v>
      </c>
      <c r="D30" s="645" t="s">
        <v>740</v>
      </c>
      <c r="E30" s="698">
        <v>0.1</v>
      </c>
      <c r="F30" s="218">
        <v>1</v>
      </c>
      <c r="G30" s="645">
        <v>0.3</v>
      </c>
      <c r="H30" s="666">
        <v>0.58514508983843505</v>
      </c>
      <c r="I30" s="269"/>
      <c r="J30" s="269"/>
      <c r="K30" s="269"/>
      <c r="L30" s="269"/>
      <c r="M30" s="269"/>
      <c r="N30" s="71"/>
      <c r="P30" s="494"/>
      <c r="Q30" s="330">
        <v>29</v>
      </c>
      <c r="R30" s="329" t="str">
        <v>GJ 832 b</v>
      </c>
      <c r="S30" s="342">
        <v>8.66</v>
      </c>
      <c r="T30" s="336">
        <v>402.08582483611178</v>
      </c>
      <c r="U30" s="342">
        <v>7</v>
      </c>
      <c r="V30" s="779">
        <v>0.22222222222220001</v>
      </c>
      <c r="W30" s="293">
        <v>6.1717399500550219</v>
      </c>
      <c r="X30" s="334">
        <v>-1</v>
      </c>
      <c r="Y30" s="781">
        <v>6736.9996437083591</v>
      </c>
      <c r="Z30" s="731">
        <v>2.09216E-3</v>
      </c>
      <c r="AA30" s="249">
        <v>1.9888770853613332E-4</v>
      </c>
      <c r="AB30" s="249">
        <v>7.0281855947680301E-5</v>
      </c>
      <c r="AC30" s="249">
        <v>1.133889533814254E-3</v>
      </c>
      <c r="AD30" s="538"/>
      <c r="AG30" s="387"/>
      <c r="AH30" s="69" t="s">
        <v>568</v>
      </c>
      <c r="AI30" s="395">
        <f ca="1">f_SR*planetFlux*Acol*t_pl*signalQE</f>
        <v>5.7700323058123282E-3</v>
      </c>
      <c r="AJ30" s="71" t="s">
        <v>489</v>
      </c>
      <c r="AK30" s="158" t="s">
        <v>566</v>
      </c>
      <c r="AM30" s="64"/>
      <c r="AP30" s="229" t="s">
        <v>557</v>
      </c>
      <c r="AQ30" s="828">
        <f>AQ27+MissionLifeFraction*(AR27-AQ27)</f>
        <v>0</v>
      </c>
      <c r="AR30" s="828"/>
      <c r="AS30" s="230" t="s">
        <v>93</v>
      </c>
      <c r="AT30" s="231"/>
      <c r="BF30" s="67"/>
      <c r="BG30" s="1"/>
      <c r="BH30" s="1"/>
      <c r="BI30" s="1" t="s">
        <v>2</v>
      </c>
      <c r="BJ30" s="1">
        <v>1.3799999999999999E-34</v>
      </c>
      <c r="BK30" s="103" t="s">
        <v>1</v>
      </c>
      <c r="BL30" s="1" t="s">
        <v>0</v>
      </c>
      <c r="BM30" s="1"/>
      <c r="BN30" s="1"/>
      <c r="BO30" s="1"/>
      <c r="BP30" s="1"/>
      <c r="BQ30" s="64"/>
    </row>
    <row r="31" spans="1:69">
      <c r="C31" s="665" t="s">
        <v>745</v>
      </c>
      <c r="D31" s="645" t="s">
        <v>741</v>
      </c>
      <c r="E31" s="698">
        <v>0.1</v>
      </c>
      <c r="F31" s="218">
        <v>1</v>
      </c>
      <c r="G31" s="645">
        <v>0.3</v>
      </c>
      <c r="H31" s="666">
        <v>0.58514508983843505</v>
      </c>
      <c r="I31" s="269">
        <v>10</v>
      </c>
      <c r="J31" s="269"/>
      <c r="K31" s="269"/>
      <c r="L31" s="269"/>
      <c r="M31" s="269"/>
      <c r="N31" s="71"/>
      <c r="P31" s="494"/>
      <c r="Q31" s="782">
        <v>35</v>
      </c>
      <c r="R31" s="783" t="str">
        <v xml:space="preserve">Fid1: 47 UMa bc </v>
      </c>
      <c r="S31" s="784">
        <v>5</v>
      </c>
      <c r="T31" s="339">
        <v>208.33333333333326</v>
      </c>
      <c r="U31" s="784">
        <v>3.6269205310277783</v>
      </c>
      <c r="V31" s="785">
        <v>0.22</v>
      </c>
      <c r="W31" s="786">
        <v>9.3028054363694039</v>
      </c>
      <c r="X31" s="787">
        <v>0.9491788001369853</v>
      </c>
      <c r="Y31" s="788">
        <v>12.705299965753676</v>
      </c>
      <c r="Z31" s="789">
        <v>2.09216E-3</v>
      </c>
      <c r="AA31" s="790">
        <v>7.8890767206489572E-3</v>
      </c>
      <c r="AB31" s="790">
        <v>2.1850148306856261E-3</v>
      </c>
      <c r="AC31" s="790">
        <v>1.4251287373951605E-3</v>
      </c>
      <c r="AD31" s="538"/>
      <c r="AG31" s="387"/>
      <c r="AH31" s="36" t="s">
        <v>494</v>
      </c>
      <c r="AI31" s="343">
        <f ca="1">f_SR*starFlux*AI59*AI60*AQ20*t_speckle*Acol*QE</f>
        <v>1.8967938888534467E-3</v>
      </c>
      <c r="AJ31" s="71" t="s">
        <v>489</v>
      </c>
      <c r="AK31" s="158" t="s">
        <v>490</v>
      </c>
      <c r="AM31" s="64"/>
      <c r="AP31" s="229" t="s">
        <v>558</v>
      </c>
      <c r="AQ31" s="828">
        <f>AQ28+MissionLifeFraction*(AR28-AQ28)</f>
        <v>1.104E-4</v>
      </c>
      <c r="AR31" s="828"/>
      <c r="AS31" s="230" t="s">
        <v>99</v>
      </c>
      <c r="AT31" s="231"/>
      <c r="BF31" s="67"/>
      <c r="BG31" s="1"/>
      <c r="BH31" s="1"/>
      <c r="BI31" s="1"/>
      <c r="BJ31" s="1"/>
      <c r="BK31" s="103"/>
      <c r="BL31" s="1"/>
      <c r="BM31" s="1"/>
      <c r="BN31" s="1"/>
      <c r="BO31" s="1"/>
      <c r="BP31" s="1"/>
      <c r="BQ31" s="64"/>
    </row>
    <row r="32" spans="1:69">
      <c r="C32" s="667" t="s">
        <v>773</v>
      </c>
      <c r="D32" s="589" t="s">
        <v>770</v>
      </c>
      <c r="E32" s="698">
        <v>0.1</v>
      </c>
      <c r="F32" s="668">
        <v>0.5</v>
      </c>
      <c r="G32" s="589">
        <v>0.2</v>
      </c>
      <c r="H32" s="669">
        <v>0.54458878691384804</v>
      </c>
      <c r="I32" s="269"/>
      <c r="L32" s="269"/>
      <c r="M32" s="269"/>
      <c r="N32" s="71"/>
      <c r="P32" s="494"/>
      <c r="Q32" s="535"/>
      <c r="R32" s="536"/>
      <c r="S32" s="536"/>
      <c r="T32" s="537"/>
      <c r="U32" s="494"/>
      <c r="V32" s="537"/>
      <c r="W32" s="536"/>
      <c r="X32" s="536"/>
      <c r="Y32" s="536"/>
      <c r="Z32" s="536"/>
      <c r="AA32" s="536"/>
      <c r="AB32" s="536"/>
      <c r="AC32" s="536"/>
      <c r="AD32" s="538"/>
      <c r="AG32" s="387"/>
      <c r="AH32" s="36" t="s">
        <v>493</v>
      </c>
      <c r="AI32" s="343">
        <f ca="1">f_SR*SUM(AI55:AI56)</f>
        <v>1.5148562554011145E-3</v>
      </c>
      <c r="AJ32" s="71" t="s">
        <v>489</v>
      </c>
      <c r="AK32" s="158" t="s">
        <v>490</v>
      </c>
      <c r="AM32" s="64"/>
      <c r="AP32" s="229" t="s">
        <v>559</v>
      </c>
      <c r="AQ32" s="828">
        <f>AQ29+MissionLifeFraction*(AR29-AQ29)</f>
        <v>2.036E-3</v>
      </c>
      <c r="AR32" s="828"/>
      <c r="AS32" s="230" t="s">
        <v>93</v>
      </c>
      <c r="AT32" s="231"/>
      <c r="BF32" s="67"/>
      <c r="BG32" s="1"/>
      <c r="BH32" s="1"/>
      <c r="BI32" s="1"/>
      <c r="BJ32" s="1"/>
      <c r="BK32" s="103"/>
      <c r="BL32" s="1"/>
      <c r="BM32" s="1"/>
      <c r="BO32" s="1"/>
      <c r="BP32" s="1"/>
      <c r="BQ32" s="64"/>
    </row>
    <row r="33" spans="2:69">
      <c r="C33" s="667" t="s">
        <v>746</v>
      </c>
      <c r="D33" s="589" t="s">
        <v>734</v>
      </c>
      <c r="E33" s="699">
        <v>0.18</v>
      </c>
      <c r="F33" s="668">
        <v>0.5</v>
      </c>
      <c r="G33" s="589">
        <v>0.2</v>
      </c>
      <c r="H33" s="669">
        <v>0.54458878691384804</v>
      </c>
      <c r="I33" s="269"/>
      <c r="L33" s="269"/>
      <c r="M33" s="269"/>
      <c r="N33" s="71"/>
      <c r="P33" s="73"/>
      <c r="Q33" s="581"/>
      <c r="R33" s="235"/>
      <c r="S33" s="235"/>
      <c r="T33" s="239"/>
      <c r="U33" s="73"/>
      <c r="V33" s="239"/>
      <c r="W33" s="235"/>
      <c r="X33" s="235"/>
      <c r="Y33" s="235"/>
      <c r="Z33" s="235"/>
      <c r="AA33" s="235"/>
      <c r="AB33" s="235"/>
      <c r="AC33" s="235"/>
      <c r="AD33" s="65"/>
      <c r="AG33" s="387"/>
      <c r="AH33" s="69" t="s">
        <v>591</v>
      </c>
      <c r="AI33" s="382">
        <f ca="1">(pl_convertRate+zo_bkgRate+sp_bkgRate)/mpix</f>
        <v>6.9807611492883398E-4</v>
      </c>
      <c r="AJ33" s="71" t="s">
        <v>99</v>
      </c>
      <c r="AK33" s="158" t="s">
        <v>570</v>
      </c>
      <c r="AM33" s="64"/>
      <c r="AS33" s="71"/>
      <c r="AT33" s="245"/>
      <c r="BF33" s="67"/>
      <c r="BG33" s="1"/>
      <c r="BH33" s="34"/>
      <c r="BI33" s="59" t="s">
        <v>120</v>
      </c>
      <c r="BJ33" s="3"/>
      <c r="BK33" s="34"/>
      <c r="BL33" s="34"/>
      <c r="BM33" s="34"/>
      <c r="BN33" s="34"/>
      <c r="BO33" s="34"/>
      <c r="BP33" s="34"/>
      <c r="BQ33" s="64"/>
    </row>
    <row r="34" spans="2:69">
      <c r="C34" s="667" t="s">
        <v>775</v>
      </c>
      <c r="D34" s="589" t="s">
        <v>771</v>
      </c>
      <c r="E34" s="698">
        <v>0.1</v>
      </c>
      <c r="F34" s="668">
        <v>0.5</v>
      </c>
      <c r="G34" s="589">
        <v>0.2</v>
      </c>
      <c r="H34" s="669">
        <v>0.54458878691384804</v>
      </c>
      <c r="I34" s="269"/>
      <c r="L34" s="269"/>
      <c r="M34" s="269"/>
      <c r="N34" s="71"/>
      <c r="P34" s="494"/>
      <c r="Q34" s="494"/>
      <c r="R34" s="494"/>
      <c r="S34" s="494"/>
      <c r="T34" s="494"/>
      <c r="U34" s="494"/>
      <c r="V34" s="494"/>
      <c r="W34" s="494"/>
      <c r="X34" s="494"/>
      <c r="Y34" s="494"/>
      <c r="Z34" s="494"/>
      <c r="AA34" s="494"/>
      <c r="AB34" s="494"/>
      <c r="AC34" s="494"/>
      <c r="AD34" s="494"/>
      <c r="AG34" s="387"/>
      <c r="AH34" s="69" t="s">
        <v>569</v>
      </c>
      <c r="AI34" s="382">
        <f ca="1">darkCurrent+(pl_convertRate+zo_bkgRate+sp_bkgRate)/mpix</f>
        <v>8.0847611492883395E-4</v>
      </c>
      <c r="AJ34" s="71" t="s">
        <v>99</v>
      </c>
      <c r="AK34" s="158" t="s">
        <v>560</v>
      </c>
      <c r="AM34" s="64"/>
      <c r="AO34" s="129"/>
      <c r="AP34" s="232" t="s">
        <v>416</v>
      </c>
      <c r="AQ34" s="824">
        <f>VLOOKUP(lambda/nm,QEcurves,CCDQEno)</f>
        <v>0.87899801391101573</v>
      </c>
      <c r="AR34" s="825"/>
      <c r="AS34" s="230">
        <f>lambda/nm</f>
        <v>660</v>
      </c>
      <c r="AT34" s="231" t="s">
        <v>511</v>
      </c>
      <c r="BF34" s="67"/>
      <c r="BI34" s="101" t="s">
        <v>121</v>
      </c>
      <c r="BJ34" s="36">
        <v>4.83</v>
      </c>
      <c r="BK34" s="103" t="s">
        <v>146</v>
      </c>
      <c r="BL34" s="1" t="s">
        <v>145</v>
      </c>
      <c r="BP34" s="1"/>
      <c r="BQ34" s="64"/>
    </row>
    <row r="35" spans="2:69">
      <c r="C35" s="667" t="s">
        <v>747</v>
      </c>
      <c r="D35" s="589" t="s">
        <v>735</v>
      </c>
      <c r="E35" s="699">
        <v>0.18</v>
      </c>
      <c r="F35" s="668">
        <v>0.5</v>
      </c>
      <c r="G35" s="589">
        <v>0.2</v>
      </c>
      <c r="H35" s="669">
        <v>0.54458878691384804</v>
      </c>
      <c r="I35" s="269"/>
      <c r="L35" s="269"/>
      <c r="M35" s="269"/>
      <c r="N35" s="71"/>
      <c r="P35" s="494"/>
      <c r="Q35" s="494"/>
      <c r="R35" s="494" t="s">
        <v>610</v>
      </c>
      <c r="S35" s="494"/>
      <c r="T35" s="494"/>
      <c r="U35" s="494"/>
      <c r="V35" s="494"/>
      <c r="W35" s="494"/>
      <c r="X35" s="494"/>
      <c r="Y35" s="494"/>
      <c r="Z35" s="494"/>
      <c r="AA35" s="494"/>
      <c r="AB35" s="494"/>
      <c r="AC35" s="494"/>
      <c r="AD35" s="494"/>
      <c r="AG35" s="387"/>
      <c r="AH35" s="69" t="s">
        <v>592</v>
      </c>
      <c r="AI35" s="394">
        <f ca="1">frameTime*AI33</f>
        <v>6.9807611492883392E-2</v>
      </c>
      <c r="AJ35" s="71" t="s">
        <v>93</v>
      </c>
      <c r="AK35" s="158" t="s">
        <v>561</v>
      </c>
      <c r="AM35" s="64"/>
      <c r="AO35" s="129"/>
      <c r="AP35" s="232" t="s">
        <v>417</v>
      </c>
      <c r="AQ35" s="822">
        <v>0.8</v>
      </c>
      <c r="AR35" s="823"/>
      <c r="AS35" s="230"/>
      <c r="AT35" s="231"/>
      <c r="BF35" s="67"/>
      <c r="BI35" s="101" t="s">
        <v>125</v>
      </c>
      <c r="BJ35" s="100">
        <v>6371000</v>
      </c>
      <c r="BK35" s="103" t="s">
        <v>129</v>
      </c>
      <c r="BP35" s="1"/>
      <c r="BQ35" s="64"/>
    </row>
    <row r="36" spans="2:69">
      <c r="C36" s="665" t="s">
        <v>748</v>
      </c>
      <c r="D36" s="645" t="s">
        <v>738</v>
      </c>
      <c r="E36" s="698">
        <v>0.1</v>
      </c>
      <c r="F36" s="218">
        <v>1</v>
      </c>
      <c r="G36" s="645">
        <v>0.3</v>
      </c>
      <c r="H36" s="666">
        <v>0.58514508983843505</v>
      </c>
      <c r="I36" s="269"/>
      <c r="J36" s="726"/>
      <c r="K36" s="727"/>
      <c r="L36" s="269"/>
      <c r="M36" s="269"/>
      <c r="N36" s="71"/>
      <c r="P36" s="494"/>
      <c r="Q36" s="494"/>
      <c r="R36" s="495" t="str">
        <f>H3</f>
        <v>MT IWA</v>
      </c>
      <c r="S36" s="496" t="s">
        <v>613</v>
      </c>
      <c r="T36" s="494"/>
      <c r="U36" s="494"/>
      <c r="V36" s="494"/>
      <c r="W36" s="494"/>
      <c r="X36" s="494"/>
      <c r="Y36" s="494"/>
      <c r="Z36" s="494"/>
      <c r="AA36" s="494"/>
      <c r="AB36" s="494"/>
      <c r="AC36" s="494"/>
      <c r="AD36" s="494"/>
      <c r="AI36" s="384">
        <f ca="1">AI34*3600</f>
        <v>2.9105140137438021</v>
      </c>
      <c r="AJ36" s="102">
        <f ca="1">pl_convertRate/mpix</f>
        <v>4.8484798091292391E-4</v>
      </c>
      <c r="AK36" s="158">
        <f>mpix</f>
        <v>16</v>
      </c>
      <c r="AM36" s="64"/>
      <c r="AO36" s="129"/>
      <c r="AP36" s="232" t="s">
        <v>562</v>
      </c>
      <c r="AQ36" s="826">
        <f ca="1">MIN(1,1+MissionLifeFraction*0.51296*(LOG10(AI35)+0.0147233))</f>
        <v>0.92974249999516123</v>
      </c>
      <c r="AR36" s="827"/>
      <c r="AS36" s="230" t="s">
        <v>563</v>
      </c>
      <c r="AT36" s="231" t="s">
        <v>564</v>
      </c>
      <c r="BF36" s="67"/>
      <c r="BG36" s="1"/>
      <c r="BH36" s="1"/>
      <c r="BI36" s="101" t="s">
        <v>126</v>
      </c>
      <c r="BJ36" s="100">
        <v>69911000</v>
      </c>
      <c r="BK36" s="103" t="s">
        <v>27</v>
      </c>
      <c r="BL36" s="1"/>
      <c r="BM36" s="1"/>
      <c r="BN36" s="1"/>
      <c r="BO36" s="1"/>
      <c r="BP36" s="1"/>
      <c r="BQ36" s="64"/>
    </row>
    <row r="37" spans="2:69">
      <c r="C37" s="665" t="s">
        <v>749</v>
      </c>
      <c r="D37" s="645" t="s">
        <v>739</v>
      </c>
      <c r="E37" s="698">
        <v>0.1</v>
      </c>
      <c r="F37" s="218">
        <v>1</v>
      </c>
      <c r="G37" s="645">
        <v>0.3</v>
      </c>
      <c r="H37" s="666">
        <v>0.58514508983843505</v>
      </c>
      <c r="I37" s="269"/>
      <c r="J37" s="726"/>
      <c r="K37" s="727"/>
      <c r="L37" s="269"/>
      <c r="M37" s="269"/>
      <c r="N37" s="71"/>
      <c r="P37" s="494"/>
      <c r="Q37" s="494"/>
      <c r="R37" s="497" t="str">
        <f>ScenarioSelected</f>
        <v>IFS1 Goal 2.5</v>
      </c>
      <c r="S37" s="498" t="s">
        <v>611</v>
      </c>
      <c r="T37" s="499"/>
      <c r="U37" s="494"/>
      <c r="V37" s="494"/>
      <c r="W37" s="494"/>
      <c r="X37" s="494"/>
      <c r="Y37" s="494"/>
      <c r="Z37" s="494"/>
      <c r="AA37" s="494"/>
      <c r="AB37" s="494"/>
      <c r="AC37" s="494"/>
      <c r="AD37" s="494"/>
      <c r="AG37" s="387" t="s">
        <v>414</v>
      </c>
      <c r="AI37" s="67"/>
      <c r="AJ37" s="102">
        <f>mpix</f>
        <v>16</v>
      </c>
      <c r="AM37" s="64"/>
      <c r="AO37" s="77"/>
      <c r="AP37" s="229" t="s">
        <v>536</v>
      </c>
      <c r="AQ37" s="821">
        <f ca="1">PRODUCT(AQ34:AR36)</f>
        <v>0.65379344875552747</v>
      </c>
      <c r="AR37" s="821"/>
      <c r="AS37" s="385"/>
      <c r="AT37" s="231" t="s">
        <v>537</v>
      </c>
      <c r="BF37" s="67"/>
      <c r="BG37" s="1"/>
      <c r="BH37" s="1"/>
      <c r="BI37" s="101" t="s">
        <v>12</v>
      </c>
      <c r="BJ37" s="100">
        <v>149590000000</v>
      </c>
      <c r="BK37" s="103" t="s">
        <v>27</v>
      </c>
      <c r="BL37" s="1"/>
      <c r="BM37" s="1"/>
      <c r="BN37" s="1"/>
      <c r="BO37" s="1"/>
      <c r="BP37" s="1"/>
      <c r="BQ37" s="64"/>
    </row>
    <row r="38" spans="2:69">
      <c r="C38" s="667" t="s">
        <v>772</v>
      </c>
      <c r="D38" s="589" t="s">
        <v>765</v>
      </c>
      <c r="E38" s="698">
        <v>0.1</v>
      </c>
      <c r="F38" s="668">
        <v>0.5</v>
      </c>
      <c r="G38" s="589">
        <v>0.2</v>
      </c>
      <c r="H38" s="669">
        <v>0.54458878691384804</v>
      </c>
      <c r="I38" s="269"/>
      <c r="J38" s="726"/>
      <c r="K38" s="727"/>
      <c r="L38" s="269"/>
      <c r="M38" s="269"/>
      <c r="N38" s="71"/>
      <c r="P38" s="494"/>
      <c r="Q38" s="494"/>
      <c r="R38" s="500" t="s">
        <v>605</v>
      </c>
      <c r="S38" s="519">
        <f ca="1">timeToSNR</f>
        <v>12.40498659946118</v>
      </c>
      <c r="T38" s="518" t="s">
        <v>491</v>
      </c>
      <c r="U38" s="494"/>
      <c r="V38" s="494"/>
      <c r="W38" s="494"/>
      <c r="X38" s="494"/>
      <c r="Y38" s="494"/>
      <c r="Z38" s="494"/>
      <c r="AA38" s="494"/>
      <c r="AB38" s="494"/>
      <c r="AC38" s="494"/>
      <c r="AD38" s="494"/>
      <c r="AG38" s="387"/>
      <c r="AH38" s="36" t="s">
        <v>787</v>
      </c>
      <c r="AI38" s="106">
        <f>AI12*(AI13*R_jupiter/(AI11*AU))^2</f>
        <v>8.2747421923692111E-9</v>
      </c>
      <c r="AM38" s="64"/>
      <c r="AO38" s="129"/>
      <c r="AS38" s="71"/>
      <c r="AT38" s="245"/>
      <c r="BF38" s="67"/>
      <c r="BG38" s="1"/>
      <c r="BH38" s="1"/>
      <c r="BI38" s="101" t="s">
        <v>122</v>
      </c>
      <c r="BJ38" s="100">
        <v>3.0855152366503144E+16</v>
      </c>
      <c r="BK38" s="103" t="s">
        <v>27</v>
      </c>
      <c r="BL38" s="1"/>
      <c r="BM38" s="1"/>
      <c r="BN38" s="1"/>
      <c r="BO38" s="1"/>
      <c r="BP38" s="1"/>
      <c r="BQ38" s="64"/>
    </row>
    <row r="39" spans="2:69">
      <c r="C39" s="667" t="s">
        <v>742</v>
      </c>
      <c r="D39" s="589" t="s">
        <v>736</v>
      </c>
      <c r="E39" s="699">
        <v>0.18</v>
      </c>
      <c r="F39" s="668">
        <v>0.5</v>
      </c>
      <c r="G39" s="589">
        <v>0.2</v>
      </c>
      <c r="H39" s="669">
        <v>0.54458878691384804</v>
      </c>
      <c r="I39" s="269"/>
      <c r="J39" s="726"/>
      <c r="K39" s="727"/>
      <c r="L39" s="269"/>
      <c r="M39" s="269"/>
      <c r="N39" s="71"/>
      <c r="P39" s="494"/>
      <c r="Q39" s="494"/>
      <c r="R39" s="500"/>
      <c r="S39" s="580">
        <f>mpix</f>
        <v>16</v>
      </c>
      <c r="T39" s="501" t="s">
        <v>612</v>
      </c>
      <c r="U39" s="494"/>
      <c r="V39" s="494"/>
      <c r="W39" s="494"/>
      <c r="X39" s="494"/>
      <c r="Y39" s="494"/>
      <c r="Z39" s="494"/>
      <c r="AA39" s="494"/>
      <c r="AB39" s="494"/>
      <c r="AC39" s="494"/>
      <c r="AD39" s="494"/>
      <c r="AG39" s="387"/>
      <c r="AH39" s="69" t="s">
        <v>496</v>
      </c>
      <c r="AI39" s="72">
        <f>((AI11*AU)/(AI9*pc))/(lambda/D_PM)</f>
        <v>4.0000000000000009</v>
      </c>
      <c r="AJ39" s="71"/>
      <c r="AK39" s="158" t="s">
        <v>134</v>
      </c>
      <c r="AO39" s="77"/>
      <c r="AP39" s="69"/>
      <c r="AQ39" s="69"/>
      <c r="AR39" s="71"/>
      <c r="BF39" s="67"/>
      <c r="BI39" s="101" t="s">
        <v>127</v>
      </c>
      <c r="BJ39" s="102">
        <v>1392000000</v>
      </c>
      <c r="BK39" s="103" t="s">
        <v>27</v>
      </c>
    </row>
    <row r="40" spans="2:69">
      <c r="C40" s="667" t="s">
        <v>774</v>
      </c>
      <c r="D40" s="589" t="s">
        <v>768</v>
      </c>
      <c r="E40" s="698">
        <v>0.1</v>
      </c>
      <c r="F40" s="668">
        <v>0.5</v>
      </c>
      <c r="G40" s="589">
        <v>0.2</v>
      </c>
      <c r="H40" s="669">
        <v>0.54458878691384804</v>
      </c>
      <c r="I40" s="269"/>
      <c r="J40" s="726"/>
      <c r="K40" s="727"/>
      <c r="L40" s="269"/>
      <c r="M40" s="269"/>
      <c r="N40" s="71"/>
      <c r="P40" s="494"/>
      <c r="Q40" s="494"/>
      <c r="R40" s="503" t="s">
        <v>606</v>
      </c>
      <c r="S40" s="504">
        <f ca="1">S41/S42</f>
        <v>10</v>
      </c>
      <c r="T40" s="505"/>
      <c r="U40" s="494"/>
      <c r="V40" s="494"/>
      <c r="W40" s="494"/>
      <c r="X40" s="494"/>
      <c r="Y40" s="494"/>
      <c r="Z40" s="494"/>
      <c r="AA40" s="494"/>
      <c r="AB40" s="494"/>
      <c r="AC40" s="494"/>
      <c r="AD40" s="494"/>
      <c r="AG40" s="387"/>
      <c r="AH40" s="69" t="s">
        <v>499</v>
      </c>
      <c r="AI40" s="349">
        <f ca="1">IF(AI39&lt;AI42,AI39,AI41+0.8*(AI42-AI41))</f>
        <v>4.0000000000000009</v>
      </c>
      <c r="AJ40" s="71" t="s">
        <v>133</v>
      </c>
      <c r="AK40" s="158" t="s">
        <v>501</v>
      </c>
      <c r="AO40" s="129"/>
      <c r="AP40" s="130" t="s">
        <v>444</v>
      </c>
      <c r="AQ40" s="131" t="s">
        <v>437</v>
      </c>
      <c r="AR40" s="131" t="s">
        <v>433</v>
      </c>
      <c r="AS40" s="132" t="s">
        <v>447</v>
      </c>
      <c r="AT40" s="133" t="s">
        <v>53</v>
      </c>
      <c r="BF40" s="67"/>
      <c r="BI40" s="101"/>
      <c r="BK40" s="103"/>
    </row>
    <row r="41" spans="2:69">
      <c r="C41" s="667" t="s">
        <v>743</v>
      </c>
      <c r="D41" s="589" t="s">
        <v>737</v>
      </c>
      <c r="E41" s="699">
        <v>0.18</v>
      </c>
      <c r="F41" s="668">
        <v>0.5</v>
      </c>
      <c r="G41" s="589">
        <v>0.2</v>
      </c>
      <c r="H41" s="669">
        <v>0.54458878691384804</v>
      </c>
      <c r="I41" s="269"/>
      <c r="J41" s="726"/>
      <c r="K41" s="269"/>
      <c r="L41" s="269"/>
      <c r="M41" s="269"/>
      <c r="N41" s="71"/>
      <c r="P41" s="494"/>
      <c r="Q41" s="494"/>
      <c r="R41" s="506" t="s">
        <v>602</v>
      </c>
      <c r="S41" s="507">
        <f ca="1">pl_signalRate*timeToSNR*3600</f>
        <v>257.67782435541608</v>
      </c>
      <c r="T41" s="508" t="s">
        <v>603</v>
      </c>
      <c r="U41" s="494"/>
      <c r="V41" s="494"/>
      <c r="W41" s="494"/>
      <c r="X41" s="494"/>
      <c r="Y41" s="494"/>
      <c r="Z41" s="494"/>
      <c r="AA41" s="494"/>
      <c r="AB41" s="494"/>
      <c r="AC41" s="494"/>
      <c r="AD41" s="494"/>
      <c r="AG41" s="387"/>
      <c r="AH41" s="69" t="s">
        <v>497</v>
      </c>
      <c r="AI41" s="72">
        <f ca="1">AQ15</f>
        <v>3</v>
      </c>
      <c r="AJ41" s="71"/>
      <c r="AO41" s="129"/>
      <c r="AP41" s="248" t="s">
        <v>442</v>
      </c>
      <c r="AQ41" s="251">
        <f>IFERROR(1/(AI17*AI19),-1)</f>
        <v>0.1111111111111111</v>
      </c>
      <c r="AR41" s="252">
        <v>1</v>
      </c>
      <c r="AS41" s="230" t="s">
        <v>445</v>
      </c>
      <c r="AT41" s="247" t="s">
        <v>446</v>
      </c>
      <c r="BF41" s="67"/>
      <c r="BI41" s="101" t="s">
        <v>128</v>
      </c>
      <c r="BJ41" s="102">
        <f>PI()/180/3600</f>
        <v>4.8481368110953598E-6</v>
      </c>
      <c r="BK41" s="103" t="s">
        <v>67</v>
      </c>
    </row>
    <row r="42" spans="2:69">
      <c r="C42" s="129">
        <v>1</v>
      </c>
      <c r="D42" s="129">
        <v>2</v>
      </c>
      <c r="E42" s="129">
        <v>3</v>
      </c>
      <c r="F42" s="129">
        <v>4</v>
      </c>
      <c r="G42" s="129">
        <v>5</v>
      </c>
      <c r="H42" s="129">
        <v>6</v>
      </c>
      <c r="I42" s="269"/>
      <c r="J42" s="269"/>
      <c r="K42" s="269"/>
      <c r="L42" s="269"/>
      <c r="M42" s="269"/>
      <c r="N42" s="71"/>
      <c r="P42" s="494"/>
      <c r="Q42" s="494"/>
      <c r="R42" s="509" t="s">
        <v>609</v>
      </c>
      <c r="S42" s="510">
        <f ca="1">SQRT(SUMSQ(S43:S45))</f>
        <v>25.767782435541609</v>
      </c>
      <c r="T42" s="511" t="s">
        <v>603</v>
      </c>
      <c r="U42" s="494"/>
      <c r="V42" s="494"/>
      <c r="W42" s="494"/>
      <c r="X42" s="494"/>
      <c r="Y42" s="494"/>
      <c r="Z42" s="494"/>
      <c r="AA42" s="494"/>
      <c r="AB42" s="494"/>
      <c r="AC42" s="494"/>
      <c r="AD42" s="494"/>
      <c r="AG42" s="387"/>
      <c r="AH42" s="69" t="s">
        <v>498</v>
      </c>
      <c r="AI42" s="72">
        <f ca="1">AQ16</f>
        <v>8</v>
      </c>
      <c r="AJ42" s="71"/>
      <c r="AO42" s="129"/>
      <c r="AP42" s="248" t="s">
        <v>443</v>
      </c>
      <c r="AQ42" s="252">
        <f>(AI68*lambda/AQ43)^2*AI70*AI69</f>
        <v>16</v>
      </c>
      <c r="AR42" s="253">
        <f>PI()/4/(AR44^2)</f>
        <v>6.7579148637220445</v>
      </c>
      <c r="AS42" s="230" t="s">
        <v>95</v>
      </c>
      <c r="AT42" s="247" t="s">
        <v>448</v>
      </c>
      <c r="BF42" s="67"/>
      <c r="BI42" s="101" t="s">
        <v>17</v>
      </c>
      <c r="BJ42" s="102">
        <f>arcsec/1000</f>
        <v>4.8481368110953602E-9</v>
      </c>
      <c r="BK42" s="103" t="s">
        <v>67</v>
      </c>
    </row>
    <row r="43" spans="2:69" ht="15.75">
      <c r="C43" s="269"/>
      <c r="D43" s="269"/>
      <c r="E43" s="269"/>
      <c r="F43" s="269"/>
      <c r="G43" s="269"/>
      <c r="H43" s="269"/>
      <c r="I43" s="269"/>
      <c r="J43" s="269"/>
      <c r="K43" s="269"/>
      <c r="L43" s="269"/>
      <c r="M43" s="269"/>
      <c r="N43" s="71"/>
      <c r="P43" s="494"/>
      <c r="Q43" s="494"/>
      <c r="R43" s="512" t="s">
        <v>604</v>
      </c>
      <c r="S43" s="513">
        <f ca="1">SQRT(ENF^2*(pl_convertRate+sp_bkgRate+zo_bkgRate)*timeToSNR*3600)</f>
        <v>22.333705277520249</v>
      </c>
      <c r="T43" s="514" t="s">
        <v>603</v>
      </c>
      <c r="U43" s="494"/>
      <c r="V43" s="494"/>
      <c r="W43" s="494"/>
      <c r="X43" s="494"/>
      <c r="Y43" s="494"/>
      <c r="Z43" s="494"/>
      <c r="AA43" s="494"/>
      <c r="AB43" s="494"/>
      <c r="AC43" s="494"/>
      <c r="AD43" s="494"/>
      <c r="AG43" s="387"/>
      <c r="AH43" s="36" t="s">
        <v>500</v>
      </c>
      <c r="AI43" s="346">
        <f>lambda/D_PM/mas</f>
        <v>57.440832119444543</v>
      </c>
      <c r="AJ43" s="71" t="s">
        <v>17</v>
      </c>
      <c r="AO43" s="129"/>
      <c r="AP43" s="246" t="s">
        <v>449</v>
      </c>
      <c r="AQ43" s="249">
        <v>6.6000000000000003E-7</v>
      </c>
      <c r="AR43" s="249">
        <v>4.4999999999999998E-7</v>
      </c>
      <c r="AS43" s="230" t="s">
        <v>27</v>
      </c>
      <c r="AT43" s="247" t="s">
        <v>119</v>
      </c>
      <c r="BF43" s="67"/>
      <c r="BI43" s="101"/>
      <c r="BJ43" s="102"/>
      <c r="BK43" s="103"/>
    </row>
    <row r="44" spans="2:69">
      <c r="K44" s="71"/>
      <c r="P44" s="494"/>
      <c r="Q44" s="494"/>
      <c r="R44" s="512" t="s">
        <v>607</v>
      </c>
      <c r="S44" s="513">
        <f ca="1">SQRT((darkNoiseRate+CICnoiseRate+readNoiseRate)*timeToSNR*3600)</f>
        <v>9.6660012595769587</v>
      </c>
      <c r="T44" s="514" t="s">
        <v>603</v>
      </c>
      <c r="U44" s="494"/>
      <c r="V44" s="494"/>
      <c r="W44" s="494"/>
      <c r="X44" s="494"/>
      <c r="Y44" s="494"/>
      <c r="Z44" s="494"/>
      <c r="AA44" s="494"/>
      <c r="AB44" s="494"/>
      <c r="AC44" s="494"/>
      <c r="AD44" s="494"/>
      <c r="AG44" s="387"/>
      <c r="AH44" s="69" t="s">
        <v>218</v>
      </c>
      <c r="AI44" s="76">
        <f>10^(VLOOKUP(lambda/um,fluxTable,7))*(lambda*AI19/um)/AI63</f>
        <v>15472852452.166008</v>
      </c>
      <c r="AJ44" s="71" t="s">
        <v>3</v>
      </c>
      <c r="AK44" s="158" t="s">
        <v>217</v>
      </c>
      <c r="AO44" s="129"/>
      <c r="AP44" s="248" t="s">
        <v>451</v>
      </c>
      <c r="AQ44" s="254">
        <f>1/(2*(AI18/(AQ43)))</f>
        <v>0.5</v>
      </c>
      <c r="AR44" s="254">
        <f>1/(2*(AI18/(AR43)))</f>
        <v>0.34090909090909088</v>
      </c>
      <c r="AS44" s="250" t="s">
        <v>450</v>
      </c>
      <c r="AT44" s="247"/>
      <c r="BF44" s="67"/>
      <c r="BI44" s="101" t="s">
        <v>213</v>
      </c>
      <c r="BJ44" s="102">
        <v>9.9999999999999995E-7</v>
      </c>
      <c r="BK44" s="103" t="s">
        <v>27</v>
      </c>
    </row>
    <row r="45" spans="2:69">
      <c r="B45" s="311" t="s">
        <v>100</v>
      </c>
      <c r="C45" s="312"/>
      <c r="D45" s="313" t="s">
        <v>89</v>
      </c>
      <c r="E45" s="314" t="s">
        <v>90</v>
      </c>
      <c r="F45" s="315" t="s">
        <v>91</v>
      </c>
      <c r="G45" s="314" t="s">
        <v>90</v>
      </c>
      <c r="H45" s="313" t="s">
        <v>105</v>
      </c>
      <c r="I45" s="316" t="s">
        <v>91</v>
      </c>
      <c r="J45" s="314" t="s">
        <v>54</v>
      </c>
      <c r="K45" s="317" t="s">
        <v>53</v>
      </c>
      <c r="L45" s="318"/>
      <c r="P45" s="494"/>
      <c r="Q45" s="494"/>
      <c r="R45" s="515" t="s">
        <v>608</v>
      </c>
      <c r="S45" s="516">
        <f ca="1">(f_pp*sp_bkgRate)*timeToSNR*3600</f>
        <v>8.4706929983400716</v>
      </c>
      <c r="T45" s="517" t="s">
        <v>603</v>
      </c>
      <c r="U45" s="494"/>
      <c r="V45" s="494"/>
      <c r="W45" s="494"/>
      <c r="X45" s="494"/>
      <c r="Y45" s="494"/>
      <c r="Z45" s="494"/>
      <c r="AA45" s="494"/>
      <c r="AB45" s="494"/>
      <c r="AC45" s="494"/>
      <c r="AD45" s="494"/>
      <c r="AG45" s="387"/>
      <c r="AH45" s="69" t="s">
        <v>4</v>
      </c>
      <c r="AI45" s="76">
        <f>AI44*10^(-0.4*AI10)</f>
        <v>154728524.52166009</v>
      </c>
      <c r="AJ45" s="71" t="s">
        <v>3</v>
      </c>
      <c r="AK45" s="158" t="s">
        <v>118</v>
      </c>
      <c r="AO45" s="129"/>
      <c r="AS45" s="71"/>
      <c r="AT45" s="245"/>
      <c r="BF45" s="67"/>
      <c r="BI45" s="101" t="s">
        <v>230</v>
      </c>
      <c r="BJ45" s="102">
        <v>1.0000000000000001E-9</v>
      </c>
      <c r="BK45" s="103" t="s">
        <v>27</v>
      </c>
    </row>
    <row r="46" spans="2:69">
      <c r="B46" s="319"/>
      <c r="C46" s="347" t="s">
        <v>485</v>
      </c>
      <c r="D46" s="348">
        <f ca="1">1-(D48/D9)</f>
        <v>0.90961396989149368</v>
      </c>
      <c r="E46" s="71"/>
      <c r="F46" s="275"/>
      <c r="G46" s="71"/>
      <c r="H46" s="271"/>
      <c r="I46" s="320"/>
      <c r="J46" s="71"/>
      <c r="K46" s="280"/>
      <c r="L46" s="321"/>
      <c r="P46" s="494"/>
      <c r="Q46" s="494"/>
      <c r="R46" s="494"/>
      <c r="S46" s="494"/>
      <c r="T46" s="494"/>
      <c r="U46" s="494"/>
      <c r="V46" s="494"/>
      <c r="W46" s="494"/>
      <c r="X46" s="494"/>
      <c r="Y46" s="494"/>
      <c r="Z46" s="494"/>
      <c r="AA46" s="494"/>
      <c r="AB46" s="494"/>
      <c r="AC46" s="494"/>
      <c r="AD46" s="494"/>
      <c r="AG46" s="387"/>
      <c r="AH46" s="36" t="s">
        <v>135</v>
      </c>
      <c r="AI46" s="345">
        <f>AI38*AI45</f>
        <v>1.2803386502224148</v>
      </c>
      <c r="AJ46" s="71" t="s">
        <v>3</v>
      </c>
      <c r="AK46" s="158" t="s">
        <v>136</v>
      </c>
      <c r="AS46" s="71"/>
      <c r="AT46" s="245"/>
      <c r="BF46" s="67"/>
      <c r="BI46" s="101"/>
      <c r="BJ46" s="102"/>
      <c r="BK46" s="103"/>
    </row>
    <row r="47" spans="2:69">
      <c r="B47" s="319"/>
      <c r="C47" s="244"/>
      <c r="D47" s="278"/>
      <c r="E47" s="71"/>
      <c r="F47" s="275"/>
      <c r="G47" s="71"/>
      <c r="H47" s="271"/>
      <c r="I47" s="322"/>
      <c r="J47" s="71"/>
      <c r="K47" s="281"/>
      <c r="L47" s="321"/>
      <c r="P47" s="494"/>
      <c r="Q47" s="494"/>
      <c r="R47" s="494"/>
      <c r="S47" s="494"/>
      <c r="T47" s="494"/>
      <c r="U47" s="494"/>
      <c r="V47" s="494"/>
      <c r="W47" s="494"/>
      <c r="X47" s="494"/>
      <c r="Y47" s="494"/>
      <c r="Z47" s="494"/>
      <c r="AA47" s="494"/>
      <c r="AD47" s="494"/>
      <c r="AG47" s="387"/>
      <c r="AH47" s="69" t="s">
        <v>223</v>
      </c>
      <c r="AI47" s="72">
        <f>AI10-5*LOG10(AI9/10)</f>
        <v>5</v>
      </c>
      <c r="AJ47" s="71"/>
      <c r="AK47" s="158" t="s">
        <v>224</v>
      </c>
      <c r="AS47" s="71"/>
      <c r="AT47" s="245"/>
      <c r="BF47" s="67"/>
      <c r="BI47" s="101"/>
      <c r="BJ47" s="102"/>
      <c r="BK47" s="103"/>
    </row>
    <row r="48" spans="2:69">
      <c r="B48" s="323" t="s">
        <v>62</v>
      </c>
      <c r="C48" s="324"/>
      <c r="D48" s="270">
        <f ca="1">SQRT(SUMSQ(D49:D51))</f>
        <v>6.9143668785242474E-2</v>
      </c>
      <c r="E48" s="75" t="s">
        <v>21</v>
      </c>
      <c r="F48" s="274">
        <f ca="1">SQRT(SUMSQ(F49:F51))</f>
        <v>6.9143668785242474E-2</v>
      </c>
      <c r="G48" s="75" t="s">
        <v>21</v>
      </c>
      <c r="H48" s="272"/>
      <c r="I48" s="320"/>
      <c r="J48" s="244"/>
      <c r="K48" s="291">
        <f>MissionLifeFraction</f>
        <v>0.12</v>
      </c>
      <c r="L48" s="325" t="s">
        <v>427</v>
      </c>
      <c r="P48" s="494"/>
      <c r="Q48" s="494"/>
      <c r="R48" s="494"/>
      <c r="S48" s="494"/>
      <c r="T48" s="494"/>
      <c r="U48" s="494"/>
      <c r="V48" s="494"/>
      <c r="W48" s="494"/>
      <c r="X48" s="494"/>
      <c r="Y48" s="568" t="s">
        <v>781</v>
      </c>
      <c r="Z48" s="494"/>
      <c r="AA48" s="567" t="str">
        <f>H3</f>
        <v>MT IWA</v>
      </c>
      <c r="AB48" s="729" t="s">
        <v>780</v>
      </c>
      <c r="AC48" s="564">
        <v>5</v>
      </c>
      <c r="AD48" s="494"/>
      <c r="AG48" s="387"/>
      <c r="AH48" s="69" t="s">
        <v>139</v>
      </c>
      <c r="AI48" s="72">
        <f>R_sun/(AI9*pc)/mas</f>
        <v>0.93054348552710742</v>
      </c>
      <c r="AJ48" s="71" t="s">
        <v>17</v>
      </c>
      <c r="AK48" s="158" t="s">
        <v>130</v>
      </c>
      <c r="AS48" s="71"/>
      <c r="AT48" s="245"/>
      <c r="BD48"/>
      <c r="BF48" s="67"/>
      <c r="BI48" s="101"/>
      <c r="BJ48" s="102"/>
      <c r="BK48" s="103"/>
    </row>
    <row r="49" spans="1:63">
      <c r="B49" s="319"/>
      <c r="C49" s="244" t="s">
        <v>60</v>
      </c>
      <c r="D49" s="277">
        <f ca="1">F49</f>
        <v>0</v>
      </c>
      <c r="E49" s="71" t="s">
        <v>21</v>
      </c>
      <c r="F49" s="276">
        <f ca="1">Kappa*SQRT(integTime*(mpix/frameTime)*I49^2)</f>
        <v>0</v>
      </c>
      <c r="G49" s="71" t="s">
        <v>21</v>
      </c>
      <c r="H49" s="273">
        <v>1E-3</v>
      </c>
      <c r="I49" s="322">
        <f>AQ30</f>
        <v>0</v>
      </c>
      <c r="J49" s="71" t="s">
        <v>93</v>
      </c>
      <c r="K49" s="280" t="s">
        <v>470</v>
      </c>
      <c r="L49" s="321"/>
      <c r="P49" s="494"/>
      <c r="Q49" s="494"/>
      <c r="R49" s="494"/>
      <c r="S49" s="494"/>
      <c r="T49" s="494"/>
      <c r="U49" s="494" t="s">
        <v>674</v>
      </c>
      <c r="V49" s="494"/>
      <c r="W49" s="494"/>
      <c r="X49" s="494"/>
      <c r="Y49" s="568" t="s">
        <v>782</v>
      </c>
      <c r="Z49" s="730">
        <v>37</v>
      </c>
      <c r="AA49" s="494"/>
      <c r="AB49" s="729" t="s">
        <v>893</v>
      </c>
      <c r="AC49" s="564">
        <v>4</v>
      </c>
      <c r="AD49" s="494"/>
      <c r="AG49" s="387"/>
      <c r="AH49" s="69" t="s">
        <v>455</v>
      </c>
      <c r="AI49" s="91">
        <f ca="1">planetWA*lam_over_D</f>
        <v>229.76332847777823</v>
      </c>
      <c r="AJ49" s="71" t="s">
        <v>17</v>
      </c>
      <c r="AK49" s="158" t="s">
        <v>502</v>
      </c>
      <c r="AS49" s="71"/>
      <c r="AT49" s="245"/>
      <c r="BD49"/>
      <c r="BF49" s="67"/>
      <c r="BI49" s="101"/>
      <c r="BJ49" s="102"/>
      <c r="BK49" s="103"/>
    </row>
    <row r="50" spans="1:63">
      <c r="B50" s="319"/>
      <c r="C50" s="244" t="s">
        <v>57</v>
      </c>
      <c r="D50" s="277">
        <f ca="1">F50</f>
        <v>6.3533020093390791E-2</v>
      </c>
      <c r="E50" s="71" t="s">
        <v>21</v>
      </c>
      <c r="F50" s="276">
        <f ca="1">Kappa*SQRT(ENF^2*I50*mpix*integTime)</f>
        <v>6.3533020093390791E-2</v>
      </c>
      <c r="G50" s="71" t="s">
        <v>21</v>
      </c>
      <c r="H50" s="273">
        <f ca="1">D50^2/(Kappa^2*ENF^2*mpix*integTime)</f>
        <v>1.104E-4</v>
      </c>
      <c r="I50" s="322">
        <f>AQ31</f>
        <v>1.104E-4</v>
      </c>
      <c r="J50" s="71" t="s">
        <v>99</v>
      </c>
      <c r="K50" s="281"/>
      <c r="L50" s="321"/>
      <c r="P50" s="494"/>
      <c r="Q50" s="494"/>
      <c r="R50" s="494"/>
      <c r="S50" s="494"/>
      <c r="T50" s="494"/>
      <c r="U50" s="494" t="s">
        <v>675</v>
      </c>
      <c r="V50" s="494"/>
      <c r="W50" s="494"/>
      <c r="X50" s="494"/>
      <c r="Y50" s="494" t="s">
        <v>680</v>
      </c>
      <c r="Z50" s="494"/>
      <c r="AA50" s="494"/>
      <c r="AB50" s="806" t="s">
        <v>894</v>
      </c>
      <c r="AC50" s="807">
        <f>AC49*(lambda/D_PM)*AI9*(pc/AU)</f>
        <v>2.2976332847777821</v>
      </c>
      <c r="AD50" s="805" t="s">
        <v>12</v>
      </c>
      <c r="AS50" s="71"/>
      <c r="AT50" s="245"/>
      <c r="BD50"/>
      <c r="BF50" s="67"/>
      <c r="BI50" s="101"/>
      <c r="BJ50" s="102"/>
      <c r="BK50" s="103"/>
    </row>
    <row r="51" spans="1:63">
      <c r="B51" s="319"/>
      <c r="C51" s="244" t="s">
        <v>92</v>
      </c>
      <c r="D51" s="277">
        <f ca="1">F51</f>
        <v>2.7283736747302726E-2</v>
      </c>
      <c r="E51" s="71" t="s">
        <v>21</v>
      </c>
      <c r="F51" s="276">
        <f ca="1">Kappa*SQRT(ENF^2*I51*(mpix/frameTime)*integTime)</f>
        <v>2.7283736747302726E-2</v>
      </c>
      <c r="G51" s="71" t="s">
        <v>21</v>
      </c>
      <c r="H51" s="273">
        <f ca="1">(D51/Kappa)^2/(ENF^2*mpix*(integTime/frameTime))</f>
        <v>2.0359999999999996E-3</v>
      </c>
      <c r="I51" s="322">
        <f>AQ32</f>
        <v>2.036E-3</v>
      </c>
      <c r="J51" s="71" t="s">
        <v>93</v>
      </c>
      <c r="K51" s="281"/>
      <c r="L51" s="321"/>
      <c r="P51" s="494"/>
      <c r="Q51" s="494"/>
      <c r="R51" s="494"/>
      <c r="S51" s="494"/>
      <c r="T51" s="494"/>
      <c r="U51" s="563" t="s">
        <v>429</v>
      </c>
      <c r="V51" s="565" t="str">
        <f>ScenarioSelected</f>
        <v>IFS1 Goal 2.5</v>
      </c>
      <c r="W51" s="543"/>
      <c r="X51" s="494"/>
      <c r="Y51" s="494"/>
      <c r="Z51" s="494"/>
      <c r="AA51" s="494"/>
      <c r="AB51" s="494"/>
      <c r="AC51" s="494"/>
      <c r="AD51" s="494"/>
      <c r="AG51" s="387" t="s">
        <v>415</v>
      </c>
      <c r="AI51" s="105"/>
      <c r="AJ51" s="71"/>
      <c r="AS51" s="71"/>
      <c r="AT51" s="245"/>
      <c r="BD51"/>
      <c r="BF51" s="67"/>
      <c r="BI51" s="101"/>
      <c r="BJ51" s="102"/>
      <c r="BK51" s="103"/>
    </row>
    <row r="52" spans="1:63">
      <c r="B52" s="326"/>
      <c r="C52" s="282"/>
      <c r="D52" s="283"/>
      <c r="E52" s="284"/>
      <c r="F52" s="285"/>
      <c r="G52" s="284"/>
      <c r="H52" s="286"/>
      <c r="I52" s="287"/>
      <c r="J52" s="284"/>
      <c r="K52" s="288"/>
      <c r="L52" s="327"/>
      <c r="P52" s="494"/>
      <c r="Q52" s="494"/>
      <c r="R52" s="494"/>
      <c r="S52" s="494"/>
      <c r="T52" s="494"/>
      <c r="U52" s="548" t="s">
        <v>670</v>
      </c>
      <c r="V52" s="498">
        <f>AI10</f>
        <v>5</v>
      </c>
      <c r="W52" s="557" t="s">
        <v>19</v>
      </c>
      <c r="X52" s="494"/>
      <c r="Y52" s="502" t="s">
        <v>429</v>
      </c>
      <c r="Z52" s="502" t="str">
        <f>(V51&amp;"  "&amp;U5&amp;"nm  [ t="&amp;AI20&amp;" hrs, fpp="&amp;f_pp&amp;"]")</f>
        <v>IFS1 Goal 2.5  660nm  [ t=250 hrs, fpp=0.1]</v>
      </c>
      <c r="AA52" s="502"/>
      <c r="AB52" s="494"/>
      <c r="AC52" s="494"/>
      <c r="AD52" s="494"/>
      <c r="AG52" s="387"/>
      <c r="AH52" s="36" t="s">
        <v>219</v>
      </c>
      <c r="AI52" s="146">
        <f>inBWflux0*10^(-0.4*(AI47-Msun+AI15))/(AI11^2)</f>
        <v>3.9719974050000193</v>
      </c>
      <c r="AJ52" s="71" t="s">
        <v>220</v>
      </c>
      <c r="AK52" s="160" t="s">
        <v>208</v>
      </c>
      <c r="AS52" s="71"/>
      <c r="AT52" s="245"/>
      <c r="BD52"/>
    </row>
    <row r="53" spans="1:63">
      <c r="B53" s="323" t="s">
        <v>161</v>
      </c>
      <c r="C53" s="244"/>
      <c r="D53" s="279"/>
      <c r="E53" s="71"/>
      <c r="F53" s="274">
        <f ca="1">SQRT(SUMSQ(F54:F56))</f>
        <v>0.15975937504933319</v>
      </c>
      <c r="G53" s="71" t="s">
        <v>21</v>
      </c>
      <c r="H53" s="271"/>
      <c r="I53" s="328"/>
      <c r="J53" s="71"/>
      <c r="K53" s="281"/>
      <c r="L53" s="321"/>
      <c r="P53" s="494"/>
      <c r="Q53" s="494"/>
      <c r="R53" s="494"/>
      <c r="S53" s="494"/>
      <c r="T53" s="494"/>
      <c r="U53" s="500" t="s">
        <v>671</v>
      </c>
      <c r="V53" s="549">
        <f ca="1">AI49</f>
        <v>229.76332847777823</v>
      </c>
      <c r="W53" s="558" t="s">
        <v>17</v>
      </c>
      <c r="X53" s="494"/>
      <c r="Y53" s="69" t="str">
        <f>(AI21&amp;"-sigma  Noise Equiv. Flux Ratio")</f>
        <v>10-sigma  Noise Equiv. Flux Ratio</v>
      </c>
      <c r="AA53" s="494"/>
      <c r="AB53" s="809" t="s">
        <v>86</v>
      </c>
      <c r="AC53" s="808">
        <f ca="1">AI4</f>
        <v>1.5934326714704512E-12</v>
      </c>
      <c r="AD53" s="494"/>
      <c r="AG53" s="387"/>
      <c r="AH53" s="36" t="s">
        <v>226</v>
      </c>
      <c r="AI53" s="146">
        <f>inBWflux0*10^(-0.4*AI14)</f>
        <v>9.7627098947524669</v>
      </c>
      <c r="AJ53" s="71" t="s">
        <v>220</v>
      </c>
      <c r="AS53" s="71"/>
      <c r="AT53" s="245"/>
      <c r="BD53"/>
    </row>
    <row r="54" spans="1:63">
      <c r="B54" s="319"/>
      <c r="C54" s="244" t="s">
        <v>158</v>
      </c>
      <c r="D54" s="279"/>
      <c r="E54" s="71"/>
      <c r="F54" s="276">
        <f ca="1">Kappa*SQRT(I54*integTime)</f>
        <v>0.1331428225067566</v>
      </c>
      <c r="G54" s="71" t="s">
        <v>21</v>
      </c>
      <c r="H54" s="271"/>
      <c r="I54" s="322">
        <f ca="1">ENF^2*pl_convertRate</f>
        <v>7.7575676946067826E-3</v>
      </c>
      <c r="J54" s="71" t="s">
        <v>238</v>
      </c>
      <c r="K54" s="280" t="s">
        <v>488</v>
      </c>
      <c r="L54" s="321"/>
      <c r="P54" s="494"/>
      <c r="Q54" s="494"/>
      <c r="R54" s="494"/>
      <c r="S54" s="494"/>
      <c r="T54" s="494"/>
      <c r="U54" s="561" t="s">
        <v>678</v>
      </c>
      <c r="V54" s="555">
        <f ca="1">planetWA</f>
        <v>4.0000000000000009</v>
      </c>
      <c r="W54" s="562" t="s">
        <v>133</v>
      </c>
      <c r="X54" s="494"/>
      <c r="Y54" s="804"/>
      <c r="Z54" s="574" t="s">
        <v>897</v>
      </c>
      <c r="AA54" s="494">
        <f>integTime/3600</f>
        <v>250</v>
      </c>
      <c r="AB54" s="494" t="s">
        <v>896</v>
      </c>
      <c r="AC54" s="494"/>
      <c r="AD54" s="494"/>
      <c r="AG54" s="387"/>
      <c r="AH54" s="36" t="s">
        <v>458</v>
      </c>
      <c r="AI54" s="146">
        <f>SUM(AI52:AI53)*Acol</f>
        <v>60.590701687659582</v>
      </c>
      <c r="AJ54" s="71" t="s">
        <v>459</v>
      </c>
      <c r="AS54" s="71"/>
      <c r="AT54" s="245"/>
      <c r="BD54"/>
    </row>
    <row r="55" spans="1:63">
      <c r="B55" s="319"/>
      <c r="C55" s="244" t="s">
        <v>159</v>
      </c>
      <c r="D55" s="279"/>
      <c r="E55" s="71"/>
      <c r="F55" s="276">
        <f ca="1">Kappa*SQRT(I55*integTime)</f>
        <v>5.8835667458472511E-2</v>
      </c>
      <c r="G55" s="71" t="s">
        <v>21</v>
      </c>
      <c r="H55" s="271"/>
      <c r="I55" s="322">
        <f ca="1">ENF^2*AI32</f>
        <v>1.5148562554011145E-3</v>
      </c>
      <c r="J55" s="71" t="s">
        <v>238</v>
      </c>
      <c r="K55" s="280" t="s">
        <v>488</v>
      </c>
      <c r="L55" s="321"/>
      <c r="P55" s="494"/>
      <c r="Q55" s="494"/>
      <c r="R55" s="494"/>
      <c r="S55" s="494"/>
      <c r="T55" s="494"/>
      <c r="U55" s="550" t="s">
        <v>28</v>
      </c>
      <c r="V55" s="551">
        <f>AI21</f>
        <v>10</v>
      </c>
      <c r="W55" s="559"/>
      <c r="X55" s="494"/>
      <c r="Y55" s="804" t="s">
        <v>895</v>
      </c>
      <c r="Z55" s="817">
        <f ca="1">V61</f>
        <v>3.2295086767909717E-9</v>
      </c>
      <c r="AA55" s="816">
        <v>-10</v>
      </c>
      <c r="AB55" s="816">
        <v>5</v>
      </c>
      <c r="AC55" s="816">
        <v>6</v>
      </c>
      <c r="AD55" s="494"/>
      <c r="AG55" s="387"/>
      <c r="AH55" s="36" t="s">
        <v>210</v>
      </c>
      <c r="AI55" s="105">
        <f ca="1" xml:space="preserve"> AI52*AQ13*Acol*t_zodi*QE</f>
        <v>3.9427885033696611E-3</v>
      </c>
      <c r="AJ55" s="71" t="s">
        <v>162</v>
      </c>
      <c r="AS55" s="71"/>
      <c r="AT55" s="245"/>
      <c r="BD55"/>
    </row>
    <row r="56" spans="1:63">
      <c r="B56" s="319"/>
      <c r="C56" s="244" t="s">
        <v>160</v>
      </c>
      <c r="D56" s="279"/>
      <c r="E56" s="71"/>
      <c r="F56" s="276">
        <f ca="1">Kappa*SQRT(I56*integTime)</f>
        <v>6.5836243557814311E-2</v>
      </c>
      <c r="G56" s="71" t="s">
        <v>21</v>
      </c>
      <c r="H56" s="271"/>
      <c r="I56" s="322">
        <f ca="1">ENF^2*AI31</f>
        <v>1.8967938888534467E-3</v>
      </c>
      <c r="J56" s="71" t="s">
        <v>238</v>
      </c>
      <c r="K56" s="280" t="s">
        <v>488</v>
      </c>
      <c r="L56" s="321"/>
      <c r="P56" s="494"/>
      <c r="Q56" s="494"/>
      <c r="R56" s="494"/>
      <c r="S56" s="494"/>
      <c r="T56" s="494"/>
      <c r="U56" s="548" t="s">
        <v>666</v>
      </c>
      <c r="V56" s="498">
        <f>AI20</f>
        <v>250</v>
      </c>
      <c r="W56" s="557" t="s">
        <v>491</v>
      </c>
      <c r="X56" s="494"/>
      <c r="Y56" s="549">
        <f t="shared" ref="Y56:Y62" si="5">Z56*lam_over_D</f>
        <v>172.32249635833364</v>
      </c>
      <c r="Z56" s="816">
        <v>3</v>
      </c>
      <c r="AA56" s="818">
        <f t="dataTable" ref="AA56:AC62" dt2D="1" dtr="1" r1="AC48" r2="AC49" ca="1"/>
        <v>6.3038766400929473E-9</v>
      </c>
      <c r="AB56" s="818">
        <v>7.3379024943644363E-9</v>
      </c>
      <c r="AC56" s="818">
        <v>8.6977591389469195E-9</v>
      </c>
      <c r="AD56" s="494"/>
      <c r="AG56" s="387"/>
      <c r="AH56" s="36" t="s">
        <v>209</v>
      </c>
      <c r="AI56" s="105">
        <f ca="1" xml:space="preserve"> AI53*AQ13*Acol*t_zodi*QE</f>
        <v>9.6909177952403704E-3</v>
      </c>
      <c r="AJ56" s="71" t="s">
        <v>162</v>
      </c>
      <c r="BD56"/>
    </row>
    <row r="57" spans="1:63">
      <c r="B57" s="319"/>
      <c r="C57" s="244"/>
      <c r="D57" s="279"/>
      <c r="E57" s="71"/>
      <c r="F57" s="275"/>
      <c r="G57" s="71"/>
      <c r="H57" s="271"/>
      <c r="I57" s="328"/>
      <c r="J57" s="71"/>
      <c r="K57" s="281"/>
      <c r="L57" s="321"/>
      <c r="M57" s="383"/>
      <c r="P57" s="494"/>
      <c r="Q57" s="494"/>
      <c r="R57" s="494"/>
      <c r="S57" s="494"/>
      <c r="T57" s="494"/>
      <c r="U57" s="552" t="s">
        <v>669</v>
      </c>
      <c r="V57" s="553">
        <f>f_pp</f>
        <v>0.1</v>
      </c>
      <c r="W57" s="560" t="s">
        <v>236</v>
      </c>
      <c r="X57" s="494"/>
      <c r="Y57" s="549">
        <f t="shared" si="5"/>
        <v>229.76332847777817</v>
      </c>
      <c r="Z57" s="816">
        <v>4</v>
      </c>
      <c r="AA57" s="818">
        <v>2.5290599267420874E-9</v>
      </c>
      <c r="AB57" s="818">
        <v>3.2295086767909717E-9</v>
      </c>
      <c r="AC57" s="818">
        <v>4.3117443003581456E-9</v>
      </c>
      <c r="AD57" s="494"/>
      <c r="AG57" s="387"/>
      <c r="AI57" s="105"/>
      <c r="AJ57" s="71"/>
      <c r="BD57"/>
    </row>
    <row r="58" spans="1:63">
      <c r="B58" s="323" t="s">
        <v>233</v>
      </c>
      <c r="C58" s="244"/>
      <c r="D58" s="279"/>
      <c r="E58" s="71"/>
      <c r="F58" s="274">
        <f ca="1">F59</f>
        <v>0.27201720181901162</v>
      </c>
      <c r="G58" s="71"/>
      <c r="H58" s="271"/>
      <c r="I58" s="322"/>
      <c r="J58" s="71"/>
      <c r="K58" s="281"/>
      <c r="L58" s="321"/>
      <c r="P58" s="494"/>
      <c r="Q58" s="494"/>
      <c r="R58" s="494"/>
      <c r="S58" s="494"/>
      <c r="T58" s="494"/>
      <c r="U58" s="548" t="s">
        <v>667</v>
      </c>
      <c r="V58" s="554">
        <f ca="1">SQRT(totNoiseVarRate*integTime)</f>
        <v>109.24852426909578</v>
      </c>
      <c r="W58" s="557" t="s">
        <v>673</v>
      </c>
      <c r="X58" s="494"/>
      <c r="Y58" s="549">
        <f t="shared" si="5"/>
        <v>287.20416059722271</v>
      </c>
      <c r="Z58" s="816">
        <v>5</v>
      </c>
      <c r="AA58" s="818">
        <v>2.2184208260736979E-9</v>
      </c>
      <c r="AB58" s="818">
        <v>2.7996928683523692E-9</v>
      </c>
      <c r="AC58" s="818">
        <v>3.7328312288592994E-9</v>
      </c>
      <c r="AD58" s="494"/>
      <c r="AG58" s="387" t="s">
        <v>234</v>
      </c>
      <c r="AI58" s="146"/>
      <c r="AJ58" s="161"/>
      <c r="BD58"/>
    </row>
    <row r="59" spans="1:63">
      <c r="B59" s="326"/>
      <c r="C59" s="282"/>
      <c r="D59" s="289"/>
      <c r="E59" s="284"/>
      <c r="F59" s="290">
        <f ca="1">Kappa*(I59*integTime)</f>
        <v>0.27201720181901162</v>
      </c>
      <c r="G59" s="284" t="s">
        <v>21</v>
      </c>
      <c r="H59" s="286"/>
      <c r="I59" s="287">
        <f ca="1">f_pp*AI31</f>
        <v>1.8967938888534469E-4</v>
      </c>
      <c r="J59" s="284" t="s">
        <v>238</v>
      </c>
      <c r="K59" s="288"/>
      <c r="L59" s="327"/>
      <c r="P59" s="494"/>
      <c r="Q59" s="494"/>
      <c r="R59" s="494"/>
      <c r="S59" s="494"/>
      <c r="T59" s="494"/>
      <c r="U59" s="500" t="s">
        <v>668</v>
      </c>
      <c r="V59" s="555">
        <f ca="1">f_pp*sp_bkgRate*integTime</f>
        <v>170.71144999681022</v>
      </c>
      <c r="W59" s="558" t="s">
        <v>673</v>
      </c>
      <c r="X59" s="494"/>
      <c r="Y59" s="549">
        <f t="shared" si="5"/>
        <v>344.64499271666728</v>
      </c>
      <c r="Z59" s="816">
        <v>6</v>
      </c>
      <c r="AA59" s="818">
        <v>2.6274262386544192E-9</v>
      </c>
      <c r="AB59" s="818">
        <v>3.1934172967400083E-9</v>
      </c>
      <c r="AC59" s="818">
        <v>4.0751926856742818E-9</v>
      </c>
      <c r="AD59" s="494"/>
      <c r="AG59" s="387"/>
      <c r="AH59" s="36" t="s">
        <v>231</v>
      </c>
      <c r="AI59" s="105">
        <f ca="1">AQ10</f>
        <v>4.1278427473711862E-9</v>
      </c>
      <c r="AJ59" s="71">
        <f>AQ5</f>
        <v>0</v>
      </c>
      <c r="BD59"/>
    </row>
    <row r="60" spans="1:63">
      <c r="B60" s="223"/>
      <c r="C60" s="223"/>
      <c r="D60" s="224"/>
      <c r="E60" s="225"/>
      <c r="F60" s="226"/>
      <c r="G60" s="225"/>
      <c r="H60" s="225"/>
      <c r="I60" s="227"/>
      <c r="J60" s="225"/>
      <c r="K60" s="225"/>
      <c r="L60" s="228"/>
      <c r="M60" s="228"/>
      <c r="N60" s="228"/>
      <c r="P60" s="494"/>
      <c r="Q60" s="494"/>
      <c r="R60" s="494"/>
      <c r="S60" s="494"/>
      <c r="T60" s="494"/>
      <c r="U60" s="550" t="s">
        <v>672</v>
      </c>
      <c r="V60" s="556">
        <f ca="1">SQRT(SUMSQ(V58:V59))</f>
        <v>202.67619301483992</v>
      </c>
      <c r="W60" s="559" t="s">
        <v>673</v>
      </c>
      <c r="X60" s="494"/>
      <c r="Y60" s="549">
        <f t="shared" si="5"/>
        <v>402.08582483611178</v>
      </c>
      <c r="Z60" s="816">
        <v>7</v>
      </c>
      <c r="AA60" s="818">
        <v>2.7261700116406178E-9</v>
      </c>
      <c r="AB60" s="818">
        <v>3.2879377078414458E-9</v>
      </c>
      <c r="AC60" s="818">
        <v>4.1505417147557033E-9</v>
      </c>
      <c r="AD60" s="494"/>
      <c r="AG60" s="387"/>
      <c r="AH60" s="36" t="s">
        <v>232</v>
      </c>
      <c r="AI60" s="105">
        <f ca="1">AQ12</f>
        <v>1.7160019000000001E-3</v>
      </c>
      <c r="AJ60" s="71"/>
      <c r="BD60"/>
    </row>
    <row r="61" spans="1:63">
      <c r="A61" s="73"/>
      <c r="B61" s="73"/>
      <c r="C61" s="73"/>
      <c r="D61" s="234"/>
      <c r="E61" s="235"/>
      <c r="F61" s="239"/>
      <c r="G61" s="235"/>
      <c r="H61" s="73"/>
      <c r="I61" s="240"/>
      <c r="J61" s="235"/>
      <c r="K61" s="235"/>
      <c r="L61" s="65"/>
      <c r="M61" s="65"/>
      <c r="N61" s="65"/>
      <c r="P61" s="494"/>
      <c r="Q61" s="494"/>
      <c r="R61" s="494"/>
      <c r="S61" s="494"/>
      <c r="T61" s="494"/>
      <c r="U61" s="563" t="s">
        <v>677</v>
      </c>
      <c r="V61" s="566">
        <f ca="1">V55*$AI$4*V60</f>
        <v>3.2295086767909717E-9</v>
      </c>
      <c r="W61" s="543" t="s">
        <v>679</v>
      </c>
      <c r="X61" s="494"/>
      <c r="Y61" s="549">
        <f t="shared" si="5"/>
        <v>459.52665695555635</v>
      </c>
      <c r="Z61" s="816">
        <v>8</v>
      </c>
      <c r="AA61" s="818">
        <v>2.7261699888674103E-9</v>
      </c>
      <c r="AB61" s="818">
        <v>3.2760795272935725E-9</v>
      </c>
      <c r="AC61" s="818">
        <v>4.1140006840554368E-9</v>
      </c>
      <c r="AD61" s="494"/>
      <c r="BD61"/>
    </row>
    <row r="62" spans="1:63">
      <c r="A62" s="73"/>
      <c r="B62" s="73"/>
      <c r="C62" s="73"/>
      <c r="D62" s="234"/>
      <c r="E62" s="235"/>
      <c r="F62" s="239"/>
      <c r="G62" s="235"/>
      <c r="H62" s="73"/>
      <c r="I62" s="240"/>
      <c r="J62" s="235"/>
      <c r="K62" s="235"/>
      <c r="L62" s="65"/>
      <c r="M62" s="65"/>
      <c r="N62" s="65"/>
      <c r="P62" s="494"/>
      <c r="Q62" s="494"/>
      <c r="R62" s="494"/>
      <c r="S62" s="494"/>
      <c r="T62" s="494"/>
      <c r="U62" s="494"/>
      <c r="V62" s="494"/>
      <c r="W62" s="494"/>
      <c r="X62" s="494"/>
      <c r="Y62" s="549">
        <f t="shared" si="5"/>
        <v>516.96748907500091</v>
      </c>
      <c r="Z62" s="816">
        <v>9</v>
      </c>
      <c r="AA62" s="818">
        <v>2.7261699732541748E-9</v>
      </c>
      <c r="AB62" s="818">
        <v>3.2685996318055449E-9</v>
      </c>
      <c r="AC62" s="818">
        <v>4.0890935025886604E-9</v>
      </c>
      <c r="AD62" s="494"/>
      <c r="AG62" s="387" t="s">
        <v>142</v>
      </c>
      <c r="BD62"/>
    </row>
    <row r="63" spans="1:63">
      <c r="P63" s="494"/>
      <c r="Q63" s="494"/>
      <c r="R63" s="494"/>
      <c r="S63" s="494"/>
      <c r="T63" s="494"/>
      <c r="U63" s="494"/>
      <c r="V63" s="494"/>
      <c r="W63" s="494"/>
      <c r="X63" s="494"/>
      <c r="Y63" s="494"/>
      <c r="Z63" s="494"/>
      <c r="AA63" s="810" t="str">
        <f>("V = "&amp;AA55)</f>
        <v>V = -10</v>
      </c>
      <c r="AB63" s="810" t="str">
        <f>("V = "&amp;AB55)</f>
        <v>V = 5</v>
      </c>
      <c r="AC63" s="810" t="str">
        <f>("V = "&amp;AC55)</f>
        <v>V = 6</v>
      </c>
      <c r="AD63" s="494"/>
      <c r="AG63" s="387"/>
      <c r="AH63" s="69" t="s">
        <v>214</v>
      </c>
      <c r="AI63" s="76">
        <f>h_planck*c_light/lambda</f>
        <v>3.0097617839999998E-19</v>
      </c>
      <c r="AJ63" s="71" t="s">
        <v>49</v>
      </c>
      <c r="AK63" s="158" t="s">
        <v>215</v>
      </c>
      <c r="BD63"/>
    </row>
    <row r="64" spans="1:63">
      <c r="C64" s="80" t="s">
        <v>534</v>
      </c>
      <c r="D64" s="399"/>
      <c r="E64" s="80"/>
      <c r="F64" s="80"/>
      <c r="G64" s="400" t="s">
        <v>535</v>
      </c>
      <c r="H64" s="80">
        <f>frameTime</f>
        <v>100</v>
      </c>
      <c r="I64" s="401" t="s">
        <v>533</v>
      </c>
      <c r="J64" s="54"/>
      <c r="P64" s="494"/>
      <c r="Q64" s="494"/>
      <c r="R64" s="494"/>
      <c r="S64" s="494"/>
      <c r="T64" s="494"/>
      <c r="U64" s="548" t="s">
        <v>681</v>
      </c>
      <c r="V64" s="572" t="s">
        <v>688</v>
      </c>
      <c r="W64" s="499" t="s">
        <v>716</v>
      </c>
      <c r="X64" s="494"/>
      <c r="Y64" s="494"/>
      <c r="Z64" s="494"/>
      <c r="AA64" s="494"/>
      <c r="AB64" s="494"/>
      <c r="AC64" s="494"/>
      <c r="AD64" s="494"/>
      <c r="AG64" s="387"/>
      <c r="AH64" s="69" t="s">
        <v>101</v>
      </c>
      <c r="AI64" s="344">
        <v>1</v>
      </c>
      <c r="AJ64" s="71" t="s">
        <v>101</v>
      </c>
      <c r="AK64" s="54" t="s">
        <v>495</v>
      </c>
      <c r="BD64"/>
    </row>
    <row r="65" spans="1:56" ht="15.75">
      <c r="C65" s="426" t="str">
        <f>H3</f>
        <v>MT IWA</v>
      </c>
      <c r="D65" s="420" t="s">
        <v>99</v>
      </c>
      <c r="E65" s="420" t="s">
        <v>93</v>
      </c>
      <c r="F65" s="432" t="s">
        <v>528</v>
      </c>
      <c r="G65" s="420" t="s">
        <v>529</v>
      </c>
      <c r="H65" s="420" t="s">
        <v>530</v>
      </c>
      <c r="I65" s="420" t="s">
        <v>531</v>
      </c>
      <c r="J65" s="421" t="s">
        <v>532</v>
      </c>
      <c r="K65" s="404"/>
      <c r="L65" s="404"/>
      <c r="P65" s="494"/>
      <c r="Q65" s="494"/>
      <c r="R65" s="494"/>
      <c r="S65" s="494"/>
      <c r="T65" s="494"/>
      <c r="U65" s="563" t="s">
        <v>689</v>
      </c>
      <c r="V65" s="577">
        <v>4</v>
      </c>
      <c r="W65" s="571" t="s">
        <v>687</v>
      </c>
      <c r="X65" s="494"/>
      <c r="Y65" s="494"/>
      <c r="Z65" s="548" t="s">
        <v>682</v>
      </c>
      <c r="AA65" s="572" t="s">
        <v>688</v>
      </c>
      <c r="AB65" s="499" t="s">
        <v>716</v>
      </c>
      <c r="AC65" s="502"/>
      <c r="AD65" s="494"/>
      <c r="AH65" s="36" t="s">
        <v>431</v>
      </c>
      <c r="AI65" s="79" t="str">
        <f>INDEX(scenarioTable,MATCH(ScenarioSelected,scenarios,0),8)</f>
        <v>IFS</v>
      </c>
      <c r="AJ65" s="71"/>
      <c r="BD65"/>
    </row>
    <row r="66" spans="1:56">
      <c r="C66" s="427" t="str">
        <f>ScenarioSelected</f>
        <v>IFS1 Goal 2.5</v>
      </c>
      <c r="D66" s="422">
        <f ca="1">AI33</f>
        <v>6.9807611492883398E-4</v>
      </c>
      <c r="E66" s="423">
        <f ca="1">AI35</f>
        <v>6.9807611492883392E-2</v>
      </c>
      <c r="F66" s="433">
        <f ca="1">L4/totNoiseVarRate</f>
        <v>0.58497448672896479</v>
      </c>
      <c r="G66" s="424">
        <f ca="1">L5/totNoiseVarRate</f>
        <v>0.14303143398079293</v>
      </c>
      <c r="H66" s="424">
        <f ca="1">L6/totNoiseVarRate</f>
        <v>0.11423068355400876</v>
      </c>
      <c r="I66" s="424">
        <f ca="1">L7/totNoiseVarRate</f>
        <v>0.13319882907066524</v>
      </c>
      <c r="J66" s="425">
        <f ca="1">L8/totNoiseVarRate</f>
        <v>2.456456666556834E-2</v>
      </c>
      <c r="K66" s="404"/>
      <c r="P66" s="494"/>
      <c r="Q66" s="494"/>
      <c r="R66" s="494"/>
      <c r="S66" s="494"/>
      <c r="T66" s="494"/>
      <c r="U66" s="548" t="s">
        <v>683</v>
      </c>
      <c r="V66" s="572">
        <v>4</v>
      </c>
      <c r="W66" s="573">
        <f>V66-$V$65</f>
        <v>0</v>
      </c>
      <c r="X66" s="494"/>
      <c r="Y66" s="494"/>
      <c r="Z66" s="548" t="s">
        <v>689</v>
      </c>
      <c r="AA66" s="573">
        <v>17</v>
      </c>
      <c r="AB66" s="575" t="s">
        <v>687</v>
      </c>
      <c r="AC66" s="574"/>
      <c r="AD66" s="494"/>
      <c r="AH66" s="36" t="s">
        <v>96</v>
      </c>
      <c r="AI66" s="344">
        <f>HLOOKUP(AI65,FPattributes,2)</f>
        <v>0.1111111111111111</v>
      </c>
      <c r="AJ66" s="71" t="s">
        <v>96</v>
      </c>
      <c r="AK66" s="54" t="s">
        <v>97</v>
      </c>
      <c r="BD66"/>
    </row>
    <row r="67" spans="1:56">
      <c r="C67" s="428" t="s">
        <v>434</v>
      </c>
      <c r="D67" s="411">
        <f t="dataTable" ref="D67:J74" dt2D="0" dtr="0" r1="D4" ca="1"/>
        <v>1.6287678255350175E-2</v>
      </c>
      <c r="E67" s="418">
        <v>1.6287678255350175</v>
      </c>
      <c r="F67" s="434">
        <v>0.81050619938239121</v>
      </c>
      <c r="G67" s="412">
        <v>4.4299800376341618E-2</v>
      </c>
      <c r="H67" s="412">
        <v>0.13197147821017441</v>
      </c>
      <c r="I67" s="412">
        <v>1.1965397943371226E-2</v>
      </c>
      <c r="J67" s="413">
        <v>1.2571240877212808E-3</v>
      </c>
      <c r="K67" s="404"/>
      <c r="L67" s="408"/>
      <c r="P67" s="494"/>
      <c r="Q67" s="494"/>
      <c r="R67" s="494"/>
      <c r="S67" s="494"/>
      <c r="T67" s="494"/>
      <c r="U67" s="500" t="s">
        <v>684</v>
      </c>
      <c r="V67" s="574">
        <v>8</v>
      </c>
      <c r="W67" s="575">
        <f>V67-$V$65</f>
        <v>4</v>
      </c>
      <c r="X67" s="494"/>
      <c r="Y67" s="494"/>
      <c r="Z67" s="548" t="s">
        <v>683</v>
      </c>
      <c r="AA67" s="572">
        <v>18</v>
      </c>
      <c r="AB67" s="573">
        <f>AA67-AA$66</f>
        <v>1</v>
      </c>
      <c r="AC67" s="574"/>
      <c r="AD67" s="494"/>
      <c r="AH67" s="69" t="s">
        <v>443</v>
      </c>
      <c r="AI67" s="255">
        <f>HLOOKUP(AI65,FPattributes,3)</f>
        <v>16</v>
      </c>
      <c r="AJ67" s="71" t="s">
        <v>95</v>
      </c>
      <c r="AK67" s="54" t="s">
        <v>452</v>
      </c>
      <c r="BD67"/>
    </row>
    <row r="68" spans="1:56">
      <c r="C68" s="429" t="s">
        <v>435</v>
      </c>
      <c r="D68" s="407">
        <v>6.3534792223872184E-3</v>
      </c>
      <c r="E68" s="409">
        <v>0.63534792223872183</v>
      </c>
      <c r="F68" s="435">
        <v>0.74423394014349431</v>
      </c>
      <c r="G68" s="406">
        <v>6.4124909919736989E-2</v>
      </c>
      <c r="H68" s="406">
        <v>0.15843071283347013</v>
      </c>
      <c r="I68" s="406">
        <v>3.0052972865527921E-2</v>
      </c>
      <c r="J68" s="414">
        <v>3.1574642377706547E-3</v>
      </c>
      <c r="K68" s="405"/>
      <c r="L68" s="408"/>
      <c r="P68" s="494"/>
      <c r="Q68" s="494"/>
      <c r="R68" s="494"/>
      <c r="S68" s="494"/>
      <c r="T68" s="494"/>
      <c r="U68" s="500" t="s">
        <v>685</v>
      </c>
      <c r="V68" s="576">
        <v>5</v>
      </c>
      <c r="W68" s="575">
        <f>V68-$V$65</f>
        <v>1</v>
      </c>
      <c r="X68" s="494"/>
      <c r="Y68" s="494"/>
      <c r="Z68" s="500" t="s">
        <v>684</v>
      </c>
      <c r="AA68" s="574">
        <v>18</v>
      </c>
      <c r="AB68" s="575">
        <f t="shared" ref="AB68:AB69" si="6">AA68-AA$66</f>
        <v>1</v>
      </c>
      <c r="AC68" s="574"/>
      <c r="AD68" s="494"/>
      <c r="AH68" s="69" t="s">
        <v>107</v>
      </c>
      <c r="AI68" s="91">
        <v>2</v>
      </c>
      <c r="AJ68" s="71" t="s">
        <v>108</v>
      </c>
      <c r="AK68" s="54" t="s">
        <v>109</v>
      </c>
      <c r="BD68"/>
    </row>
    <row r="69" spans="1:56">
      <c r="C69" s="429" t="s">
        <v>436</v>
      </c>
      <c r="D69" s="407">
        <v>3.8579492374222845E-4</v>
      </c>
      <c r="E69" s="410">
        <v>3.8579492374222847E-2</v>
      </c>
      <c r="F69" s="435">
        <v>0.4013343725406664</v>
      </c>
      <c r="G69" s="406">
        <v>8.0610589393804624E-2</v>
      </c>
      <c r="H69" s="406">
        <v>0.15674085194857623</v>
      </c>
      <c r="I69" s="406">
        <v>0.32696243646322171</v>
      </c>
      <c r="J69" s="414">
        <v>3.435174965373089E-2</v>
      </c>
      <c r="K69" s="405"/>
      <c r="L69" s="408"/>
      <c r="P69" s="494"/>
      <c r="Q69" s="494"/>
      <c r="R69" s="494"/>
      <c r="S69" s="494"/>
      <c r="T69" s="494"/>
      <c r="U69" s="550" t="s">
        <v>686</v>
      </c>
      <c r="V69" s="570">
        <v>14</v>
      </c>
      <c r="W69" s="571">
        <f>V69-$V$65</f>
        <v>10</v>
      </c>
      <c r="X69" s="494"/>
      <c r="Y69" s="494"/>
      <c r="Z69" s="500" t="s">
        <v>750</v>
      </c>
      <c r="AA69" s="576">
        <v>17</v>
      </c>
      <c r="AB69" s="575">
        <f t="shared" si="6"/>
        <v>0</v>
      </c>
      <c r="AC69" s="574"/>
      <c r="AD69" s="494"/>
      <c r="AH69" s="69" t="s">
        <v>110</v>
      </c>
      <c r="AI69" s="91">
        <v>2</v>
      </c>
      <c r="AJ69" s="71" t="s">
        <v>111</v>
      </c>
      <c r="AK69" s="54" t="s">
        <v>112</v>
      </c>
      <c r="BD69"/>
    </row>
    <row r="70" spans="1:56">
      <c r="C70" s="429" t="s">
        <v>438</v>
      </c>
      <c r="D70" s="407">
        <v>1.0881022592860822E-4</v>
      </c>
      <c r="E70" s="410">
        <v>1.0881022592860822E-2</v>
      </c>
      <c r="F70" s="435">
        <v>0.18858114205733675</v>
      </c>
      <c r="G70" s="406">
        <v>5.1555805973280591E-2</v>
      </c>
      <c r="H70" s="406">
        <v>9.2554762248943406E-2</v>
      </c>
      <c r="I70" s="406">
        <v>0.60386431715824396</v>
      </c>
      <c r="J70" s="414">
        <v>6.344397256219525E-2</v>
      </c>
      <c r="K70" s="405"/>
      <c r="L70" s="408"/>
      <c r="P70" s="494"/>
      <c r="Q70" s="494"/>
      <c r="R70" s="494"/>
      <c r="S70" s="494"/>
      <c r="T70" s="494"/>
      <c r="U70" s="494"/>
      <c r="V70" s="494"/>
      <c r="W70" s="494"/>
      <c r="X70" s="494"/>
      <c r="Y70" s="494"/>
      <c r="Z70" s="550"/>
      <c r="AA70" s="570"/>
      <c r="AB70" s="571"/>
      <c r="AC70" s="574"/>
      <c r="AD70" s="494"/>
      <c r="AH70" s="69" t="s">
        <v>113</v>
      </c>
      <c r="AI70" s="91">
        <v>2</v>
      </c>
      <c r="AJ70" s="71" t="s">
        <v>114</v>
      </c>
      <c r="AK70" s="54" t="s">
        <v>115</v>
      </c>
    </row>
    <row r="71" spans="1:56">
      <c r="C71" s="402" t="s">
        <v>439</v>
      </c>
      <c r="D71" s="415">
        <v>2.6365943272780468E-5</v>
      </c>
      <c r="E71" s="419">
        <v>2.6365943272780466E-3</v>
      </c>
      <c r="F71" s="436">
        <v>5.4354987145934459E-2</v>
      </c>
      <c r="G71" s="416">
        <v>1.9852594838637484E-2</v>
      </c>
      <c r="H71" s="416">
        <v>3.3577474541276853E-2</v>
      </c>
      <c r="I71" s="416">
        <v>0.80738809317821236</v>
      </c>
      <c r="J71" s="417">
        <v>8.4826850295938783E-2</v>
      </c>
      <c r="K71" s="405"/>
      <c r="L71" s="408"/>
      <c r="P71" s="494"/>
      <c r="Q71" s="494"/>
      <c r="R71" s="494"/>
      <c r="S71" s="494"/>
      <c r="T71" s="494"/>
      <c r="U71" s="494"/>
      <c r="V71" s="494"/>
      <c r="W71" s="494"/>
      <c r="X71" s="494"/>
      <c r="Y71" s="494"/>
      <c r="Z71" s="494"/>
      <c r="AA71" s="494"/>
      <c r="AB71" s="494"/>
      <c r="AC71" s="494"/>
      <c r="AD71" s="494"/>
      <c r="AH71" s="36" t="s">
        <v>411</v>
      </c>
      <c r="AI71" s="109">
        <f>AI20*(3600)</f>
        <v>900000</v>
      </c>
      <c r="AJ71" s="71" t="s">
        <v>8</v>
      </c>
      <c r="AK71" s="158" t="s">
        <v>412</v>
      </c>
    </row>
    <row r="72" spans="1:56">
      <c r="C72" s="430" t="s">
        <v>681</v>
      </c>
      <c r="D72" s="411">
        <v>8.1891343583826402E-3</v>
      </c>
      <c r="E72" s="396">
        <v>0.81891343583826404</v>
      </c>
      <c r="F72" s="434">
        <v>0.58785649457262545</v>
      </c>
      <c r="G72" s="412">
        <v>0.271285497528441</v>
      </c>
      <c r="H72" s="412">
        <v>0.12514146218723771</v>
      </c>
      <c r="I72" s="412">
        <v>1.3269399254903686E-2</v>
      </c>
      <c r="J72" s="413">
        <v>2.4471464567920203E-3</v>
      </c>
      <c r="K72" s="399"/>
      <c r="L72" s="408"/>
      <c r="P72" s="494"/>
      <c r="Q72" s="494"/>
      <c r="R72" s="494"/>
      <c r="S72" s="494"/>
      <c r="T72" s="494"/>
      <c r="U72" s="548" t="s">
        <v>776</v>
      </c>
      <c r="V72" s="572" t="s">
        <v>688</v>
      </c>
      <c r="W72" s="499" t="s">
        <v>714</v>
      </c>
      <c r="X72" s="494"/>
      <c r="Y72" s="494"/>
      <c r="Z72" s="494"/>
      <c r="AA72" s="494"/>
      <c r="AB72" s="494"/>
      <c r="AC72" s="494"/>
      <c r="AD72" s="494"/>
      <c r="AG72" s="387"/>
      <c r="AH72" s="69" t="s">
        <v>658</v>
      </c>
      <c r="AI72" s="70">
        <v>1</v>
      </c>
      <c r="AJ72" s="71" t="s">
        <v>28</v>
      </c>
      <c r="AK72" s="158" t="s">
        <v>659</v>
      </c>
    </row>
    <row r="73" spans="1:56">
      <c r="C73" s="431" t="s">
        <v>682</v>
      </c>
      <c r="D73" s="407">
        <v>1.1386873068179601E-2</v>
      </c>
      <c r="E73" s="399">
        <v>1.1386873068179602</v>
      </c>
      <c r="F73" s="435">
        <v>0.84928976357924635</v>
      </c>
      <c r="G73" s="406">
        <v>4.8959838720631324E-2</v>
      </c>
      <c r="H73" s="406">
        <v>9.0397370630588489E-2</v>
      </c>
      <c r="I73" s="406">
        <v>9.5853027567797885E-3</v>
      </c>
      <c r="J73" s="414">
        <v>1.7677243127539538E-3</v>
      </c>
      <c r="K73" s="399"/>
      <c r="L73" s="408"/>
      <c r="P73" s="494"/>
      <c r="Q73" s="494"/>
      <c r="R73" s="494"/>
      <c r="S73" s="494"/>
      <c r="T73" s="494"/>
      <c r="U73" s="548" t="s">
        <v>689</v>
      </c>
      <c r="V73" s="573">
        <v>0</v>
      </c>
      <c r="W73" s="575" t="s">
        <v>687</v>
      </c>
      <c r="X73" s="494"/>
      <c r="Y73" s="494"/>
      <c r="Z73" s="548" t="s">
        <v>723</v>
      </c>
      <c r="AA73" s="572" t="s">
        <v>688</v>
      </c>
      <c r="AB73" s="499" t="s">
        <v>715</v>
      </c>
      <c r="AC73" s="502"/>
      <c r="AD73" s="494"/>
      <c r="AJ73" s="71"/>
    </row>
    <row r="74" spans="1:56">
      <c r="C74" s="672" t="s">
        <v>722</v>
      </c>
      <c r="D74" s="415">
        <v>6.9807611492883398E-4</v>
      </c>
      <c r="E74" s="403">
        <v>6.9807611492883392E-2</v>
      </c>
      <c r="F74" s="436">
        <v>0.58497448672896479</v>
      </c>
      <c r="G74" s="416">
        <v>0.14303143398079293</v>
      </c>
      <c r="H74" s="416">
        <v>0.11423068355400876</v>
      </c>
      <c r="I74" s="416">
        <v>0.13319882907066524</v>
      </c>
      <c r="J74" s="417">
        <v>2.456456666556834E-2</v>
      </c>
      <c r="K74" s="399"/>
      <c r="L74" s="408"/>
      <c r="P74" s="494"/>
      <c r="Q74" s="494"/>
      <c r="R74" s="494"/>
      <c r="S74" s="494"/>
      <c r="T74" s="494"/>
      <c r="U74" s="548" t="s">
        <v>778</v>
      </c>
      <c r="V74" s="572">
        <v>2</v>
      </c>
      <c r="W74" s="573">
        <f t="shared" ref="W74:W80" si="7">V74-V$73</f>
        <v>2</v>
      </c>
      <c r="X74" s="494"/>
      <c r="Y74" s="494"/>
      <c r="Z74" s="480" t="s">
        <v>689</v>
      </c>
      <c r="AA74" s="573">
        <v>1</v>
      </c>
      <c r="AB74" s="575" t="s">
        <v>687</v>
      </c>
      <c r="AC74" s="574"/>
      <c r="AD74" s="494"/>
      <c r="AG74" s="86" t="s">
        <v>106</v>
      </c>
      <c r="AH74" s="87"/>
      <c r="AI74" s="87"/>
      <c r="AJ74" s="88"/>
      <c r="AK74" s="159"/>
    </row>
    <row r="75" spans="1:56">
      <c r="K75" s="383"/>
      <c r="P75" s="494"/>
      <c r="Q75" s="494"/>
      <c r="R75" s="494"/>
      <c r="S75" s="494"/>
      <c r="T75" s="494"/>
      <c r="U75" s="500" t="s">
        <v>753</v>
      </c>
      <c r="V75" s="574"/>
      <c r="W75" s="575">
        <f t="shared" si="7"/>
        <v>0</v>
      </c>
      <c r="X75" s="494"/>
      <c r="Y75" s="494"/>
      <c r="Z75" s="548" t="s">
        <v>751</v>
      </c>
      <c r="AA75" s="572">
        <v>1</v>
      </c>
      <c r="AB75" s="573">
        <f t="shared" ref="AB75:AB81" si="8">AA75-AA$74</f>
        <v>0</v>
      </c>
      <c r="AC75" s="574"/>
      <c r="AD75" s="494"/>
      <c r="AG75" s="387" t="s">
        <v>59</v>
      </c>
      <c r="AH75" s="69"/>
      <c r="AI75" s="69"/>
      <c r="AJ75" s="71"/>
    </row>
    <row r="76" spans="1:56">
      <c r="A76" s="73"/>
      <c r="B76" s="73"/>
      <c r="C76" s="73"/>
      <c r="D76" s="234"/>
      <c r="E76" s="235"/>
      <c r="F76" s="239"/>
      <c r="G76" s="235"/>
      <c r="H76" s="73"/>
      <c r="I76" s="240"/>
      <c r="J76" s="235"/>
      <c r="K76" s="235"/>
      <c r="L76" s="65"/>
      <c r="M76" s="65"/>
      <c r="N76" s="65"/>
      <c r="P76" s="494"/>
      <c r="Q76" s="494"/>
      <c r="R76" s="494"/>
      <c r="S76" s="494"/>
      <c r="T76" s="494"/>
      <c r="U76" s="500" t="s">
        <v>750</v>
      </c>
      <c r="V76" s="576"/>
      <c r="W76" s="575">
        <f t="shared" si="7"/>
        <v>0</v>
      </c>
      <c r="X76" s="494"/>
      <c r="Y76" s="494"/>
      <c r="Z76" s="500" t="s">
        <v>753</v>
      </c>
      <c r="AA76" s="574">
        <v>2</v>
      </c>
      <c r="AB76" s="575">
        <f t="shared" si="8"/>
        <v>1</v>
      </c>
      <c r="AC76" s="574"/>
      <c r="AD76" s="494"/>
      <c r="AG76" s="387"/>
      <c r="AH76" s="69" t="s">
        <v>56</v>
      </c>
      <c r="AI76" s="69" t="s">
        <v>55</v>
      </c>
      <c r="AJ76" s="71" t="s">
        <v>54</v>
      </c>
      <c r="AK76" s="158" t="s">
        <v>53</v>
      </c>
    </row>
    <row r="77" spans="1:56">
      <c r="D77" s="80" t="s">
        <v>576</v>
      </c>
      <c r="E77" s="399"/>
      <c r="F77" s="80"/>
      <c r="G77" s="80"/>
      <c r="H77" s="398"/>
      <c r="I77" s="80"/>
      <c r="J77" s="80"/>
      <c r="K77" s="54"/>
      <c r="P77" s="494"/>
      <c r="Q77" s="494"/>
      <c r="R77" s="494"/>
      <c r="S77" s="494"/>
      <c r="T77" s="494"/>
      <c r="U77" s="500" t="s">
        <v>754</v>
      </c>
      <c r="V77" s="576"/>
      <c r="W77" s="575">
        <f t="shared" si="7"/>
        <v>0</v>
      </c>
      <c r="X77" s="494"/>
      <c r="Y77" s="494"/>
      <c r="Z77" s="500" t="s">
        <v>750</v>
      </c>
      <c r="AA77" s="576">
        <v>1</v>
      </c>
      <c r="AB77" s="575">
        <f t="shared" si="8"/>
        <v>0</v>
      </c>
      <c r="AC77" s="574"/>
      <c r="AD77" s="494"/>
      <c r="AG77" s="387"/>
      <c r="AH77" s="69" t="s">
        <v>51</v>
      </c>
      <c r="AI77" s="85">
        <f>0.93*(1-AI95^2)</f>
        <v>0.83476799999999995</v>
      </c>
      <c r="AJ77" s="71" t="s">
        <v>36</v>
      </c>
      <c r="AK77" s="158" t="s">
        <v>50</v>
      </c>
    </row>
    <row r="78" spans="1:56">
      <c r="C78" s="50" t="s">
        <v>571</v>
      </c>
      <c r="D78" s="440" t="s">
        <v>522</v>
      </c>
      <c r="E78" s="441">
        <v>0</v>
      </c>
      <c r="F78" s="441">
        <v>3</v>
      </c>
      <c r="G78" s="441">
        <v>6</v>
      </c>
      <c r="H78" s="398" t="s">
        <v>577</v>
      </c>
      <c r="J78" s="80" t="s">
        <v>523</v>
      </c>
      <c r="K78" s="54"/>
      <c r="P78" s="494"/>
      <c r="Q78" s="494"/>
      <c r="R78" s="494"/>
      <c r="S78" s="494"/>
      <c r="T78" s="494"/>
      <c r="U78" s="500" t="s">
        <v>752</v>
      </c>
      <c r="V78" s="576"/>
      <c r="W78" s="575">
        <f t="shared" si="7"/>
        <v>0</v>
      </c>
      <c r="X78" s="494"/>
      <c r="Y78" s="494"/>
      <c r="Z78" s="500" t="s">
        <v>754</v>
      </c>
      <c r="AA78" s="576">
        <v>0</v>
      </c>
      <c r="AB78" s="575">
        <f t="shared" si="8"/>
        <v>-1</v>
      </c>
      <c r="AC78" s="574"/>
      <c r="AD78" s="494"/>
      <c r="AG78" s="387"/>
      <c r="AH78" s="69" t="s">
        <v>45</v>
      </c>
      <c r="AI78" s="85">
        <f ca="1">AQ11</f>
        <v>6.8741936000000003E-2</v>
      </c>
      <c r="AJ78" s="71" t="s">
        <v>36</v>
      </c>
      <c r="AK78" s="158" t="s">
        <v>44</v>
      </c>
    </row>
    <row r="79" spans="1:56">
      <c r="D79" s="442" t="s">
        <v>436</v>
      </c>
      <c r="E79" s="397">
        <v>3</v>
      </c>
      <c r="F79" s="397">
        <v>2</v>
      </c>
      <c r="G79" s="397">
        <v>1</v>
      </c>
      <c r="H79" s="443">
        <v>200</v>
      </c>
      <c r="J79" s="80" t="s">
        <v>524</v>
      </c>
      <c r="K79" s="54"/>
      <c r="P79" s="494"/>
      <c r="Q79" s="494"/>
      <c r="R79" s="494"/>
      <c r="S79" s="494"/>
      <c r="T79" s="494"/>
      <c r="U79" s="500" t="s">
        <v>757</v>
      </c>
      <c r="V79" s="576"/>
      <c r="W79" s="575">
        <f t="shared" si="7"/>
        <v>0</v>
      </c>
      <c r="X79" s="494"/>
      <c r="Y79" s="494"/>
      <c r="Z79" s="500" t="s">
        <v>752</v>
      </c>
      <c r="AA79" s="576">
        <v>2</v>
      </c>
      <c r="AB79" s="575">
        <f t="shared" si="8"/>
        <v>1</v>
      </c>
      <c r="AC79" s="574"/>
      <c r="AD79" s="494"/>
      <c r="AG79" s="387"/>
      <c r="AH79" s="69" t="s">
        <v>227</v>
      </c>
      <c r="AI79" s="85">
        <f ca="1">AI78/AI82</f>
        <v>0.28256351467872831</v>
      </c>
      <c r="AJ79" s="71"/>
      <c r="AK79" s="158" t="s">
        <v>228</v>
      </c>
    </row>
    <row r="80" spans="1:56">
      <c r="D80" s="442" t="s">
        <v>438</v>
      </c>
      <c r="E80" s="397">
        <v>2</v>
      </c>
      <c r="F80" s="397">
        <v>1</v>
      </c>
      <c r="G80" s="397">
        <v>0</v>
      </c>
      <c r="H80" s="443">
        <v>200</v>
      </c>
      <c r="J80" s="80" t="s">
        <v>525</v>
      </c>
      <c r="K80" s="54"/>
      <c r="P80" s="494"/>
      <c r="Q80" s="494"/>
      <c r="R80" s="494"/>
      <c r="S80" s="494"/>
      <c r="T80" s="494"/>
      <c r="U80" s="550" t="s">
        <v>756</v>
      </c>
      <c r="V80" s="677"/>
      <c r="W80" s="571">
        <f t="shared" si="7"/>
        <v>0</v>
      </c>
      <c r="X80" s="494"/>
      <c r="Y80" s="494"/>
      <c r="Z80" s="500" t="s">
        <v>757</v>
      </c>
      <c r="AA80" s="576">
        <v>2</v>
      </c>
      <c r="AB80" s="575">
        <f t="shared" si="8"/>
        <v>1</v>
      </c>
      <c r="AC80" s="574"/>
      <c r="AD80" s="494"/>
      <c r="AG80" s="387"/>
      <c r="AH80" s="69" t="s">
        <v>151</v>
      </c>
      <c r="AI80" s="85">
        <v>0.34</v>
      </c>
      <c r="AJ80" s="71" t="s">
        <v>36</v>
      </c>
      <c r="AK80" s="158" t="s">
        <v>155</v>
      </c>
    </row>
    <row r="81" spans="1:37">
      <c r="D81" s="444" t="s">
        <v>575</v>
      </c>
      <c r="E81" s="398"/>
      <c r="F81" s="444"/>
      <c r="G81" s="445">
        <f>S7</f>
        <v>0</v>
      </c>
      <c r="H81" s="398"/>
      <c r="J81" s="80" t="s">
        <v>526</v>
      </c>
      <c r="K81" s="54"/>
      <c r="P81" s="494"/>
      <c r="Q81" s="494"/>
      <c r="R81" s="494"/>
      <c r="S81" s="494"/>
      <c r="T81" s="494"/>
      <c r="U81" s="494"/>
      <c r="V81" s="494"/>
      <c r="W81" s="494"/>
      <c r="X81" s="494"/>
      <c r="Y81" s="494"/>
      <c r="Z81" s="550" t="s">
        <v>756</v>
      </c>
      <c r="AA81" s="677">
        <v>3</v>
      </c>
      <c r="AB81" s="571">
        <f t="shared" si="8"/>
        <v>2</v>
      </c>
      <c r="AC81" s="574"/>
      <c r="AD81" s="494"/>
      <c r="AG81" s="387"/>
      <c r="AH81" s="69" t="s">
        <v>152</v>
      </c>
      <c r="AI81" s="85">
        <f ca="1">AI80/AI79</f>
        <v>1.2032692911063778</v>
      </c>
      <c r="AJ81" s="71" t="s">
        <v>154</v>
      </c>
      <c r="AK81" s="158" t="s">
        <v>153</v>
      </c>
    </row>
    <row r="82" spans="1:37">
      <c r="D82" s="444"/>
      <c r="E82" s="398"/>
      <c r="F82" s="444"/>
      <c r="G82" s="445"/>
      <c r="H82" s="398"/>
      <c r="J82" s="80"/>
      <c r="K82" s="54"/>
      <c r="P82" s="494"/>
      <c r="Q82" s="494"/>
      <c r="R82" s="494"/>
      <c r="S82" s="494"/>
      <c r="T82" s="494"/>
      <c r="U82" s="494"/>
      <c r="V82" s="494"/>
      <c r="W82" s="494"/>
      <c r="X82" s="494"/>
      <c r="Y82" s="494"/>
      <c r="Z82" s="494"/>
      <c r="AA82" s="494"/>
      <c r="AB82" s="494"/>
      <c r="AC82" s="494"/>
      <c r="AD82" s="494"/>
      <c r="AG82" s="387"/>
      <c r="AH82" s="69" t="s">
        <v>48</v>
      </c>
      <c r="AI82" s="85">
        <f ca="1">AQ14</f>
        <v>0.24327958999999999</v>
      </c>
      <c r="AJ82" s="71" t="s">
        <v>36</v>
      </c>
      <c r="AK82" s="158" t="s">
        <v>47</v>
      </c>
    </row>
    <row r="83" spans="1:37">
      <c r="D83" s="110" t="s">
        <v>579</v>
      </c>
      <c r="E83" s="72"/>
      <c r="J83" s="80"/>
      <c r="K83" s="54"/>
      <c r="P83" s="494"/>
      <c r="Q83" s="494"/>
      <c r="R83" s="494"/>
      <c r="S83" s="494"/>
      <c r="T83" s="494"/>
      <c r="U83" s="494"/>
      <c r="V83" s="494"/>
      <c r="W83" s="494"/>
      <c r="X83" s="494"/>
      <c r="Y83" s="494"/>
      <c r="Z83" s="494"/>
      <c r="AA83" s="494"/>
      <c r="AB83" s="494"/>
      <c r="AC83" s="494"/>
      <c r="AD83" s="494"/>
      <c r="AG83" s="387"/>
      <c r="AH83" s="69" t="s">
        <v>157</v>
      </c>
      <c r="AI83" s="85">
        <f ca="1">1/(AI82*AI81)</f>
        <v>3.4161072074307146</v>
      </c>
      <c r="AJ83" s="71"/>
      <c r="AK83" s="158" t="s">
        <v>156</v>
      </c>
    </row>
    <row r="84" spans="1:37">
      <c r="D84" s="440" t="s">
        <v>522</v>
      </c>
      <c r="E84" s="441">
        <v>5</v>
      </c>
      <c r="F84" s="441">
        <v>10</v>
      </c>
      <c r="G84" s="441">
        <v>15</v>
      </c>
      <c r="H84" s="398" t="s">
        <v>440</v>
      </c>
      <c r="J84" s="80"/>
      <c r="K84" s="54"/>
      <c r="P84" s="494"/>
      <c r="Q84" s="494"/>
      <c r="R84" s="494"/>
      <c r="S84" s="494"/>
      <c r="T84" s="494"/>
      <c r="U84" s="494"/>
      <c r="V84" s="494"/>
      <c r="W84" s="494"/>
      <c r="X84" s="494"/>
      <c r="Y84" s="494"/>
      <c r="Z84" s="494"/>
      <c r="AA84" s="494"/>
      <c r="AB84" s="494"/>
      <c r="AC84" s="494"/>
      <c r="AD84" s="494"/>
      <c r="AG84" s="387"/>
      <c r="AH84" s="69" t="s">
        <v>42</v>
      </c>
      <c r="AI84" s="85">
        <f>AQ17</f>
        <v>0.54458878691384804</v>
      </c>
      <c r="AJ84" s="71" t="s">
        <v>36</v>
      </c>
      <c r="AK84" s="158" t="s">
        <v>41</v>
      </c>
    </row>
    <row r="85" spans="1:37">
      <c r="D85" s="442" t="s">
        <v>436</v>
      </c>
      <c r="E85" s="397">
        <v>11</v>
      </c>
      <c r="F85" s="397">
        <v>7</v>
      </c>
      <c r="G85" s="397">
        <v>3</v>
      </c>
      <c r="H85" s="447">
        <v>0</v>
      </c>
      <c r="J85" s="80"/>
      <c r="K85" s="54"/>
      <c r="P85" s="494"/>
      <c r="Q85" s="494"/>
      <c r="R85" s="494"/>
      <c r="S85" s="494"/>
      <c r="T85" s="494"/>
      <c r="U85" s="494"/>
      <c r="V85" s="494"/>
      <c r="W85" s="494"/>
      <c r="X85" s="494"/>
      <c r="Y85" s="494"/>
      <c r="Z85" s="494"/>
      <c r="AA85" s="494"/>
      <c r="AB85" s="494"/>
      <c r="AC85" s="494"/>
      <c r="AD85" s="494"/>
      <c r="AG85" s="387"/>
      <c r="AH85" s="69" t="s">
        <v>39</v>
      </c>
      <c r="AI85" s="85">
        <v>0.9</v>
      </c>
      <c r="AJ85" s="71" t="s">
        <v>36</v>
      </c>
      <c r="AK85" s="158" t="s">
        <v>148</v>
      </c>
    </row>
    <row r="86" spans="1:37">
      <c r="D86" s="442" t="s">
        <v>438</v>
      </c>
      <c r="E86" s="397">
        <v>5</v>
      </c>
      <c r="F86" s="397">
        <v>3</v>
      </c>
      <c r="G86" s="397">
        <v>2</v>
      </c>
      <c r="H86" s="447">
        <v>0</v>
      </c>
      <c r="J86" s="80"/>
      <c r="K86" s="54"/>
      <c r="P86" s="494"/>
      <c r="Q86" s="494"/>
      <c r="R86" s="494"/>
      <c r="S86" s="494"/>
      <c r="T86" s="494"/>
      <c r="U86" s="494"/>
      <c r="W86" s="494"/>
      <c r="X86" s="494"/>
      <c r="Y86" s="494"/>
      <c r="Z86" s="502"/>
      <c r="AA86" s="494"/>
      <c r="AB86" s="494"/>
      <c r="AC86" s="494"/>
      <c r="AD86" s="494"/>
      <c r="AG86" s="387"/>
      <c r="AH86" s="69" t="s">
        <v>37</v>
      </c>
      <c r="AI86" s="85">
        <v>0.5</v>
      </c>
      <c r="AJ86" s="71" t="s">
        <v>36</v>
      </c>
      <c r="AK86" s="158" t="s">
        <v>35</v>
      </c>
    </row>
    <row r="87" spans="1:37">
      <c r="P87" s="73"/>
      <c r="Q87" s="73"/>
      <c r="R87" s="73"/>
      <c r="S87" s="73"/>
      <c r="T87" s="73"/>
      <c r="U87" s="73"/>
      <c r="V87" s="73"/>
      <c r="W87" s="73"/>
      <c r="X87" s="73"/>
      <c r="Y87" s="73"/>
      <c r="Z87" s="73"/>
      <c r="AA87" s="73"/>
      <c r="AB87" s="73"/>
      <c r="AC87" s="73"/>
      <c r="AD87" s="73"/>
      <c r="AG87" s="387"/>
      <c r="AH87" s="147" t="s">
        <v>33</v>
      </c>
      <c r="AI87" s="148">
        <f ca="1" xml:space="preserve"> AI77*AI78*AI84*AI85*AI86</f>
        <v>1.4062701564244487E-2</v>
      </c>
      <c r="AJ87" s="71"/>
      <c r="AK87" s="158" t="s">
        <v>32</v>
      </c>
    </row>
    <row r="88" spans="1:37" ht="15.75">
      <c r="C88" s="237" t="s">
        <v>429</v>
      </c>
      <c r="D88" s="237" t="s">
        <v>538</v>
      </c>
      <c r="E88" s="238" t="s">
        <v>430</v>
      </c>
      <c r="F88" s="238" t="s">
        <v>63</v>
      </c>
      <c r="G88" s="237" t="s">
        <v>460</v>
      </c>
      <c r="H88" s="237" t="s">
        <v>440</v>
      </c>
      <c r="I88" s="238" t="s">
        <v>236</v>
      </c>
      <c r="J88" s="237" t="s">
        <v>441</v>
      </c>
      <c r="K88" s="238" t="s">
        <v>492</v>
      </c>
      <c r="L88" s="238" t="s">
        <v>28</v>
      </c>
      <c r="M88" s="238" t="s">
        <v>268</v>
      </c>
      <c r="AG88" s="387"/>
      <c r="AH88" s="149" t="s">
        <v>221</v>
      </c>
      <c r="AI88" s="150">
        <f ca="1">AI77*AI82*AI84*AI85*AI86</f>
        <v>4.9768285124261798E-2</v>
      </c>
      <c r="AJ88" s="71"/>
    </row>
    <row r="89" spans="1:37">
      <c r="C89" s="338" t="s">
        <v>436</v>
      </c>
      <c r="D89" s="336">
        <v>660</v>
      </c>
      <c r="E89" s="337">
        <v>0.18</v>
      </c>
      <c r="F89" s="336">
        <v>50</v>
      </c>
      <c r="G89" s="236" t="s">
        <v>163</v>
      </c>
      <c r="H89" s="337">
        <v>0.5</v>
      </c>
      <c r="I89" s="337">
        <v>0.1</v>
      </c>
      <c r="J89" s="236" t="s">
        <v>437</v>
      </c>
      <c r="K89" s="336">
        <v>200</v>
      </c>
      <c r="L89" s="336">
        <v>15</v>
      </c>
      <c r="M89" s="236" t="s">
        <v>164</v>
      </c>
      <c r="AG89" s="387"/>
      <c r="AH89" s="151" t="s">
        <v>222</v>
      </c>
      <c r="AI89" s="152">
        <f>AI77*AI84*AI85*AI86</f>
        <v>0.20457238161352459</v>
      </c>
      <c r="AJ89" s="71"/>
    </row>
    <row r="90" spans="1:37">
      <c r="C90" s="338" t="s">
        <v>438</v>
      </c>
      <c r="D90" s="336">
        <v>770</v>
      </c>
      <c r="E90" s="337">
        <v>0.18</v>
      </c>
      <c r="F90" s="336">
        <v>50</v>
      </c>
      <c r="G90" s="236" t="s">
        <v>163</v>
      </c>
      <c r="H90" s="337">
        <v>0.5</v>
      </c>
      <c r="I90" s="337">
        <v>0.1</v>
      </c>
      <c r="J90" s="236" t="s">
        <v>437</v>
      </c>
      <c r="K90" s="336">
        <v>200</v>
      </c>
      <c r="L90" s="336">
        <v>15</v>
      </c>
      <c r="M90" s="236" t="s">
        <v>164</v>
      </c>
      <c r="AG90" s="387"/>
      <c r="AH90" s="69"/>
      <c r="AI90" s="85"/>
      <c r="AJ90" s="71"/>
    </row>
    <row r="92" spans="1:37">
      <c r="A92" s="73"/>
      <c r="B92" s="73"/>
      <c r="C92" s="73"/>
      <c r="D92" s="234"/>
      <c r="E92" s="235"/>
      <c r="F92" s="239"/>
      <c r="G92" s="235"/>
      <c r="H92" s="73"/>
      <c r="I92" s="240"/>
      <c r="J92" s="235"/>
      <c r="K92" s="235"/>
      <c r="L92" s="65"/>
      <c r="M92" s="65"/>
      <c r="N92" s="65"/>
      <c r="AG92" s="387" t="s">
        <v>82</v>
      </c>
      <c r="AH92" s="50"/>
      <c r="AI92" s="79"/>
      <c r="AJ92" s="71"/>
    </row>
    <row r="93" spans="1:37">
      <c r="AG93" s="387"/>
      <c r="AH93" s="80" t="s">
        <v>56</v>
      </c>
      <c r="AI93" s="81" t="s">
        <v>55</v>
      </c>
      <c r="AJ93" s="71" t="s">
        <v>54</v>
      </c>
      <c r="AK93" s="54" t="s">
        <v>53</v>
      </c>
    </row>
    <row r="94" spans="1:37">
      <c r="AA94" s="493">
        <f ca="1">t_pl/AI77</f>
        <v>1.6846239391357223E-2</v>
      </c>
      <c r="AG94" s="387"/>
      <c r="AH94" s="80" t="s">
        <v>75</v>
      </c>
      <c r="AI94" s="80">
        <v>2.37</v>
      </c>
      <c r="AJ94" s="71" t="s">
        <v>27</v>
      </c>
      <c r="AK94" s="54" t="s">
        <v>74</v>
      </c>
    </row>
    <row r="95" spans="1:37">
      <c r="AG95" s="387"/>
      <c r="AH95" s="80" t="s">
        <v>72</v>
      </c>
      <c r="AI95" s="82">
        <v>0.32</v>
      </c>
      <c r="AJ95" s="71" t="s">
        <v>71</v>
      </c>
      <c r="AK95" s="54" t="s">
        <v>70</v>
      </c>
    </row>
    <row r="96" spans="1:37">
      <c r="G96" s="70"/>
      <c r="H96" s="70"/>
      <c r="I96" s="70"/>
      <c r="J96" s="70"/>
      <c r="K96" s="70"/>
      <c r="L96" s="70"/>
      <c r="M96" s="70"/>
      <c r="AG96" s="387"/>
      <c r="AH96" s="80" t="s">
        <v>68</v>
      </c>
      <c r="AI96" s="83">
        <f>AI18/AI94</f>
        <v>2.7848101265822783E-7</v>
      </c>
      <c r="AJ96" s="71" t="s">
        <v>67</v>
      </c>
      <c r="AK96" s="54" t="s">
        <v>66</v>
      </c>
    </row>
    <row r="97" spans="3:37">
      <c r="C97" t="s">
        <v>586</v>
      </c>
      <c r="G97" s="70"/>
      <c r="H97" s="70"/>
      <c r="I97" s="70"/>
      <c r="J97" s="70"/>
      <c r="K97" s="70"/>
      <c r="L97" s="70"/>
      <c r="M97" s="70"/>
      <c r="AG97" s="387"/>
      <c r="AH97" s="80" t="s">
        <v>65</v>
      </c>
      <c r="AI97" s="84">
        <f>((PI()/4)*AI94^2)</f>
        <v>4.4115029439871272</v>
      </c>
      <c r="AJ97" s="71" t="s">
        <v>64</v>
      </c>
      <c r="AK97" s="54" t="s">
        <v>457</v>
      </c>
    </row>
    <row r="98" spans="3:37">
      <c r="C98" s="480"/>
      <c r="D98" s="481" t="s">
        <v>422</v>
      </c>
      <c r="E98" s="482">
        <v>100</v>
      </c>
      <c r="F98" s="487" t="s">
        <v>588</v>
      </c>
      <c r="G98" s="70"/>
      <c r="H98" s="70"/>
      <c r="I98" s="70"/>
      <c r="J98" s="70"/>
      <c r="K98" s="70"/>
      <c r="L98" s="70"/>
      <c r="M98" s="70"/>
      <c r="AG98" s="387"/>
      <c r="AH98" s="69"/>
      <c r="AI98" s="69"/>
      <c r="AJ98" s="71"/>
    </row>
    <row r="99" spans="3:37">
      <c r="C99" s="319" t="s">
        <v>587</v>
      </c>
      <c r="D99" s="120">
        <f>AR27</f>
        <v>0</v>
      </c>
      <c r="E99" s="244" t="s">
        <v>93</v>
      </c>
      <c r="F99" s="483"/>
      <c r="G99" s="70"/>
      <c r="H99" s="70"/>
      <c r="I99" s="70"/>
      <c r="J99" s="70"/>
      <c r="K99" s="70"/>
      <c r="L99" s="70"/>
      <c r="M99" s="70"/>
    </row>
    <row r="100" spans="3:37">
      <c r="C100" s="319" t="s">
        <v>532</v>
      </c>
      <c r="D100" s="120">
        <v>2.3E-3</v>
      </c>
      <c r="E100" s="244" t="s">
        <v>93</v>
      </c>
      <c r="F100" s="483"/>
      <c r="G100" s="70"/>
      <c r="H100" s="70"/>
      <c r="I100" s="70"/>
      <c r="J100" s="70"/>
      <c r="K100" s="70"/>
      <c r="L100" s="70"/>
      <c r="M100" s="70"/>
    </row>
    <row r="101" spans="3:37">
      <c r="C101" s="319" t="s">
        <v>57</v>
      </c>
      <c r="D101" s="120">
        <f>AR28</f>
        <v>6.9999999999999999E-4</v>
      </c>
      <c r="E101" s="244" t="s">
        <v>99</v>
      </c>
      <c r="F101" s="483"/>
      <c r="G101" s="70"/>
      <c r="H101" s="70"/>
      <c r="I101" s="70"/>
      <c r="J101" s="70"/>
      <c r="K101" s="70"/>
      <c r="L101" s="70"/>
      <c r="M101" s="70"/>
    </row>
    <row r="102" spans="3:37">
      <c r="C102" s="484" t="s">
        <v>589</v>
      </c>
      <c r="D102" s="479">
        <f>SQRT(SUM(D99^2,D100,D101*E98))</f>
        <v>0.26888659319497504</v>
      </c>
      <c r="E102" s="485" t="s">
        <v>93</v>
      </c>
      <c r="F102" s="486"/>
      <c r="G102" s="70"/>
      <c r="H102" s="70"/>
      <c r="I102" s="70"/>
      <c r="J102" s="70"/>
      <c r="K102" s="70"/>
      <c r="L102" s="70"/>
      <c r="M102" s="70"/>
    </row>
    <row r="103" spans="3:37">
      <c r="D103" s="69"/>
      <c r="G103" s="70"/>
      <c r="H103" s="70"/>
      <c r="I103" s="70"/>
      <c r="J103" s="70"/>
      <c r="K103" s="70"/>
      <c r="L103" s="70"/>
      <c r="M103" s="70"/>
    </row>
    <row r="104" spans="3:37">
      <c r="D104" s="69"/>
      <c r="G104" s="70"/>
      <c r="H104" s="70"/>
      <c r="I104" s="70"/>
      <c r="J104" s="70"/>
      <c r="K104" s="70"/>
      <c r="L104" s="70"/>
      <c r="M104" s="70"/>
    </row>
    <row r="105" spans="3:37">
      <c r="D105" s="69"/>
      <c r="G105" s="70"/>
      <c r="H105" s="70"/>
      <c r="I105" s="70"/>
      <c r="J105" s="70"/>
      <c r="K105" s="70"/>
      <c r="L105" s="70"/>
      <c r="M105" s="70"/>
    </row>
    <row r="106" spans="3:37">
      <c r="D106" s="69"/>
      <c r="G106" s="70"/>
      <c r="H106" s="70"/>
      <c r="I106" s="70"/>
      <c r="J106" s="70"/>
      <c r="K106" s="70"/>
      <c r="L106" s="70"/>
      <c r="M106" s="70"/>
    </row>
    <row r="107" spans="3:37">
      <c r="C107" t="s">
        <v>601</v>
      </c>
      <c r="D107"/>
      <c r="E107"/>
      <c r="G107" s="70"/>
      <c r="H107" s="70"/>
      <c r="I107" s="70"/>
      <c r="J107" s="70"/>
      <c r="K107" s="70"/>
      <c r="L107" s="70"/>
      <c r="M107" s="70"/>
    </row>
    <row r="108" spans="3:37">
      <c r="C108" t="s">
        <v>600</v>
      </c>
      <c r="D108">
        <v>2</v>
      </c>
      <c r="E108" t="s">
        <v>593</v>
      </c>
      <c r="G108" s="70"/>
      <c r="H108" s="70"/>
      <c r="I108" s="70"/>
      <c r="J108" s="70"/>
      <c r="K108" s="70"/>
      <c r="L108" s="70"/>
      <c r="M108" s="70"/>
    </row>
    <row r="109" spans="3:37">
      <c r="C109" t="s">
        <v>599</v>
      </c>
      <c r="D109" s="492">
        <f>0.85</f>
        <v>0.85</v>
      </c>
      <c r="E109"/>
      <c r="G109" s="70"/>
      <c r="H109" s="70"/>
      <c r="I109" s="70"/>
      <c r="J109" s="70"/>
      <c r="K109" s="70"/>
      <c r="L109" s="70"/>
      <c r="M109" s="70"/>
    </row>
    <row r="110" spans="3:37">
      <c r="C110" t="s">
        <v>598</v>
      </c>
      <c r="D110" s="492">
        <f>0.585*0.9*0.5</f>
        <v>0.26324999999999998</v>
      </c>
      <c r="E110"/>
      <c r="G110" s="70"/>
      <c r="H110" s="70"/>
      <c r="I110" s="70"/>
      <c r="J110" s="70"/>
      <c r="K110" s="70"/>
      <c r="L110" s="70"/>
      <c r="M110" s="70"/>
      <c r="W110" s="72" t="s">
        <v>507</v>
      </c>
      <c r="X110" s="69" t="s">
        <v>508</v>
      </c>
      <c r="Y110" s="72" t="s">
        <v>509</v>
      </c>
    </row>
    <row r="111" spans="3:37">
      <c r="C111" t="s">
        <v>597</v>
      </c>
      <c r="D111" s="491">
        <v>3.9E-2</v>
      </c>
      <c r="E111"/>
      <c r="G111" s="70"/>
      <c r="H111" s="70"/>
      <c r="I111" s="70"/>
      <c r="J111" s="70"/>
      <c r="K111" s="70"/>
      <c r="L111" s="70"/>
      <c r="M111" s="70"/>
      <c r="W111" s="70">
        <v>1</v>
      </c>
      <c r="X111" s="70">
        <v>1</v>
      </c>
      <c r="Y111" s="70">
        <v>1</v>
      </c>
    </row>
    <row r="112" spans="3:37">
      <c r="C112" t="s">
        <v>596</v>
      </c>
      <c r="D112" s="490">
        <f>PRODUCT(D109:D111)*D108</f>
        <v>1.7453475E-2</v>
      </c>
      <c r="E112" t="s">
        <v>593</v>
      </c>
      <c r="G112" s="70"/>
      <c r="H112" s="70"/>
      <c r="I112" s="70"/>
      <c r="J112" s="70"/>
      <c r="K112" s="70"/>
      <c r="L112" s="70"/>
      <c r="M112" s="70"/>
      <c r="W112" s="70">
        <v>6</v>
      </c>
      <c r="X112" s="70">
        <v>6</v>
      </c>
      <c r="Y112" s="70">
        <v>6</v>
      </c>
    </row>
    <row r="113" spans="3:25">
      <c r="C113" t="s">
        <v>595</v>
      </c>
      <c r="D113" s="489">
        <f>D112/5</f>
        <v>3.4906949999999998E-3</v>
      </c>
      <c r="E113" t="s">
        <v>593</v>
      </c>
      <c r="G113" s="70"/>
      <c r="H113" s="70"/>
      <c r="I113" s="70"/>
      <c r="J113" s="70"/>
      <c r="K113" s="70"/>
      <c r="L113" s="70"/>
      <c r="M113" s="70"/>
      <c r="W113" s="70">
        <v>5</v>
      </c>
      <c r="X113" s="70">
        <v>9</v>
      </c>
      <c r="Y113" s="70">
        <v>5</v>
      </c>
    </row>
    <row r="114" spans="3:25">
      <c r="C114" t="s">
        <v>594</v>
      </c>
      <c r="D114" s="488">
        <f>D112/9/16</f>
        <v>1.2120468749999999E-4</v>
      </c>
      <c r="E114" t="s">
        <v>593</v>
      </c>
      <c r="G114" s="70"/>
      <c r="H114" s="70"/>
      <c r="I114" s="70"/>
      <c r="J114" s="70"/>
      <c r="K114" s="70"/>
      <c r="L114" s="70"/>
      <c r="M114" s="70"/>
      <c r="W114" s="70">
        <v>9</v>
      </c>
      <c r="X114" s="70">
        <v>5</v>
      </c>
      <c r="Y114" s="70">
        <v>9</v>
      </c>
    </row>
    <row r="115" spans="3:25">
      <c r="G115" s="70"/>
      <c r="H115" s="70"/>
      <c r="I115" s="70"/>
      <c r="J115" s="70"/>
      <c r="K115" s="70"/>
      <c r="L115" s="70"/>
      <c r="M115" s="70"/>
      <c r="W115" s="70">
        <v>2</v>
      </c>
      <c r="X115" s="70">
        <v>13</v>
      </c>
      <c r="Y115" s="70">
        <v>7</v>
      </c>
    </row>
    <row r="116" spans="3:25">
      <c r="G116" s="70"/>
      <c r="H116" s="70"/>
      <c r="I116" s="70"/>
      <c r="J116" s="70"/>
      <c r="K116" s="70"/>
      <c r="L116" s="70"/>
      <c r="M116" s="70"/>
      <c r="W116" s="70">
        <v>7</v>
      </c>
      <c r="X116" s="70">
        <v>14</v>
      </c>
      <c r="Y116" s="70">
        <v>13</v>
      </c>
    </row>
    <row r="117" spans="3:25">
      <c r="G117" s="70"/>
      <c r="H117" s="70"/>
      <c r="I117" s="70"/>
      <c r="J117" s="70"/>
      <c r="K117" s="70"/>
      <c r="L117" s="70"/>
      <c r="M117" s="70"/>
      <c r="W117" s="70">
        <v>13</v>
      </c>
      <c r="X117" s="70">
        <v>11</v>
      </c>
      <c r="Y117" s="70">
        <v>11</v>
      </c>
    </row>
    <row r="118" spans="3:25">
      <c r="G118" s="70"/>
      <c r="H118" s="70"/>
      <c r="I118" s="70"/>
      <c r="J118" s="70"/>
      <c r="K118" s="70"/>
      <c r="L118" s="70"/>
      <c r="M118" s="70"/>
      <c r="W118" s="70">
        <v>33</v>
      </c>
      <c r="X118" s="70">
        <v>2</v>
      </c>
      <c r="Y118" s="70">
        <v>14</v>
      </c>
    </row>
    <row r="119" spans="3:25">
      <c r="G119" s="70"/>
      <c r="H119" s="70"/>
      <c r="I119" s="70"/>
      <c r="J119" s="70"/>
      <c r="K119" s="70"/>
      <c r="L119" s="70"/>
      <c r="M119" s="70"/>
      <c r="W119" s="70">
        <v>14</v>
      </c>
      <c r="X119" s="70">
        <v>3</v>
      </c>
      <c r="Y119" s="70">
        <v>33</v>
      </c>
    </row>
    <row r="120" spans="3:25">
      <c r="G120" s="70"/>
      <c r="H120" s="70"/>
      <c r="I120" s="70"/>
      <c r="J120" s="70"/>
      <c r="K120" s="70"/>
      <c r="L120" s="70"/>
      <c r="M120" s="70"/>
      <c r="W120" s="70">
        <v>11</v>
      </c>
      <c r="X120" s="70">
        <v>4</v>
      </c>
      <c r="Y120" s="70">
        <v>15</v>
      </c>
    </row>
    <row r="121" spans="3:25">
      <c r="G121" s="70"/>
      <c r="H121" s="70"/>
      <c r="I121" s="70"/>
      <c r="J121" s="70"/>
      <c r="K121" s="70"/>
      <c r="L121" s="70"/>
      <c r="M121" s="70"/>
      <c r="W121" s="70">
        <v>15</v>
      </c>
      <c r="X121" s="70">
        <v>7</v>
      </c>
      <c r="Y121" s="70">
        <v>17</v>
      </c>
    </row>
    <row r="122" spans="3:25">
      <c r="G122" s="70"/>
      <c r="H122" s="70"/>
      <c r="I122" s="70"/>
      <c r="J122" s="70"/>
      <c r="K122" s="70"/>
      <c r="L122" s="70"/>
      <c r="M122" s="70"/>
      <c r="W122" s="70">
        <v>4</v>
      </c>
      <c r="X122" s="70">
        <v>8</v>
      </c>
      <c r="Y122" s="70">
        <v>19</v>
      </c>
    </row>
    <row r="123" spans="3:25">
      <c r="G123" s="70"/>
      <c r="H123" s="70"/>
      <c r="I123" s="70"/>
      <c r="J123" s="70"/>
      <c r="K123" s="70"/>
      <c r="L123" s="70"/>
      <c r="M123" s="70"/>
      <c r="W123" s="70">
        <v>17</v>
      </c>
      <c r="X123" s="70">
        <v>10</v>
      </c>
      <c r="Y123" s="70">
        <v>20</v>
      </c>
    </row>
    <row r="124" spans="3:25">
      <c r="G124" s="70"/>
      <c r="H124" s="70"/>
      <c r="I124" s="70"/>
      <c r="J124" s="70"/>
      <c r="K124" s="70"/>
      <c r="L124" s="70"/>
      <c r="M124" s="70"/>
      <c r="W124" s="70">
        <v>19</v>
      </c>
      <c r="X124" s="70">
        <v>12</v>
      </c>
      <c r="Y124" s="70">
        <v>2</v>
      </c>
    </row>
    <row r="125" spans="3:25">
      <c r="G125" s="70"/>
      <c r="H125" s="70"/>
      <c r="I125" s="70"/>
      <c r="J125" s="70"/>
      <c r="K125" s="70"/>
      <c r="L125" s="70"/>
      <c r="M125" s="70"/>
      <c r="W125" s="70">
        <v>3</v>
      </c>
      <c r="X125" s="70">
        <v>15</v>
      </c>
      <c r="Y125" s="70">
        <v>3</v>
      </c>
    </row>
    <row r="126" spans="3:25">
      <c r="G126" s="70"/>
      <c r="H126" s="70"/>
      <c r="I126" s="70"/>
      <c r="J126" s="70"/>
      <c r="K126" s="70"/>
      <c r="L126" s="70"/>
      <c r="M126" s="70"/>
      <c r="W126" s="70">
        <v>8</v>
      </c>
      <c r="X126" s="70">
        <v>16</v>
      </c>
      <c r="Y126" s="70">
        <v>4</v>
      </c>
    </row>
    <row r="127" spans="3:25">
      <c r="G127" s="70"/>
      <c r="H127" s="70"/>
      <c r="I127" s="70"/>
      <c r="J127" s="70"/>
      <c r="K127" s="70"/>
      <c r="L127" s="70"/>
      <c r="M127" s="70"/>
      <c r="W127" s="70">
        <v>10</v>
      </c>
      <c r="X127" s="70">
        <v>17</v>
      </c>
      <c r="Y127" s="70">
        <v>8</v>
      </c>
    </row>
    <row r="128" spans="3:25">
      <c r="G128" s="70"/>
      <c r="H128" s="70"/>
      <c r="I128" s="70"/>
      <c r="J128" s="70"/>
      <c r="K128" s="70"/>
      <c r="L128" s="70"/>
      <c r="M128" s="70"/>
      <c r="W128" s="70">
        <v>12</v>
      </c>
      <c r="X128" s="70">
        <v>18</v>
      </c>
      <c r="Y128" s="70">
        <v>10</v>
      </c>
    </row>
    <row r="129" spans="6:63">
      <c r="G129" s="70"/>
      <c r="H129" s="70"/>
      <c r="I129" s="70"/>
      <c r="J129" s="70"/>
      <c r="K129" s="70"/>
      <c r="L129" s="70"/>
      <c r="M129" s="70"/>
      <c r="W129" s="70">
        <v>16</v>
      </c>
      <c r="X129" s="70">
        <v>19</v>
      </c>
      <c r="Y129" s="70">
        <v>12</v>
      </c>
    </row>
    <row r="130" spans="6:63">
      <c r="F130" s="70"/>
      <c r="G130" s="70"/>
      <c r="H130" s="70"/>
      <c r="I130" s="70"/>
      <c r="J130" s="70"/>
      <c r="K130" s="70"/>
      <c r="L130" s="70"/>
      <c r="M130" s="70"/>
      <c r="W130" s="70">
        <v>18</v>
      </c>
      <c r="X130" s="70">
        <v>20</v>
      </c>
      <c r="Y130" s="70">
        <v>16</v>
      </c>
    </row>
    <row r="131" spans="6:63">
      <c r="W131" s="70">
        <v>20</v>
      </c>
      <c r="X131" s="70">
        <v>21</v>
      </c>
      <c r="Y131" s="70">
        <v>18</v>
      </c>
    </row>
    <row r="132" spans="6:63">
      <c r="W132" s="70">
        <v>21</v>
      </c>
      <c r="X132" s="70">
        <v>22</v>
      </c>
      <c r="Y132" s="70">
        <v>21</v>
      </c>
      <c r="BI132" s="101"/>
      <c r="BJ132" s="102"/>
      <c r="BK132" s="103"/>
    </row>
    <row r="133" spans="6:63">
      <c r="W133" s="70">
        <v>22</v>
      </c>
      <c r="X133" s="70">
        <v>23</v>
      </c>
      <c r="Y133" s="70">
        <v>22</v>
      </c>
      <c r="BI133" s="101"/>
      <c r="BJ133" s="102"/>
      <c r="BK133" s="103"/>
    </row>
    <row r="134" spans="6:63">
      <c r="W134" s="70">
        <v>23</v>
      </c>
      <c r="X134" s="70">
        <v>24</v>
      </c>
      <c r="Y134" s="70">
        <v>23</v>
      </c>
      <c r="BI134" s="101"/>
      <c r="BJ134" s="102"/>
      <c r="BK134" s="103"/>
    </row>
    <row r="135" spans="6:63">
      <c r="W135" s="70">
        <v>24</v>
      </c>
      <c r="X135" s="70">
        <v>25</v>
      </c>
      <c r="Y135" s="70">
        <v>24</v>
      </c>
      <c r="BI135" s="101"/>
      <c r="BJ135" s="102"/>
      <c r="BK135" s="103"/>
    </row>
    <row r="136" spans="6:63">
      <c r="W136" s="70">
        <v>25</v>
      </c>
      <c r="X136" s="70">
        <v>26</v>
      </c>
      <c r="Y136" s="70">
        <v>25</v>
      </c>
      <c r="BI136" s="101"/>
      <c r="BJ136" s="102"/>
      <c r="BK136" s="103"/>
    </row>
    <row r="137" spans="6:63">
      <c r="W137" s="70">
        <v>26</v>
      </c>
      <c r="X137" s="70">
        <v>27</v>
      </c>
      <c r="Y137" s="70">
        <v>26</v>
      </c>
      <c r="BI137" s="101"/>
      <c r="BJ137" s="102"/>
      <c r="BK137" s="103"/>
    </row>
    <row r="138" spans="6:63">
      <c r="W138" s="70">
        <v>27</v>
      </c>
      <c r="X138" s="70">
        <v>28</v>
      </c>
      <c r="Y138" s="70">
        <v>27</v>
      </c>
    </row>
    <row r="139" spans="6:63">
      <c r="W139" s="70">
        <v>28</v>
      </c>
      <c r="X139" s="70">
        <v>29</v>
      </c>
      <c r="Y139" s="70">
        <v>28</v>
      </c>
    </row>
    <row r="140" spans="6:63">
      <c r="W140" s="70">
        <v>29</v>
      </c>
      <c r="X140" s="70">
        <v>30</v>
      </c>
      <c r="Y140" s="70">
        <v>29</v>
      </c>
    </row>
    <row r="141" spans="6:63">
      <c r="Q141" s="69">
        <v>1</v>
      </c>
      <c r="R141" s="69" t="s">
        <v>280</v>
      </c>
      <c r="S141" s="69">
        <v>1.1499999999999999</v>
      </c>
      <c r="T141" s="69">
        <v>169.6584414581402</v>
      </c>
      <c r="U141" s="69">
        <v>2.9536208860161759</v>
      </c>
      <c r="V141" s="69">
        <v>9.8472194652930707</v>
      </c>
      <c r="W141" s="70">
        <v>30</v>
      </c>
      <c r="X141" s="70">
        <v>31</v>
      </c>
      <c r="Y141" s="70">
        <v>30</v>
      </c>
      <c r="Z141" s="69">
        <v>13148749525.449024</v>
      </c>
      <c r="AA141" s="69">
        <v>94.887082632103898</v>
      </c>
    </row>
    <row r="142" spans="6:63">
      <c r="Q142" s="69">
        <v>6</v>
      </c>
      <c r="R142" s="69" t="s">
        <v>312</v>
      </c>
      <c r="S142" s="69">
        <v>3.72</v>
      </c>
      <c r="T142" s="69">
        <v>458.37784031316755</v>
      </c>
      <c r="U142" s="69">
        <v>7.9800000000000013</v>
      </c>
      <c r="V142" s="69">
        <v>8.1828208077969133</v>
      </c>
      <c r="W142" s="70">
        <v>31</v>
      </c>
      <c r="X142" s="70">
        <v>32</v>
      </c>
      <c r="Y142" s="70">
        <v>31</v>
      </c>
      <c r="Z142" s="69">
        <v>1232776799.3645694</v>
      </c>
      <c r="AA142" s="69">
        <v>7.3925882528513762</v>
      </c>
    </row>
    <row r="143" spans="6:63">
      <c r="Q143" s="69">
        <v>9</v>
      </c>
      <c r="R143" s="69" t="s">
        <v>330</v>
      </c>
      <c r="S143" s="69">
        <v>5.03</v>
      </c>
      <c r="T143" s="69">
        <v>254.00314306640973</v>
      </c>
      <c r="U143" s="69">
        <v>4.4219962297591096</v>
      </c>
      <c r="V143" s="69">
        <v>7.7310017580866077</v>
      </c>
      <c r="W143" s="70">
        <v>32</v>
      </c>
      <c r="X143" s="70">
        <v>33</v>
      </c>
      <c r="Y143" s="70">
        <v>32</v>
      </c>
      <c r="Z143" s="69">
        <v>368879442.15696293</v>
      </c>
      <c r="AA143" s="69">
        <v>3.174023338273686</v>
      </c>
    </row>
    <row r="144" spans="6:63">
      <c r="Q144" s="69">
        <v>5</v>
      </c>
      <c r="R144" s="69" t="s">
        <v>305</v>
      </c>
      <c r="S144" s="69">
        <v>4.0999999999999996</v>
      </c>
      <c r="T144" s="69">
        <v>187.11791040351034</v>
      </c>
      <c r="U144" s="69">
        <v>3.257576596634439</v>
      </c>
      <c r="V144" s="69">
        <v>4.9855908976830499</v>
      </c>
      <c r="W144" s="70">
        <v>34</v>
      </c>
      <c r="X144" s="70">
        <v>34</v>
      </c>
      <c r="Y144" s="70">
        <v>34</v>
      </c>
      <c r="Z144" s="69">
        <v>868729266.09571552</v>
      </c>
      <c r="AA144" s="69">
        <v>2.0899180123180026</v>
      </c>
    </row>
    <row r="145" spans="17:27">
      <c r="Q145" s="69">
        <v>13</v>
      </c>
      <c r="R145" s="69" t="s">
        <v>341</v>
      </c>
      <c r="S145" s="69">
        <v>5.73</v>
      </c>
      <c r="T145" s="69">
        <v>250.52812793623363</v>
      </c>
      <c r="U145" s="69">
        <v>4.3614989318970236</v>
      </c>
      <c r="V145" s="69">
        <v>5.6729680825100806</v>
      </c>
      <c r="W145" s="69">
        <v>0.24311265577222996</v>
      </c>
      <c r="X145" s="69">
        <v>0.37824479337063588</v>
      </c>
      <c r="Y145" s="69">
        <v>28.106744451578514</v>
      </c>
      <c r="Z145" s="69">
        <v>193590683.1767486</v>
      </c>
      <c r="AA145" s="69">
        <v>5.9957814970014036</v>
      </c>
    </row>
    <row r="146" spans="17:27">
      <c r="Q146" s="69">
        <v>14</v>
      </c>
      <c r="R146" s="69" t="s">
        <v>344</v>
      </c>
      <c r="S146" s="69">
        <v>5.12</v>
      </c>
      <c r="T146" s="69">
        <v>344.30633546299094</v>
      </c>
      <c r="U146" s="69">
        <v>5.9941042418575678</v>
      </c>
      <c r="V146" s="69">
        <v>3.1393479432500824</v>
      </c>
      <c r="W146" s="69">
        <v>-3.6967617047173551E-2</v>
      </c>
      <c r="X146" s="69">
        <v>-1</v>
      </c>
      <c r="Y146" s="69">
        <v>27.808244628373451</v>
      </c>
      <c r="Z146" s="69">
        <v>339534924.56192547</v>
      </c>
      <c r="AA146" s="69">
        <v>3.0292745147471174</v>
      </c>
    </row>
    <row r="147" spans="17:27">
      <c r="Q147" s="69">
        <v>11</v>
      </c>
      <c r="R147" s="69" t="s">
        <v>334</v>
      </c>
      <c r="S147" s="69">
        <v>4.8499999999999996</v>
      </c>
      <c r="T147" s="69">
        <v>256.94131990304646</v>
      </c>
      <c r="U147" s="69">
        <v>4.4731475924435324</v>
      </c>
      <c r="V147" s="69">
        <v>2.5374622562110054</v>
      </c>
      <c r="W147" s="69">
        <v>-0.1538481730175274</v>
      </c>
      <c r="X147" s="69">
        <v>-1</v>
      </c>
      <c r="Y147" s="69">
        <v>32.864301011048205</v>
      </c>
      <c r="Z147" s="69">
        <v>435396017.64556223</v>
      </c>
      <c r="AA147" s="69">
        <v>0.80482937140805089</v>
      </c>
    </row>
    <row r="148" spans="17:27">
      <c r="Q148" s="69">
        <v>2</v>
      </c>
      <c r="R148" s="69" t="s">
        <v>290</v>
      </c>
      <c r="S148" s="69">
        <v>3.21</v>
      </c>
      <c r="T148" s="69">
        <v>140.35199682323577</v>
      </c>
      <c r="U148" s="69">
        <v>2.4434185864749094</v>
      </c>
      <c r="V148" s="69">
        <v>4.1490848900707764</v>
      </c>
      <c r="W148" s="69">
        <v>-1</v>
      </c>
      <c r="X148" s="69">
        <v>-1</v>
      </c>
      <c r="Y148" s="69">
        <v>159.58536892252681</v>
      </c>
      <c r="Z148" s="69">
        <v>1971898026.9134927</v>
      </c>
      <c r="AA148" s="69">
        <v>0.62278861860741519</v>
      </c>
    </row>
    <row r="149" spans="17:27">
      <c r="Q149" s="69">
        <v>3</v>
      </c>
      <c r="R149" s="69" t="s">
        <v>295</v>
      </c>
      <c r="S149" s="69">
        <v>5.37</v>
      </c>
      <c r="T149" s="69">
        <v>102.48788924627674</v>
      </c>
      <c r="U149" s="69">
        <v>1.784234062507307</v>
      </c>
      <c r="V149" s="69">
        <v>65.045402676301791</v>
      </c>
      <c r="W149" s="69">
        <v>-1</v>
      </c>
      <c r="X149" s="69">
        <v>-1</v>
      </c>
      <c r="Y149" s="69">
        <v>58.723594625648225</v>
      </c>
      <c r="Z149" s="69">
        <v>269702177.25451607</v>
      </c>
      <c r="AA149" s="69">
        <v>0.78114728836140002</v>
      </c>
    </row>
    <row r="150" spans="17:27">
      <c r="Q150" s="69">
        <v>4</v>
      </c>
      <c r="R150" s="69" t="s">
        <v>299</v>
      </c>
      <c r="S150" s="69">
        <v>5.73</v>
      </c>
      <c r="T150" s="69">
        <v>132.8213110210109</v>
      </c>
      <c r="U150" s="69">
        <v>2.3123152315206275</v>
      </c>
      <c r="V150" s="69">
        <v>5.2409602299446147</v>
      </c>
      <c r="W150" s="69">
        <v>-1</v>
      </c>
      <c r="X150" s="69">
        <v>-1</v>
      </c>
      <c r="Y150" s="69">
        <v>38.798090539561628</v>
      </c>
      <c r="Z150" s="69">
        <v>193590683.1767486</v>
      </c>
      <c r="AA150" s="69">
        <v>0.80964207269208033</v>
      </c>
    </row>
    <row r="151" spans="17:27">
      <c r="Q151" s="69">
        <v>7</v>
      </c>
      <c r="R151" s="69" t="s">
        <v>315</v>
      </c>
      <c r="S151" s="69">
        <v>5.03</v>
      </c>
      <c r="T151" s="69">
        <v>149.43716356034045</v>
      </c>
      <c r="U151" s="69">
        <v>2.6015842397546645</v>
      </c>
      <c r="V151" s="69">
        <v>11.205859015139888</v>
      </c>
      <c r="W151" s="69">
        <v>-1</v>
      </c>
      <c r="X151" s="69">
        <v>-1</v>
      </c>
      <c r="Y151" s="69">
        <v>46.312312545923987</v>
      </c>
      <c r="Z151" s="69">
        <v>368879442.15696293</v>
      </c>
      <c r="AA151" s="69">
        <v>0.43084160965180313</v>
      </c>
    </row>
    <row r="152" spans="17:27">
      <c r="Q152" s="69">
        <v>8</v>
      </c>
      <c r="R152" s="69" t="s">
        <v>320</v>
      </c>
      <c r="S152" s="69">
        <v>5.52</v>
      </c>
      <c r="T152" s="69">
        <v>115.96725900262707</v>
      </c>
      <c r="U152" s="69">
        <v>2.0188993564974922</v>
      </c>
      <c r="V152" s="69">
        <v>18.075780203152789</v>
      </c>
      <c r="W152" s="69">
        <v>-1</v>
      </c>
      <c r="X152" s="69">
        <v>-1</v>
      </c>
      <c r="Y152" s="69">
        <v>47.597630688259905</v>
      </c>
      <c r="Z152" s="69">
        <v>234900776.52056488</v>
      </c>
      <c r="AA152" s="69">
        <v>0.74354000694017175</v>
      </c>
    </row>
    <row r="153" spans="17:27">
      <c r="Q153" s="69">
        <v>10</v>
      </c>
      <c r="R153" s="69" t="s">
        <v>331</v>
      </c>
      <c r="S153" s="69">
        <v>5.65</v>
      </c>
      <c r="T153" s="69">
        <v>182.71962871962867</v>
      </c>
      <c r="U153" s="69">
        <v>3.1810059495599727</v>
      </c>
      <c r="V153" s="69">
        <v>1.2014829492281485</v>
      </c>
      <c r="W153" s="69">
        <v>-1</v>
      </c>
      <c r="X153" s="69">
        <v>-1</v>
      </c>
      <c r="Y153" s="69">
        <v>32.385693789660444</v>
      </c>
      <c r="Z153" s="69">
        <v>208393636.12260443</v>
      </c>
      <c r="AA153" s="69">
        <v>0.31516464951930778</v>
      </c>
    </row>
    <row r="154" spans="17:27">
      <c r="Q154" s="69">
        <v>12</v>
      </c>
      <c r="R154" s="69" t="s">
        <v>337</v>
      </c>
      <c r="S154" s="69">
        <v>7.48</v>
      </c>
      <c r="T154" s="69">
        <v>105.76731953265138</v>
      </c>
      <c r="U154" s="69">
        <v>1.8413263810787941</v>
      </c>
      <c r="V154" s="69">
        <v>19.967551215286242</v>
      </c>
      <c r="W154" s="69">
        <v>-1</v>
      </c>
      <c r="X154" s="69">
        <v>-1</v>
      </c>
      <c r="Y154" s="69">
        <v>28.606096905073343</v>
      </c>
      <c r="Z154" s="69">
        <v>38626419.467164621</v>
      </c>
      <c r="AA154" s="69">
        <v>0.28312134130725763</v>
      </c>
    </row>
    <row r="155" spans="17:27">
      <c r="Q155" s="69">
        <v>15</v>
      </c>
      <c r="R155" s="69" t="s">
        <v>348</v>
      </c>
      <c r="S155" s="69">
        <v>6.61</v>
      </c>
      <c r="T155" s="69">
        <v>166.95235493637458</v>
      </c>
      <c r="U155" s="69">
        <v>2.9065100343464354</v>
      </c>
      <c r="V155" s="69">
        <v>6.8300544001785113</v>
      </c>
      <c r="W155" s="69">
        <v>-5.1186030850492141</v>
      </c>
      <c r="X155" s="69">
        <v>-1</v>
      </c>
      <c r="Y155" s="69">
        <v>28.111828300221649</v>
      </c>
      <c r="Z155" s="69">
        <v>86076470.831088409</v>
      </c>
      <c r="AA155" s="69">
        <v>12.856124917109275</v>
      </c>
    </row>
    <row r="156" spans="17:27">
      <c r="Q156" s="69">
        <v>16</v>
      </c>
      <c r="R156" s="69" t="s">
        <v>351</v>
      </c>
      <c r="S156" s="69">
        <v>7.02</v>
      </c>
      <c r="T156" s="69">
        <v>100.92205484743143</v>
      </c>
      <c r="U156" s="69">
        <v>1.7569741092463713</v>
      </c>
      <c r="V156" s="69">
        <v>8.6935738330570764</v>
      </c>
      <c r="W156" s="69">
        <v>-1</v>
      </c>
      <c r="X156" s="69">
        <v>-1</v>
      </c>
      <c r="Y156" s="69">
        <v>31.777561329302323</v>
      </c>
      <c r="Z156" s="69">
        <v>59004407.329307079</v>
      </c>
      <c r="AA156" s="69">
        <v>3.1116484766409687</v>
      </c>
    </row>
    <row r="157" spans="17:27">
      <c r="Q157" s="69">
        <v>17</v>
      </c>
      <c r="R157" s="69" t="s">
        <v>353</v>
      </c>
      <c r="S157" s="69">
        <v>5.96</v>
      </c>
      <c r="T157" s="69">
        <v>443.6128059897415</v>
      </c>
      <c r="U157" s="69">
        <v>7.7229522905809755</v>
      </c>
      <c r="V157" s="69">
        <v>2.745642709646047</v>
      </c>
      <c r="W157" s="69">
        <v>-8.5554562883410163</v>
      </c>
      <c r="X157" s="69">
        <v>-1</v>
      </c>
      <c r="Y157" s="69">
        <v>25.005430258748824</v>
      </c>
      <c r="Z157" s="69">
        <v>156633427.8774488</v>
      </c>
      <c r="AA157" s="69">
        <v>0.18348944578479942</v>
      </c>
    </row>
    <row r="158" spans="17:27">
      <c r="Q158" s="69">
        <v>18</v>
      </c>
      <c r="R158" s="69" t="s">
        <v>356</v>
      </c>
      <c r="S158" s="69">
        <v>7.17</v>
      </c>
      <c r="T158" s="69">
        <v>113.32920024798511</v>
      </c>
      <c r="U158" s="69">
        <v>1.9729728150930035</v>
      </c>
      <c r="V158" s="69">
        <v>8.5343319211436022</v>
      </c>
      <c r="W158" s="69">
        <v>-1</v>
      </c>
      <c r="X158" s="69">
        <v>-1</v>
      </c>
      <c r="Y158" s="69">
        <v>29.34930633017898</v>
      </c>
      <c r="Z158" s="69">
        <v>51390690.430764109</v>
      </c>
      <c r="AA158" s="69">
        <v>0.56522099343352117</v>
      </c>
    </row>
    <row r="159" spans="17:27">
      <c r="Q159" s="69">
        <v>19</v>
      </c>
      <c r="R159" s="69" t="s">
        <v>360</v>
      </c>
      <c r="S159" s="69">
        <v>6.17</v>
      </c>
      <c r="T159" s="69">
        <v>268.62768796897825</v>
      </c>
      <c r="U159" s="69">
        <v>4.6765981281466136</v>
      </c>
      <c r="V159" s="69">
        <v>2.9928098884804561</v>
      </c>
      <c r="W159" s="69">
        <v>-5.5818081623511917</v>
      </c>
      <c r="X159" s="69">
        <v>-1</v>
      </c>
      <c r="Y159" s="69">
        <v>26.351071501183462</v>
      </c>
      <c r="Z159" s="69">
        <v>129087577.99894567</v>
      </c>
      <c r="AA159" s="69">
        <v>0.37591687684070008</v>
      </c>
    </row>
    <row r="160" spans="17:27">
      <c r="Q160" s="69">
        <v>20</v>
      </c>
      <c r="R160" s="69" t="s">
        <v>364</v>
      </c>
      <c r="S160" s="69">
        <v>6.76</v>
      </c>
      <c r="T160" s="69">
        <v>226.70034539526776</v>
      </c>
      <c r="U160" s="69">
        <v>3.9466758581048906</v>
      </c>
      <c r="V160" s="69">
        <v>4.4664833059962232</v>
      </c>
      <c r="W160" s="69">
        <v>-3.160021582970268</v>
      </c>
      <c r="X160" s="69">
        <v>-1</v>
      </c>
      <c r="Y160" s="69">
        <v>25.903669804839751</v>
      </c>
      <c r="Z160" s="69">
        <v>74969472.045794591</v>
      </c>
      <c r="AA160" s="69">
        <v>0.32141268043189131</v>
      </c>
    </row>
    <row r="161" spans="17:27">
      <c r="Q161" s="69">
        <v>21</v>
      </c>
      <c r="R161" s="69" t="s">
        <v>366</v>
      </c>
      <c r="S161" s="69">
        <v>7.26</v>
      </c>
      <c r="T161" s="69">
        <v>113.09774895678564</v>
      </c>
      <c r="U161" s="69">
        <v>1.968943428981079</v>
      </c>
      <c r="V161" s="69">
        <v>6.1808902816636104</v>
      </c>
      <c r="W161" s="69">
        <v>-1</v>
      </c>
      <c r="X161" s="69">
        <v>-1</v>
      </c>
      <c r="Y161" s="69">
        <v>28.938392299331205</v>
      </c>
      <c r="Z161" s="69">
        <v>47302538.999096647</v>
      </c>
      <c r="AA161" s="69">
        <v>0.24539131736388367</v>
      </c>
    </row>
    <row r="162" spans="17:27">
      <c r="Q162" s="69">
        <v>22</v>
      </c>
      <c r="R162" s="69" t="s">
        <v>368</v>
      </c>
      <c r="S162" s="69">
        <v>6.47</v>
      </c>
      <c r="T162" s="69">
        <v>222.2865429012993</v>
      </c>
      <c r="U162" s="69">
        <v>3.8698350058555668</v>
      </c>
      <c r="V162" s="69">
        <v>2.2398179413352808</v>
      </c>
      <c r="W162" s="69">
        <v>-1</v>
      </c>
      <c r="X162" s="69">
        <v>-1</v>
      </c>
      <c r="Y162" s="69">
        <v>26.612494574380577</v>
      </c>
      <c r="Z162" s="69">
        <v>97922941.884830832</v>
      </c>
      <c r="AA162" s="69">
        <v>0.21426168274431043</v>
      </c>
    </row>
    <row r="163" spans="17:27">
      <c r="Q163" s="69">
        <v>23</v>
      </c>
      <c r="R163" s="69" t="s">
        <v>371</v>
      </c>
      <c r="S163" s="69">
        <v>7.57</v>
      </c>
      <c r="T163" s="69">
        <v>196.45591870365283</v>
      </c>
      <c r="U163" s="69">
        <v>3.4201440239433736</v>
      </c>
      <c r="V163" s="69">
        <v>2.2500260835674624</v>
      </c>
      <c r="W163" s="69">
        <v>-1</v>
      </c>
      <c r="X163" s="69">
        <v>-1</v>
      </c>
      <c r="Y163" s="69">
        <v>25.175192116053022</v>
      </c>
      <c r="Z163" s="69">
        <v>35553671.256910026</v>
      </c>
      <c r="AA163" s="69">
        <v>0.16073342392562745</v>
      </c>
    </row>
    <row r="164" spans="17:27">
      <c r="Q164" s="69">
        <v>24</v>
      </c>
      <c r="R164" s="69" t="s">
        <v>373</v>
      </c>
      <c r="S164" s="69">
        <v>7.12</v>
      </c>
      <c r="T164" s="69">
        <v>104.65661914460283</v>
      </c>
      <c r="U164" s="69">
        <v>1.8219899552808718</v>
      </c>
      <c r="V164" s="69">
        <v>3.3351090684121276</v>
      </c>
      <c r="W164" s="69">
        <v>-1</v>
      </c>
      <c r="X164" s="69">
        <v>-1</v>
      </c>
      <c r="Y164" s="69">
        <v>30.584902094503065</v>
      </c>
      <c r="Z164" s="69">
        <v>53812659.054099262</v>
      </c>
      <c r="AA164" s="69">
        <v>5.8624753510831851E-2</v>
      </c>
    </row>
    <row r="165" spans="17:27">
      <c r="Q165" s="69">
        <v>25</v>
      </c>
      <c r="R165" s="69" t="s">
        <v>376</v>
      </c>
      <c r="S165" s="69">
        <v>8.3800000000000008</v>
      </c>
      <c r="T165" s="69">
        <v>112.93526760689701</v>
      </c>
      <c r="U165" s="69">
        <v>1.9661147556507421</v>
      </c>
      <c r="V165" s="69">
        <v>8.2283588720543186</v>
      </c>
      <c r="W165" s="69">
        <v>-1</v>
      </c>
      <c r="X165" s="69">
        <v>-1</v>
      </c>
      <c r="Y165" s="69">
        <v>25.718325738299267</v>
      </c>
      <c r="Z165" s="69">
        <v>16861043.64016711</v>
      </c>
      <c r="AA165" s="69">
        <v>0.13152354869962729</v>
      </c>
    </row>
    <row r="166" spans="17:27">
      <c r="Q166" s="69">
        <v>26</v>
      </c>
      <c r="R166" s="69" t="s">
        <v>379</v>
      </c>
      <c r="S166" s="69">
        <v>7.5</v>
      </c>
      <c r="T166" s="69">
        <v>105.67037853312243</v>
      </c>
      <c r="U166" s="69">
        <v>1.8396387140316426</v>
      </c>
      <c r="V166" s="69">
        <v>2.4662718786131452</v>
      </c>
      <c r="W166" s="69">
        <v>-1</v>
      </c>
      <c r="X166" s="69">
        <v>-1</v>
      </c>
      <c r="Y166" s="69">
        <v>28.529122608386441</v>
      </c>
      <c r="Z166" s="69">
        <v>37921407.858115993</v>
      </c>
      <c r="AA166" s="69">
        <v>0.101673248996098</v>
      </c>
    </row>
    <row r="167" spans="17:27">
      <c r="Q167" s="69">
        <v>27</v>
      </c>
      <c r="R167" s="69" t="s">
        <v>381</v>
      </c>
      <c r="S167" s="69">
        <v>7.61</v>
      </c>
      <c r="T167" s="69">
        <v>116.42594543752628</v>
      </c>
      <c r="U167" s="69">
        <v>2.0268847288880836</v>
      </c>
      <c r="V167" s="69">
        <v>2.7282122591434446</v>
      </c>
      <c r="W167" s="69">
        <v>-1</v>
      </c>
      <c r="X167" s="69">
        <v>-1</v>
      </c>
      <c r="Y167" s="69">
        <v>27.352771451824903</v>
      </c>
      <c r="Z167" s="69">
        <v>34267660.253795192</v>
      </c>
      <c r="AA167" s="69">
        <v>6.8538473568484304E-2</v>
      </c>
    </row>
    <row r="168" spans="17:27">
      <c r="Q168" s="69">
        <v>28</v>
      </c>
      <c r="R168" s="69" t="s">
        <v>383</v>
      </c>
      <c r="S168" s="69">
        <v>7.83</v>
      </c>
      <c r="T168" s="69">
        <v>100.10774388449855</v>
      </c>
      <c r="U168" s="69">
        <v>1.7427975917258804</v>
      </c>
      <c r="V168" s="69">
        <v>3.2337233405951604</v>
      </c>
      <c r="W168" s="69">
        <v>-1</v>
      </c>
      <c r="X168" s="69">
        <v>-1</v>
      </c>
      <c r="Y168" s="69">
        <v>27.710773174993452</v>
      </c>
      <c r="Z168" s="69">
        <v>27982367.270954702</v>
      </c>
      <c r="AA168" s="69">
        <v>6.8512786801042169E-2</v>
      </c>
    </row>
    <row r="169" spans="17:27">
      <c r="Q169" s="69">
        <v>29</v>
      </c>
      <c r="R169" s="69" t="s">
        <v>386</v>
      </c>
      <c r="S169" s="69">
        <v>8.66</v>
      </c>
      <c r="T169" s="69">
        <v>458.37784031316755</v>
      </c>
      <c r="U169" s="69">
        <v>7.9800000000000013</v>
      </c>
      <c r="V169" s="69">
        <v>0</v>
      </c>
      <c r="W169" s="69">
        <v>-1</v>
      </c>
      <c r="X169" s="69">
        <v>-1</v>
      </c>
      <c r="Y169" s="69">
        <v>23.960946811375404</v>
      </c>
      <c r="Z169" s="69">
        <v>13028201.065208489</v>
      </c>
      <c r="AA169" s="69">
        <v>6.6312643084619871E-2</v>
      </c>
    </row>
    <row r="170" spans="17:27">
      <c r="Q170" s="69">
        <v>30</v>
      </c>
      <c r="R170" s="69" t="s">
        <v>390</v>
      </c>
      <c r="S170" s="69">
        <v>5.77</v>
      </c>
      <c r="T170" s="69">
        <v>88.600345948728418</v>
      </c>
      <c r="U170" s="69">
        <v>1.5424627861325138</v>
      </c>
      <c r="V170" s="69">
        <v>10.67919019261687</v>
      </c>
      <c r="W170" s="69">
        <v>-1</v>
      </c>
      <c r="X170" s="69">
        <v>-1</v>
      </c>
      <c r="Y170" s="69">
        <v>56.138488686188239</v>
      </c>
      <c r="Z170" s="69">
        <v>186588319.1489431</v>
      </c>
      <c r="AA170" s="69">
        <v>0</v>
      </c>
    </row>
    <row r="171" spans="17:27">
      <c r="Q171" s="69">
        <v>31</v>
      </c>
      <c r="R171" s="69" t="s">
        <v>393</v>
      </c>
      <c r="S171" s="69">
        <v>5.7</v>
      </c>
      <c r="T171" s="69">
        <v>330.09708737864077</v>
      </c>
      <c r="U171" s="69">
        <v>5.7467323365411023</v>
      </c>
      <c r="V171" s="69">
        <v>1.1869088290820782</v>
      </c>
      <c r="W171" s="69">
        <v>-1</v>
      </c>
      <c r="X171" s="69">
        <v>-1</v>
      </c>
      <c r="Y171" s="69">
        <v>26.401938204647898</v>
      </c>
      <c r="Z171" s="69">
        <v>199014377.47113594</v>
      </c>
      <c r="AA171" s="69">
        <v>1.4602654107375825</v>
      </c>
    </row>
    <row r="172" spans="17:27">
      <c r="Q172" s="69">
        <v>32</v>
      </c>
      <c r="R172" s="69" t="s">
        <v>396</v>
      </c>
      <c r="S172" s="69">
        <v>3.34</v>
      </c>
      <c r="T172" s="69">
        <v>130.34188034188031</v>
      </c>
      <c r="U172" s="69">
        <v>2.2691502809507127</v>
      </c>
      <c r="V172" s="69">
        <v>0.33601896817795568</v>
      </c>
      <c r="W172" s="69">
        <v>-1</v>
      </c>
      <c r="X172" s="69">
        <v>-1</v>
      </c>
      <c r="Y172" s="69">
        <v>163.47250044405803</v>
      </c>
      <c r="Z172" s="69">
        <v>1749381189.7020977</v>
      </c>
      <c r="AA172" s="69">
        <v>0.17310548832823749</v>
      </c>
    </row>
    <row r="173" spans="17:27">
      <c r="Q173" s="69">
        <v>33</v>
      </c>
      <c r="R173" s="69" t="s">
        <v>400</v>
      </c>
      <c r="S173" s="69">
        <v>5.81</v>
      </c>
      <c r="T173" s="69">
        <v>200.9981851179673</v>
      </c>
      <c r="U173" s="69">
        <v>3.4992213326576538</v>
      </c>
      <c r="V173" s="69">
        <v>4.7254937193976776</v>
      </c>
      <c r="W173" s="69">
        <v>-0.35704898819705821</v>
      </c>
      <c r="X173" s="69">
        <v>-1</v>
      </c>
      <c r="Y173" s="69">
        <v>29.959330385615111</v>
      </c>
      <c r="Z173" s="69">
        <v>179839237.46496367</v>
      </c>
      <c r="AA173" s="69">
        <v>0.43078172488995958</v>
      </c>
    </row>
    <row r="174" spans="17:27">
      <c r="Q174" s="69">
        <v>34</v>
      </c>
      <c r="R174" s="69" t="s">
        <v>404</v>
      </c>
      <c r="S174" s="69">
        <v>5.9</v>
      </c>
      <c r="T174" s="69">
        <v>98.40232547973946</v>
      </c>
      <c r="U174" s="69">
        <v>1.7131075900000561</v>
      </c>
      <c r="V174" s="69">
        <v>3.6874723861396355</v>
      </c>
      <c r="W174" s="69">
        <v>-1</v>
      </c>
      <c r="X174" s="69">
        <v>-1</v>
      </c>
      <c r="Y174" s="69">
        <v>47.094000436452639</v>
      </c>
      <c r="Z174" s="69">
        <v>165532949.10904247</v>
      </c>
      <c r="AA174" s="69">
        <v>0.44732405564479971</v>
      </c>
    </row>
  </sheetData>
  <sortState ref="Q145:AE178">
    <sortCondition descending="1" ref="AA145:AA178"/>
  </sortState>
  <mergeCells count="29">
    <mergeCell ref="AQ20:AR20"/>
    <mergeCell ref="S4:T4"/>
    <mergeCell ref="S5:T5"/>
    <mergeCell ref="AQ14:AR14"/>
    <mergeCell ref="AQ15:AR15"/>
    <mergeCell ref="AQ16:AR16"/>
    <mergeCell ref="AQ17:AR17"/>
    <mergeCell ref="AQ18:AR18"/>
    <mergeCell ref="AQ9:AR9"/>
    <mergeCell ref="AQ10:AR10"/>
    <mergeCell ref="AQ11:AR11"/>
    <mergeCell ref="AQ12:AR12"/>
    <mergeCell ref="AQ13:AR13"/>
    <mergeCell ref="D4:E4"/>
    <mergeCell ref="AQ37:AR37"/>
    <mergeCell ref="AQ35:AR35"/>
    <mergeCell ref="AQ34:AR34"/>
    <mergeCell ref="AQ36:AR36"/>
    <mergeCell ref="AQ30:AR30"/>
    <mergeCell ref="AQ31:AR31"/>
    <mergeCell ref="AQ32:AR32"/>
    <mergeCell ref="Z8:AA8"/>
    <mergeCell ref="Q4:R4"/>
    <mergeCell ref="Q5:R5"/>
    <mergeCell ref="Q7:R7"/>
    <mergeCell ref="Q8:R8"/>
    <mergeCell ref="AQ7:AR7"/>
    <mergeCell ref="AQ8:AR8"/>
    <mergeCell ref="AQ19:AR19"/>
  </mergeCells>
  <conditionalFormatting sqref="X11:Y31 Z12:AC31">
    <cfRule type="cellIs" dxfId="8" priority="58" operator="between">
      <formula>-1E+99</formula>
      <formula>1E-99</formula>
    </cfRule>
  </conditionalFormatting>
  <conditionalFormatting sqref="L4:L9">
    <cfRule type="dataBar" priority="49">
      <dataBar>
        <cfvo type="min"/>
        <cfvo type="max"/>
        <color rgb="FFFFB628"/>
      </dataBar>
      <extLst>
        <ext xmlns:x14="http://schemas.microsoft.com/office/spreadsheetml/2009/9/main" uri="{B025F937-C7B1-47D3-B67F-A62EFF666E3E}">
          <x14:id>{0A6A9859-2742-414B-B591-F443F692C9C9}</x14:id>
        </ext>
      </extLst>
    </cfRule>
  </conditionalFormatting>
  <conditionalFormatting sqref="E79:G80">
    <cfRule type="colorScale" priority="48">
      <colorScale>
        <cfvo type="min"/>
        <cfvo type="max"/>
        <color rgb="FFFCFCFF"/>
        <color rgb="FF63BE7B"/>
      </colorScale>
    </cfRule>
  </conditionalFormatting>
  <conditionalFormatting sqref="F67:J67">
    <cfRule type="colorScale" priority="39">
      <colorScale>
        <cfvo type="min"/>
        <cfvo type="max"/>
        <color rgb="FF63BE7B"/>
        <color rgb="FFFFEF9C"/>
      </colorScale>
    </cfRule>
  </conditionalFormatting>
  <conditionalFormatting sqref="F68:J68">
    <cfRule type="colorScale" priority="38">
      <colorScale>
        <cfvo type="min"/>
        <cfvo type="max"/>
        <color rgb="FF63BE7B"/>
        <color rgb="FFFFEF9C"/>
      </colorScale>
    </cfRule>
  </conditionalFormatting>
  <conditionalFormatting sqref="F69:J69">
    <cfRule type="colorScale" priority="37">
      <colorScale>
        <cfvo type="min"/>
        <cfvo type="max"/>
        <color rgb="FF63BE7B"/>
        <color rgb="FFFFEF9C"/>
      </colorScale>
    </cfRule>
  </conditionalFormatting>
  <conditionalFormatting sqref="F70:J70">
    <cfRule type="colorScale" priority="36">
      <colorScale>
        <cfvo type="min"/>
        <cfvo type="max"/>
        <color rgb="FF63BE7B"/>
        <color rgb="FFFFEF9C"/>
      </colorScale>
    </cfRule>
  </conditionalFormatting>
  <conditionalFormatting sqref="F71:J71">
    <cfRule type="colorScale" priority="35">
      <colorScale>
        <cfvo type="min"/>
        <cfvo type="max"/>
        <color rgb="FF63BE7B"/>
        <color rgb="FFFFEF9C"/>
      </colorScale>
    </cfRule>
  </conditionalFormatting>
  <conditionalFormatting sqref="F72:J72">
    <cfRule type="colorScale" priority="34">
      <colorScale>
        <cfvo type="min"/>
        <cfvo type="max"/>
        <color rgb="FF63BE7B"/>
        <color rgb="FFFFEF9C"/>
      </colorScale>
    </cfRule>
  </conditionalFormatting>
  <conditionalFormatting sqref="F73:J73">
    <cfRule type="colorScale" priority="33">
      <colorScale>
        <cfvo type="min"/>
        <cfvo type="max"/>
        <color rgb="FF63BE7B"/>
        <color rgb="FFFFEF9C"/>
      </colorScale>
    </cfRule>
  </conditionalFormatting>
  <conditionalFormatting sqref="F74:J74">
    <cfRule type="colorScale" priority="32">
      <colorScale>
        <cfvo type="min"/>
        <cfvo type="max"/>
        <color rgb="FF63BE7B"/>
        <color rgb="FFFFEF9C"/>
      </colorScale>
    </cfRule>
  </conditionalFormatting>
  <conditionalFormatting sqref="E85:G86">
    <cfRule type="colorScale" priority="28">
      <colorScale>
        <cfvo type="min"/>
        <cfvo type="max"/>
        <color rgb="FFFCFCFF"/>
        <color rgb="FF63BE7B"/>
      </colorScale>
    </cfRule>
  </conditionalFormatting>
  <conditionalFormatting sqref="D13:D15 D18:D24">
    <cfRule type="colorScale" priority="64">
      <colorScale>
        <cfvo type="min"/>
        <cfvo type="percentile" val="50"/>
        <cfvo type="max"/>
        <color rgb="FF63BE7B"/>
        <color rgb="FFFFEB84"/>
        <color rgb="FFF8696B"/>
      </colorScale>
    </cfRule>
  </conditionalFormatting>
  <conditionalFormatting sqref="D13:D15 D18:D24">
    <cfRule type="colorScale" priority="25">
      <colorScale>
        <cfvo type="min"/>
        <cfvo type="percentile" val="50"/>
        <cfvo type="max"/>
        <color rgb="FF63BE7B"/>
        <color rgb="FFFFEB84"/>
        <color rgb="FFF8696B"/>
      </colorScale>
    </cfRule>
  </conditionalFormatting>
  <conditionalFormatting sqref="I13:I24">
    <cfRule type="dataBar" priority="23">
      <dataBar>
        <cfvo type="min"/>
        <cfvo type="max"/>
        <color theme="9" tint="0.59999389629810485"/>
      </dataBar>
      <extLst>
        <ext xmlns:x14="http://schemas.microsoft.com/office/spreadsheetml/2009/9/main" uri="{B025F937-C7B1-47D3-B67F-A62EFF666E3E}">
          <x14:id>{BA930BB5-D8D2-4BD4-9F6A-18F037FDD9C4}</x14:id>
        </ext>
      </extLst>
    </cfRule>
  </conditionalFormatting>
  <conditionalFormatting sqref="K13:K15 K18:K24">
    <cfRule type="dataBar" priority="22">
      <dataBar>
        <cfvo type="min"/>
        <cfvo type="max"/>
        <color theme="9" tint="0.39997558519241921"/>
      </dataBar>
      <extLst>
        <ext xmlns:x14="http://schemas.microsoft.com/office/spreadsheetml/2009/9/main" uri="{B025F937-C7B1-47D3-B67F-A62EFF666E3E}">
          <x14:id>{71221003-DA3C-4E7C-9660-53FFE25BB9CC}</x14:id>
        </ext>
      </extLst>
    </cfRule>
  </conditionalFormatting>
  <conditionalFormatting sqref="L13:L24">
    <cfRule type="dataBar" priority="21">
      <dataBar>
        <cfvo type="min"/>
        <cfvo type="max"/>
        <color rgb="FF638EC6"/>
      </dataBar>
      <extLst>
        <ext xmlns:x14="http://schemas.microsoft.com/office/spreadsheetml/2009/9/main" uri="{B025F937-C7B1-47D3-B67F-A62EFF666E3E}">
          <x14:id>{FAD9E0C9-6FBB-4929-B4A8-5AD5D0996631}</x14:id>
        </ext>
      </extLst>
    </cfRule>
  </conditionalFormatting>
  <conditionalFormatting sqref="D17">
    <cfRule type="colorScale" priority="20">
      <colorScale>
        <cfvo type="min"/>
        <cfvo type="percentile" val="50"/>
        <cfvo type="max"/>
        <color rgb="FF63BE7B"/>
        <color rgb="FFFFEB84"/>
        <color rgb="FFF8696B"/>
      </colorScale>
    </cfRule>
  </conditionalFormatting>
  <conditionalFormatting sqref="D17">
    <cfRule type="colorScale" priority="19">
      <colorScale>
        <cfvo type="min"/>
        <cfvo type="percentile" val="50"/>
        <cfvo type="max"/>
        <color rgb="FF63BE7B"/>
        <color rgb="FFFFEB84"/>
        <color rgb="FFF8696B"/>
      </colorScale>
    </cfRule>
  </conditionalFormatting>
  <conditionalFormatting sqref="K17">
    <cfRule type="dataBar" priority="16">
      <dataBar>
        <cfvo type="min"/>
        <cfvo type="max"/>
        <color theme="9" tint="0.39997558519241921"/>
      </dataBar>
      <extLst>
        <ext xmlns:x14="http://schemas.microsoft.com/office/spreadsheetml/2009/9/main" uri="{B025F937-C7B1-47D3-B67F-A62EFF666E3E}">
          <x14:id>{B0DBB778-D902-4D3A-9265-7695496FDD55}</x14:id>
        </ext>
      </extLst>
    </cfRule>
  </conditionalFormatting>
  <conditionalFormatting sqref="D16">
    <cfRule type="colorScale" priority="14">
      <colorScale>
        <cfvo type="min"/>
        <cfvo type="percentile" val="50"/>
        <cfvo type="max"/>
        <color rgb="FF63BE7B"/>
        <color rgb="FFFFEB84"/>
        <color rgb="FFF8696B"/>
      </colorScale>
    </cfRule>
  </conditionalFormatting>
  <conditionalFormatting sqref="D16">
    <cfRule type="colorScale" priority="13">
      <colorScale>
        <cfvo type="min"/>
        <cfvo type="percentile" val="50"/>
        <cfvo type="max"/>
        <color rgb="FF63BE7B"/>
        <color rgb="FFFFEB84"/>
        <color rgb="FFF8696B"/>
      </colorScale>
    </cfRule>
  </conditionalFormatting>
  <conditionalFormatting sqref="H13:H24">
    <cfRule type="dataBar" priority="12">
      <dataBar>
        <cfvo type="min"/>
        <cfvo type="max"/>
        <color theme="7" tint="0.39997558519241921"/>
      </dataBar>
      <extLst>
        <ext xmlns:x14="http://schemas.microsoft.com/office/spreadsheetml/2009/9/main" uri="{B025F937-C7B1-47D3-B67F-A62EFF666E3E}">
          <x14:id>{1CB7C90B-6749-41EF-8BF2-84B84DCB62B9}</x14:id>
        </ext>
      </extLst>
    </cfRule>
  </conditionalFormatting>
  <conditionalFormatting sqref="K16">
    <cfRule type="dataBar" priority="10">
      <dataBar>
        <cfvo type="min"/>
        <cfvo type="max"/>
        <color theme="9" tint="0.39997558519241921"/>
      </dataBar>
      <extLst>
        <ext xmlns:x14="http://schemas.microsoft.com/office/spreadsheetml/2009/9/main" uri="{B025F937-C7B1-47D3-B67F-A62EFF666E3E}">
          <x14:id>{8C590DCF-18D7-423F-A9F1-F55393630852}</x14:id>
        </ext>
      </extLst>
    </cfRule>
  </conditionalFormatting>
  <conditionalFormatting sqref="S12:S31">
    <cfRule type="colorScale" priority="104">
      <colorScale>
        <cfvo type="min"/>
        <cfvo type="percentile" val="50"/>
        <cfvo type="max"/>
        <color rgb="FFF8696B"/>
        <color rgb="FFFCFCFF"/>
        <color rgb="FF5A8AC6"/>
      </colorScale>
    </cfRule>
  </conditionalFormatting>
  <conditionalFormatting sqref="V12:V31">
    <cfRule type="dataBar" priority="106">
      <dataBar>
        <cfvo type="min"/>
        <cfvo type="max"/>
        <color theme="7" tint="0.59999389629810485"/>
      </dataBar>
      <extLst>
        <ext xmlns:x14="http://schemas.microsoft.com/office/spreadsheetml/2009/9/main" uri="{B025F937-C7B1-47D3-B67F-A62EFF666E3E}">
          <x14:id>{D6E47779-44BB-4922-8DE0-6238202CE684}</x14:id>
        </ext>
      </extLst>
    </cfRule>
  </conditionalFormatting>
  <conditionalFormatting sqref="U12:U31">
    <cfRule type="dataBar" priority="108">
      <dataBar>
        <cfvo type="min"/>
        <cfvo type="max"/>
        <color rgb="FFCAD0FE"/>
      </dataBar>
      <extLst>
        <ext xmlns:x14="http://schemas.microsoft.com/office/spreadsheetml/2009/9/main" uri="{B025F937-C7B1-47D3-B67F-A62EFF666E3E}">
          <x14:id>{66012358-E930-4F30-93C0-D2EB169C944F}</x14:id>
        </ext>
      </extLst>
    </cfRule>
  </conditionalFormatting>
  <conditionalFormatting sqref="W12:W31">
    <cfRule type="dataBar" priority="110">
      <dataBar>
        <cfvo type="min"/>
        <cfvo type="max"/>
        <color rgb="FFC4E2C5"/>
      </dataBar>
      <extLst>
        <ext xmlns:x14="http://schemas.microsoft.com/office/spreadsheetml/2009/9/main" uri="{B025F937-C7B1-47D3-B67F-A62EFF666E3E}">
          <x14:id>{4E8EC275-AB54-4A85-85C3-12B6896C3C84}</x14:id>
        </ext>
      </extLst>
    </cfRule>
  </conditionalFormatting>
  <dataValidations count="3">
    <dataValidation type="list" allowBlank="1" showInputMessage="1" showErrorMessage="1" sqref="D4">
      <formula1>scenarios</formula1>
    </dataValidation>
    <dataValidation type="list" allowBlank="1" showInputMessage="1" showErrorMessage="1" sqref="M13:M24">
      <formula1>whichContrast</formula1>
    </dataValidation>
    <dataValidation type="list" allowBlank="1" showInputMessage="1" showErrorMessage="1" sqref="G13:G24">
      <formula1>CGcase</formula1>
    </dataValidation>
  </dataValidations>
  <pageMargins left="0.7" right="0.7" top="0.75" bottom="0.75" header="0.3" footer="0.3"/>
  <pageSetup orientation="portrait" horizontalDpi="200" verticalDpi="200" r:id="rId1"/>
  <drawing r:id="rId2"/>
  <legacyDrawing r:id="rId3"/>
  <extLst>
    <ext xmlns:x14="http://schemas.microsoft.com/office/spreadsheetml/2009/9/main" uri="{78C0D931-6437-407d-A8EE-F0AAD7539E65}">
      <x14:conditionalFormattings>
        <x14:conditionalFormatting xmlns:xm="http://schemas.microsoft.com/office/excel/2006/main">
          <x14:cfRule type="dataBar" id="{0A6A9859-2742-414B-B591-F443F692C9C9}">
            <x14:dataBar minLength="0" maxLength="100">
              <x14:cfvo type="autoMin"/>
              <x14:cfvo type="autoMax"/>
              <x14:negativeFillColor rgb="FFFF0000"/>
              <x14:axisColor rgb="FF000000"/>
            </x14:dataBar>
          </x14:cfRule>
          <xm:sqref>L4:L9</xm:sqref>
        </x14:conditionalFormatting>
        <x14:conditionalFormatting xmlns:xm="http://schemas.microsoft.com/office/excel/2006/main">
          <x14:cfRule type="dataBar" id="{BA930BB5-D8D2-4BD4-9F6A-18F037FDD9C4}">
            <x14:dataBar minLength="0" maxLength="100">
              <x14:cfvo type="autoMin"/>
              <x14:cfvo type="autoMax"/>
              <x14:negativeFillColor rgb="FFFF0000"/>
              <x14:axisColor rgb="FF000000"/>
            </x14:dataBar>
          </x14:cfRule>
          <xm:sqref>I13:I24</xm:sqref>
        </x14:conditionalFormatting>
        <x14:conditionalFormatting xmlns:xm="http://schemas.microsoft.com/office/excel/2006/main">
          <x14:cfRule type="dataBar" id="{71221003-DA3C-4E7C-9660-53FFE25BB9CC}">
            <x14:dataBar minLength="0" maxLength="100">
              <x14:cfvo type="autoMin"/>
              <x14:cfvo type="autoMax"/>
              <x14:negativeFillColor rgb="FFFF0000"/>
              <x14:axisColor rgb="FF000000"/>
            </x14:dataBar>
          </x14:cfRule>
          <xm:sqref>K13:K15 K18:K24</xm:sqref>
        </x14:conditionalFormatting>
        <x14:conditionalFormatting xmlns:xm="http://schemas.microsoft.com/office/excel/2006/main">
          <x14:cfRule type="dataBar" id="{FAD9E0C9-6FBB-4929-B4A8-5AD5D0996631}">
            <x14:dataBar minLength="0" maxLength="100">
              <x14:cfvo type="autoMin"/>
              <x14:cfvo type="autoMax"/>
              <x14:negativeFillColor rgb="FFFF0000"/>
              <x14:axisColor rgb="FF000000"/>
            </x14:dataBar>
          </x14:cfRule>
          <xm:sqref>L13:L24</xm:sqref>
        </x14:conditionalFormatting>
        <x14:conditionalFormatting xmlns:xm="http://schemas.microsoft.com/office/excel/2006/main">
          <x14:cfRule type="dataBar" id="{B0DBB778-D902-4D3A-9265-7695496FDD55}">
            <x14:dataBar minLength="0" maxLength="100">
              <x14:cfvo type="autoMin"/>
              <x14:cfvo type="autoMax"/>
              <x14:negativeFillColor rgb="FFFF0000"/>
              <x14:axisColor rgb="FF000000"/>
            </x14:dataBar>
          </x14:cfRule>
          <xm:sqref>K17</xm:sqref>
        </x14:conditionalFormatting>
        <x14:conditionalFormatting xmlns:xm="http://schemas.microsoft.com/office/excel/2006/main">
          <x14:cfRule type="dataBar" id="{1CB7C90B-6749-41EF-8BF2-84B84DCB62B9}">
            <x14:dataBar minLength="0" maxLength="100">
              <x14:cfvo type="autoMin"/>
              <x14:cfvo type="autoMax"/>
              <x14:negativeFillColor rgb="FFFF0000"/>
              <x14:axisColor rgb="FF000000"/>
            </x14:dataBar>
          </x14:cfRule>
          <xm:sqref>H13:H24</xm:sqref>
        </x14:conditionalFormatting>
        <x14:conditionalFormatting xmlns:xm="http://schemas.microsoft.com/office/excel/2006/main">
          <x14:cfRule type="dataBar" id="{8C590DCF-18D7-423F-A9F1-F55393630852}">
            <x14:dataBar minLength="0" maxLength="100">
              <x14:cfvo type="autoMin"/>
              <x14:cfvo type="autoMax"/>
              <x14:negativeFillColor rgb="FFFF0000"/>
              <x14:axisColor rgb="FF000000"/>
            </x14:dataBar>
          </x14:cfRule>
          <xm:sqref>K16</xm:sqref>
        </x14:conditionalFormatting>
        <x14:conditionalFormatting xmlns:xm="http://schemas.microsoft.com/office/excel/2006/main">
          <x14:cfRule type="dataBar" id="{D6E47779-44BB-4922-8DE0-6238202CE684}">
            <x14:dataBar minLength="0" maxLength="100">
              <x14:cfvo type="autoMin"/>
              <x14:cfvo type="autoMax"/>
              <x14:negativeFillColor rgb="FFFF0000"/>
              <x14:axisColor rgb="FF000000"/>
            </x14:dataBar>
          </x14:cfRule>
          <xm:sqref>V12:V31</xm:sqref>
        </x14:conditionalFormatting>
        <x14:conditionalFormatting xmlns:xm="http://schemas.microsoft.com/office/excel/2006/main">
          <x14:cfRule type="dataBar" id="{66012358-E930-4F30-93C0-D2EB169C944F}">
            <x14:dataBar minLength="0" maxLength="100">
              <x14:cfvo type="autoMin"/>
              <x14:cfvo type="autoMax"/>
              <x14:negativeFillColor rgb="FFFF0000"/>
              <x14:axisColor rgb="FF000000"/>
            </x14:dataBar>
          </x14:cfRule>
          <xm:sqref>U12:U31</xm:sqref>
        </x14:conditionalFormatting>
        <x14:conditionalFormatting xmlns:xm="http://schemas.microsoft.com/office/excel/2006/main">
          <x14:cfRule type="dataBar" id="{4E8EC275-AB54-4A85-85C3-12B6896C3C84}">
            <x14:dataBar minLength="0" maxLength="100">
              <x14:cfvo type="autoMin"/>
              <x14:cfvo type="autoMax"/>
              <x14:negativeFillColor rgb="FFFF0000"/>
              <x14:axisColor rgb="FF000000"/>
            </x14:dataBar>
          </x14:cfRule>
          <xm:sqref>W12:W31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R148"/>
  <sheetViews>
    <sheetView zoomScale="70" zoomScaleNormal="70" workbookViewId="0">
      <selection activeCell="DP58" sqref="DP58"/>
    </sheetView>
  </sheetViews>
  <sheetFormatPr defaultRowHeight="15.75"/>
  <cols>
    <col min="2" max="2" width="9.140625" style="113"/>
    <col min="3" max="5" width="12.140625" style="36" customWidth="1"/>
    <col min="6" max="6" width="13.5703125" style="36" customWidth="1"/>
    <col min="7" max="10" width="12.140625" style="36" customWidth="1"/>
    <col min="11" max="11" width="12.140625" style="615" customWidth="1"/>
    <col min="14" max="18" width="11.7109375" customWidth="1"/>
    <col min="20" max="20" width="9.28515625" customWidth="1"/>
    <col min="21" max="21" width="5.28515625" customWidth="1"/>
    <col min="22" max="22" width="4.7109375" customWidth="1"/>
    <col min="23" max="53" width="9.5703125" customWidth="1"/>
    <col min="54" max="54" width="9.140625" customWidth="1"/>
    <col min="57" max="57" width="10.140625" style="141" customWidth="1"/>
    <col min="58" max="65" width="10.5703125" style="141" customWidth="1"/>
    <col min="66" max="78" width="10.5703125" customWidth="1"/>
    <col min="79" max="80" width="4" customWidth="1"/>
    <col min="81" max="99" width="10.5703125" customWidth="1"/>
    <col min="116" max="120" width="10.7109375" customWidth="1"/>
  </cols>
  <sheetData>
    <row r="1" spans="2:122" s="141" customFormat="1" ht="21">
      <c r="B1" s="614"/>
      <c r="C1" s="614"/>
      <c r="D1" s="614"/>
      <c r="E1" s="614"/>
      <c r="F1" s="614"/>
      <c r="G1" s="614"/>
      <c r="H1" s="614"/>
      <c r="I1" s="614"/>
      <c r="J1" s="614"/>
      <c r="K1" s="614"/>
    </row>
    <row r="2" spans="2:122" ht="26.25">
      <c r="B2" s="545" t="s">
        <v>621</v>
      </c>
      <c r="C2" s="62"/>
      <c r="D2" s="62"/>
      <c r="E2" s="62"/>
      <c r="F2" s="62"/>
      <c r="G2" s="61"/>
      <c r="U2" s="643"/>
      <c r="V2" s="643"/>
      <c r="W2" s="644" t="s">
        <v>726</v>
      </c>
      <c r="X2" s="643"/>
      <c r="Y2" s="643"/>
      <c r="Z2" s="643"/>
      <c r="AA2" s="643"/>
      <c r="AB2" s="643"/>
      <c r="AC2" s="643"/>
      <c r="AD2" s="643"/>
      <c r="AE2" s="643"/>
      <c r="AF2" s="643"/>
      <c r="AG2" s="643"/>
      <c r="AH2" s="643"/>
      <c r="AI2" s="643"/>
      <c r="AJ2" s="643"/>
      <c r="AK2" s="643"/>
      <c r="AL2" s="643"/>
      <c r="AM2" s="643"/>
      <c r="AN2" s="643"/>
      <c r="AO2" s="643"/>
      <c r="AP2" s="643"/>
      <c r="AQ2" s="643"/>
      <c r="AR2" s="643"/>
      <c r="AS2" s="643"/>
      <c r="AT2" s="643"/>
      <c r="AU2" s="643"/>
      <c r="AV2" s="643"/>
      <c r="AW2" s="643"/>
      <c r="AX2" s="643"/>
      <c r="AY2" s="643"/>
      <c r="AZ2" s="643"/>
      <c r="BA2" s="643"/>
      <c r="BD2" s="653"/>
      <c r="BE2" s="653"/>
      <c r="BF2" s="654" t="s">
        <v>731</v>
      </c>
      <c r="BG2" s="653"/>
      <c r="BH2" s="653"/>
      <c r="BI2" s="653"/>
      <c r="BJ2" s="653"/>
      <c r="BK2" s="653"/>
      <c r="BL2" s="653"/>
      <c r="BM2" s="653"/>
      <c r="BN2" s="653"/>
      <c r="BO2" s="653"/>
      <c r="BP2" s="653"/>
      <c r="BQ2" s="653"/>
      <c r="BR2" s="653"/>
      <c r="BS2" s="653"/>
      <c r="BT2" s="653"/>
      <c r="BU2" s="653"/>
      <c r="BV2" s="653"/>
      <c r="BW2" s="653"/>
      <c r="BX2" s="653"/>
      <c r="BY2" s="653"/>
      <c r="BZ2" s="653"/>
      <c r="CA2" s="653"/>
      <c r="CB2" s="653"/>
      <c r="CC2" s="653"/>
      <c r="CD2" s="653"/>
      <c r="CE2" s="653"/>
      <c r="CF2" s="653"/>
      <c r="CG2" s="653"/>
      <c r="CH2" s="653"/>
      <c r="CI2" s="653"/>
      <c r="CJ2" s="653"/>
      <c r="CK2" s="653"/>
      <c r="CL2" s="653"/>
      <c r="CM2" s="653"/>
      <c r="CN2" s="653"/>
      <c r="CO2" s="653"/>
      <c r="CP2" s="653"/>
      <c r="CQ2" s="653"/>
      <c r="CR2" s="653"/>
      <c r="CS2" s="653"/>
      <c r="CT2" s="653"/>
      <c r="CU2" s="653"/>
      <c r="CV2" s="653"/>
      <c r="CW2" s="653"/>
      <c r="CX2" s="653"/>
      <c r="CY2" s="653"/>
      <c r="CZ2" s="653"/>
      <c r="DA2" s="653"/>
      <c r="DB2" s="653"/>
      <c r="DC2" s="653"/>
      <c r="DD2" s="653"/>
      <c r="DE2" s="653"/>
      <c r="DF2" s="653"/>
      <c r="DG2" s="653"/>
      <c r="DH2" s="653"/>
      <c r="DI2" s="653"/>
      <c r="DJ2" s="653"/>
      <c r="DK2" s="653"/>
      <c r="DL2" s="653"/>
      <c r="DM2" s="653"/>
      <c r="DN2" s="653"/>
      <c r="DO2" s="653"/>
      <c r="DP2" s="653"/>
      <c r="DQ2" s="653"/>
      <c r="DR2" s="653"/>
    </row>
    <row r="3" spans="2:122" ht="21">
      <c r="C3" s="62"/>
      <c r="D3" s="62"/>
      <c r="E3" s="62"/>
      <c r="F3" s="62"/>
      <c r="G3" s="61"/>
      <c r="M3" s="652" t="s">
        <v>730</v>
      </c>
      <c r="W3" s="113"/>
      <c r="BE3"/>
      <c r="BF3" s="113"/>
      <c r="BG3"/>
      <c r="BH3"/>
      <c r="BI3"/>
      <c r="BJ3"/>
      <c r="BK3"/>
      <c r="BL3"/>
      <c r="BM3"/>
      <c r="BO3" s="141"/>
      <c r="BP3" s="141"/>
      <c r="BQ3" s="141"/>
      <c r="CM3" s="141"/>
      <c r="CN3" s="141"/>
      <c r="CO3" s="141"/>
      <c r="CP3" s="141"/>
      <c r="CQ3" s="141"/>
      <c r="CR3" s="141"/>
      <c r="CS3" s="141"/>
      <c r="CT3" s="141"/>
      <c r="CU3" s="141"/>
      <c r="CV3" s="141"/>
      <c r="CW3" s="141"/>
      <c r="CX3" s="141"/>
      <c r="CY3" s="141"/>
      <c r="CZ3" s="141"/>
      <c r="DA3" s="141"/>
      <c r="DB3" s="141"/>
      <c r="DC3" s="141"/>
      <c r="DD3" s="141"/>
      <c r="DE3" s="141"/>
      <c r="DF3" s="141"/>
      <c r="DG3" s="141"/>
      <c r="DH3" s="141"/>
      <c r="DI3" s="141"/>
      <c r="DJ3" s="622" t="s">
        <v>711</v>
      </c>
      <c r="DK3" s="615"/>
      <c r="DL3" s="623"/>
      <c r="DM3" s="624"/>
      <c r="DN3" s="615"/>
      <c r="DO3" s="615"/>
      <c r="DP3" s="615"/>
      <c r="DQ3" s="615"/>
      <c r="DR3" s="615"/>
    </row>
    <row r="4" spans="2:122" ht="18.75">
      <c r="U4" s="641"/>
      <c r="V4" s="649"/>
      <c r="W4" s="650" t="s">
        <v>729</v>
      </c>
      <c r="X4" s="651"/>
      <c r="Y4" s="651"/>
      <c r="Z4" s="651"/>
      <c r="AA4" s="36"/>
      <c r="BD4" s="655"/>
      <c r="BE4" s="656"/>
      <c r="BF4" s="657" t="s">
        <v>729</v>
      </c>
      <c r="BG4" s="658"/>
      <c r="BH4" s="658"/>
      <c r="BI4" s="658"/>
      <c r="BJ4" s="658"/>
      <c r="BK4"/>
      <c r="BL4"/>
      <c r="BM4"/>
      <c r="BO4" s="141"/>
      <c r="BP4" s="141"/>
      <c r="BQ4" s="141"/>
      <c r="CM4" s="141"/>
      <c r="CN4" s="141"/>
      <c r="CO4" s="141"/>
      <c r="CP4" s="141"/>
      <c r="CQ4" s="141"/>
      <c r="CR4" s="141"/>
      <c r="CS4" s="141"/>
      <c r="CT4" s="141"/>
      <c r="CU4" s="141"/>
      <c r="CV4" s="141"/>
      <c r="CW4" s="141"/>
      <c r="CX4" s="141"/>
      <c r="CY4" s="141"/>
      <c r="CZ4" s="141"/>
      <c r="DA4" s="141"/>
      <c r="DB4" s="141"/>
      <c r="DC4" s="141"/>
      <c r="DD4" s="141"/>
      <c r="DE4" s="141"/>
      <c r="DF4" s="141"/>
      <c r="DG4" s="141"/>
      <c r="DH4" s="141"/>
      <c r="DI4" s="141"/>
      <c r="DJ4" s="622"/>
      <c r="DK4" s="615"/>
      <c r="DL4" s="623"/>
      <c r="DM4" s="624"/>
      <c r="DN4" s="615"/>
      <c r="DO4" s="615"/>
      <c r="DP4" s="615"/>
      <c r="DQ4" s="615"/>
      <c r="DR4" s="615"/>
    </row>
    <row r="5" spans="2:122">
      <c r="B5" s="36"/>
      <c r="L5" s="67"/>
      <c r="M5" s="36"/>
      <c r="N5" s="36"/>
      <c r="O5" s="101"/>
      <c r="P5" s="102"/>
      <c r="Q5" s="103"/>
      <c r="R5" s="36"/>
      <c r="S5" s="36"/>
      <c r="T5" s="36"/>
      <c r="U5" s="642"/>
      <c r="W5" s="113" t="s">
        <v>728</v>
      </c>
      <c r="AF5" s="113"/>
      <c r="AG5" s="36"/>
      <c r="AH5" s="36"/>
      <c r="AI5" s="36"/>
      <c r="AJ5" s="36"/>
      <c r="AK5" s="36"/>
      <c r="AL5" s="36"/>
      <c r="AM5" s="36"/>
      <c r="AN5" s="36"/>
      <c r="AR5" t="s">
        <v>710</v>
      </c>
      <c r="AS5" s="67"/>
      <c r="AT5" s="67"/>
      <c r="AU5" s="67" t="s">
        <v>703</v>
      </c>
      <c r="AV5" s="67" t="s">
        <v>704</v>
      </c>
      <c r="AW5" s="186"/>
      <c r="AX5" s="186"/>
      <c r="AY5" s="36"/>
      <c r="BD5" s="659"/>
      <c r="BE5"/>
      <c r="BF5"/>
      <c r="BG5"/>
      <c r="BH5"/>
      <c r="BI5"/>
      <c r="BJ5"/>
      <c r="BK5"/>
      <c r="BL5"/>
      <c r="BM5"/>
      <c r="BO5" s="141"/>
      <c r="BP5" s="141"/>
      <c r="BQ5" s="141"/>
      <c r="CA5" s="694"/>
      <c r="CM5" s="141"/>
      <c r="CN5" s="141"/>
      <c r="CO5" s="141"/>
      <c r="CP5" s="141"/>
      <c r="CQ5" s="141"/>
      <c r="CR5" s="141"/>
      <c r="CS5" s="141"/>
      <c r="CT5" s="141"/>
      <c r="CU5" s="141"/>
      <c r="CV5" s="141"/>
      <c r="CW5" s="141"/>
      <c r="CX5" s="141"/>
      <c r="CY5" s="141"/>
      <c r="CZ5" s="141"/>
      <c r="DA5" s="141"/>
      <c r="DB5" s="141"/>
      <c r="DC5" s="141"/>
      <c r="DD5" s="141"/>
      <c r="DE5" s="141"/>
      <c r="DF5" s="141"/>
      <c r="DG5" s="141"/>
      <c r="DH5" s="141"/>
      <c r="DI5" s="141"/>
      <c r="DJ5" s="622"/>
      <c r="DK5" s="615"/>
      <c r="DL5" s="615"/>
      <c r="DM5" s="615"/>
      <c r="DN5" s="615"/>
      <c r="DO5" s="615"/>
      <c r="DP5" s="615"/>
      <c r="DQ5" s="615"/>
      <c r="DR5" s="615"/>
    </row>
    <row r="6" spans="2:122">
      <c r="B6" s="36"/>
      <c r="L6" s="67"/>
      <c r="M6" s="36"/>
      <c r="N6" s="582" t="s">
        <v>694</v>
      </c>
      <c r="O6" s="583"/>
      <c r="P6" s="605" t="s">
        <v>433</v>
      </c>
      <c r="Q6" s="598" t="s">
        <v>701</v>
      </c>
      <c r="R6" s="599" t="s">
        <v>702</v>
      </c>
      <c r="S6" s="36"/>
      <c r="T6" s="36"/>
      <c r="U6" s="642"/>
      <c r="W6" s="622" t="s">
        <v>738</v>
      </c>
      <c r="X6" s="36"/>
      <c r="Y6" s="36"/>
      <c r="Z6" s="36"/>
      <c r="AF6" s="113"/>
      <c r="AG6" s="622" t="s">
        <v>740</v>
      </c>
      <c r="AR6" s="36"/>
      <c r="AS6" s="67" t="s">
        <v>707</v>
      </c>
      <c r="AT6" s="67"/>
      <c r="AU6" s="594">
        <f>CG!Q12</f>
        <v>2.5138888888888889E-9</v>
      </c>
      <c r="AV6" s="594">
        <f>CG!R12</f>
        <v>1.1181657848324517E-9</v>
      </c>
      <c r="AW6" s="186" t="s">
        <v>708</v>
      </c>
      <c r="AX6" s="186" t="s">
        <v>709</v>
      </c>
      <c r="AY6" s="36"/>
      <c r="BD6" s="656"/>
      <c r="BF6" s="622" t="s">
        <v>736</v>
      </c>
      <c r="BN6" s="141"/>
      <c r="BO6" s="141"/>
      <c r="BP6" s="141"/>
      <c r="BQ6" s="622" t="s">
        <v>734</v>
      </c>
      <c r="BR6" s="615"/>
      <c r="BS6" s="615"/>
      <c r="BT6" s="615"/>
      <c r="BU6" s="615"/>
      <c r="BV6" s="615"/>
      <c r="BW6" s="615"/>
      <c r="BX6" s="615"/>
      <c r="BY6" s="615"/>
      <c r="BZ6" s="615"/>
      <c r="CA6" s="695"/>
      <c r="CB6" s="615"/>
      <c r="CC6" s="622" t="s">
        <v>765</v>
      </c>
      <c r="CD6" s="141"/>
      <c r="CE6" s="141"/>
      <c r="CF6" s="141"/>
      <c r="CG6" s="141"/>
      <c r="CH6" s="141"/>
      <c r="CI6" s="141"/>
      <c r="CJ6" s="141"/>
      <c r="CK6" s="141"/>
      <c r="CL6" s="615"/>
      <c r="CM6" s="622" t="s">
        <v>770</v>
      </c>
      <c r="CN6" s="141"/>
      <c r="CO6" s="141"/>
      <c r="CP6" s="141"/>
      <c r="CQ6" s="141"/>
      <c r="CR6" s="141"/>
      <c r="CS6" s="141"/>
      <c r="CT6" s="141"/>
      <c r="CU6" s="141"/>
      <c r="CV6" s="141"/>
      <c r="CW6" s="141"/>
      <c r="CX6" s="141"/>
      <c r="CY6" s="141"/>
      <c r="CZ6" s="141"/>
      <c r="DA6" s="141"/>
      <c r="DB6" s="141"/>
      <c r="DC6" s="141"/>
      <c r="DD6" s="141"/>
      <c r="DE6" s="141"/>
      <c r="DF6" s="141"/>
      <c r="DG6" s="141"/>
      <c r="DH6" s="141"/>
      <c r="DI6" s="141"/>
      <c r="DJ6" s="622"/>
      <c r="DK6" s="615" t="s">
        <v>717</v>
      </c>
      <c r="DL6" s="615"/>
      <c r="DM6" s="615"/>
      <c r="DN6" s="623" t="s">
        <v>714</v>
      </c>
      <c r="DO6" s="623" t="s">
        <v>715</v>
      </c>
      <c r="DP6" s="615"/>
      <c r="DQ6" s="615"/>
      <c r="DR6" s="615"/>
    </row>
    <row r="7" spans="2:122" ht="18.75">
      <c r="L7" s="67"/>
      <c r="M7" s="36"/>
      <c r="N7" s="601" t="s">
        <v>690</v>
      </c>
      <c r="O7" s="604" t="s">
        <v>691</v>
      </c>
      <c r="P7" s="602" t="s">
        <v>695</v>
      </c>
      <c r="Q7" s="596" t="s">
        <v>716</v>
      </c>
      <c r="R7" s="597" t="s">
        <v>716</v>
      </c>
      <c r="S7" s="36"/>
      <c r="T7" s="36"/>
      <c r="U7" s="642"/>
      <c r="W7" s="116" t="s">
        <v>169</v>
      </c>
      <c r="X7" s="116" t="s">
        <v>170</v>
      </c>
      <c r="Y7" s="116" t="s">
        <v>58</v>
      </c>
      <c r="Z7" s="116" t="s">
        <v>171</v>
      </c>
      <c r="AA7" s="116" t="s">
        <v>172</v>
      </c>
      <c r="AB7" s="116" t="s">
        <v>173</v>
      </c>
      <c r="AC7" s="116" t="s">
        <v>174</v>
      </c>
      <c r="AD7" s="116" t="s">
        <v>175</v>
      </c>
      <c r="AG7" s="606" t="s">
        <v>169</v>
      </c>
      <c r="AH7" s="606" t="s">
        <v>170</v>
      </c>
      <c r="AI7" s="606" t="s">
        <v>58</v>
      </c>
      <c r="AJ7" s="606" t="s">
        <v>171</v>
      </c>
      <c r="AK7" s="606" t="s">
        <v>172</v>
      </c>
      <c r="AL7" s="606" t="s">
        <v>173</v>
      </c>
      <c r="AM7" s="606" t="s">
        <v>174</v>
      </c>
      <c r="AN7" s="606" t="s">
        <v>175</v>
      </c>
      <c r="AR7" s="116" t="s">
        <v>169</v>
      </c>
      <c r="AS7" s="116" t="s">
        <v>171</v>
      </c>
      <c r="AT7" s="116" t="s">
        <v>172</v>
      </c>
      <c r="AU7" s="595" t="s">
        <v>703</v>
      </c>
      <c r="AV7" s="595" t="s">
        <v>704</v>
      </c>
      <c r="AW7" s="595" t="s">
        <v>705</v>
      </c>
      <c r="AX7" s="595" t="s">
        <v>706</v>
      </c>
      <c r="AY7" s="595" t="s">
        <v>724</v>
      </c>
      <c r="AZ7" s="595" t="s">
        <v>725</v>
      </c>
      <c r="BD7" s="656"/>
      <c r="BF7" s="662" t="s">
        <v>732</v>
      </c>
      <c r="BN7" s="141"/>
      <c r="BO7" s="141"/>
      <c r="BP7" s="141"/>
      <c r="BQ7" s="622"/>
      <c r="BR7" s="615"/>
      <c r="BS7" s="615"/>
      <c r="BT7" s="615"/>
      <c r="BU7" s="615"/>
      <c r="BV7" s="615"/>
      <c r="BW7" s="615"/>
      <c r="BX7" s="615"/>
      <c r="BY7" s="615"/>
      <c r="BZ7" s="615"/>
      <c r="CA7" s="695"/>
      <c r="CB7" s="615"/>
      <c r="CC7" s="141"/>
      <c r="CD7" s="141"/>
      <c r="CE7" s="141"/>
      <c r="CF7" s="141"/>
      <c r="CG7" s="141"/>
      <c r="CH7" s="141"/>
      <c r="CI7" s="141"/>
      <c r="CJ7" s="141"/>
      <c r="CK7" s="141"/>
      <c r="CL7" s="615"/>
      <c r="CM7" s="141"/>
      <c r="CN7" s="141"/>
      <c r="CO7" s="141"/>
      <c r="CP7" s="141"/>
      <c r="CQ7" s="141"/>
      <c r="CR7" s="141"/>
      <c r="CS7" s="141"/>
      <c r="CT7" s="141"/>
      <c r="CU7" s="141"/>
      <c r="CV7" s="141"/>
      <c r="CW7" s="141"/>
      <c r="CX7" s="141"/>
      <c r="CY7" s="141"/>
      <c r="CZ7" s="141"/>
      <c r="DA7" s="141"/>
      <c r="DB7" s="141"/>
      <c r="DC7" s="141"/>
      <c r="DD7" s="141"/>
      <c r="DE7" s="141"/>
      <c r="DF7" s="141"/>
      <c r="DG7" s="141"/>
      <c r="DH7" s="141"/>
      <c r="DI7" s="141"/>
      <c r="DJ7" s="622"/>
      <c r="DK7" s="615"/>
      <c r="DL7" s="615"/>
      <c r="DM7" s="615"/>
      <c r="DN7" s="625">
        <f>CG!Q22</f>
        <v>4.1944444444444445E-9</v>
      </c>
      <c r="DO7" s="625">
        <f>CG!R22</f>
        <v>4.4166666666666673E-9</v>
      </c>
      <c r="DP7" s="615"/>
      <c r="DQ7" s="615"/>
      <c r="DR7" s="615"/>
    </row>
    <row r="8" spans="2:122">
      <c r="B8" s="113" t="s">
        <v>163</v>
      </c>
      <c r="F8" s="36" t="s">
        <v>698</v>
      </c>
      <c r="G8" s="36" t="s">
        <v>699</v>
      </c>
      <c r="H8" s="36" t="s">
        <v>697</v>
      </c>
      <c r="L8" s="67"/>
      <c r="M8" s="36"/>
      <c r="N8" s="601">
        <v>2.7</v>
      </c>
      <c r="O8" s="604">
        <v>3</v>
      </c>
      <c r="P8" s="123">
        <f>PI()*(O8^2-N8^2)</f>
        <v>5.3721234376385434</v>
      </c>
      <c r="Q8" s="592" t="s">
        <v>36</v>
      </c>
      <c r="R8" s="585">
        <v>2.0000000000000001E-9</v>
      </c>
      <c r="S8" s="36"/>
      <c r="T8" s="36"/>
      <c r="U8" s="642"/>
      <c r="W8" s="646">
        <v>3</v>
      </c>
      <c r="X8" s="248">
        <v>0.14299899999999999</v>
      </c>
      <c r="Y8" s="632">
        <v>3.8144394999999998E-12</v>
      </c>
      <c r="Z8" s="647">
        <v>6E-9</v>
      </c>
      <c r="AA8" s="648">
        <v>1.0177500000000001E-2</v>
      </c>
      <c r="AB8" s="633">
        <v>1.3721821E-3</v>
      </c>
      <c r="AC8" s="633">
        <v>2.0481634000000001E-3</v>
      </c>
      <c r="AD8" s="633">
        <v>0.26489564999999998</v>
      </c>
      <c r="AF8" s="113"/>
      <c r="AG8" s="118">
        <v>3</v>
      </c>
      <c r="AH8" s="119">
        <v>0.14299899999999999</v>
      </c>
      <c r="AI8" s="120">
        <v>3.8144394999999998E-12</v>
      </c>
      <c r="AJ8" s="533">
        <v>1.0187057377783481E-8</v>
      </c>
      <c r="AK8" s="121">
        <v>1.0177500000000001E-2</v>
      </c>
      <c r="AL8" s="121">
        <v>1.3721821E-3</v>
      </c>
      <c r="AM8" s="121">
        <v>2.0481634000000001E-3</v>
      </c>
      <c r="AN8" s="121">
        <v>0.26489564999999998</v>
      </c>
      <c r="AR8" s="607">
        <v>2.7</v>
      </c>
      <c r="AS8" s="612">
        <v>9.2502039000000006E-9</v>
      </c>
      <c r="AT8" s="608">
        <v>5.7534806000000003E-3</v>
      </c>
      <c r="AU8" s="609"/>
      <c r="AV8" s="609">
        <f t="shared" ref="AV8:AV29" si="0">AS8*($AV$6/$H$10)</f>
        <v>9.0319224499509866E-9</v>
      </c>
      <c r="AW8" s="610"/>
      <c r="AX8" s="610">
        <f t="shared" ref="AX8:AX29" si="1">2*AT8</f>
        <v>1.1506961200000001E-2</v>
      </c>
      <c r="AY8" s="612"/>
      <c r="AZ8" s="612">
        <v>2.0000000000000001E-9</v>
      </c>
      <c r="BD8" s="656"/>
      <c r="BF8" s="117" t="s">
        <v>169</v>
      </c>
      <c r="BG8" s="117" t="s">
        <v>170</v>
      </c>
      <c r="BH8" s="117" t="s">
        <v>58</v>
      </c>
      <c r="BI8" s="117" t="s">
        <v>171</v>
      </c>
      <c r="BJ8" s="117" t="s">
        <v>172</v>
      </c>
      <c r="BK8" s="117" t="s">
        <v>173</v>
      </c>
      <c r="BL8" s="117" t="s">
        <v>174</v>
      </c>
      <c r="BM8" s="117" t="s">
        <v>175</v>
      </c>
      <c r="BN8" s="674" t="s">
        <v>758</v>
      </c>
      <c r="BO8" s="674" t="s">
        <v>755</v>
      </c>
      <c r="BP8" s="141"/>
      <c r="BQ8" s="622"/>
      <c r="BR8" s="626" t="s">
        <v>169</v>
      </c>
      <c r="BS8" s="626" t="s">
        <v>170</v>
      </c>
      <c r="BT8" s="626" t="s">
        <v>58</v>
      </c>
      <c r="BU8" s="626" t="s">
        <v>171</v>
      </c>
      <c r="BV8" s="626" t="s">
        <v>172</v>
      </c>
      <c r="BW8" s="626" t="s">
        <v>173</v>
      </c>
      <c r="BX8" s="626" t="s">
        <v>174</v>
      </c>
      <c r="BY8" s="626" t="s">
        <v>175</v>
      </c>
      <c r="BZ8" s="619"/>
      <c r="CA8" s="696"/>
      <c r="CB8" s="619"/>
      <c r="CC8" s="141"/>
      <c r="CD8" s="117" t="s">
        <v>169</v>
      </c>
      <c r="CE8" s="117" t="s">
        <v>170</v>
      </c>
      <c r="CF8" s="117" t="s">
        <v>58</v>
      </c>
      <c r="CG8" s="117" t="s">
        <v>171</v>
      </c>
      <c r="CH8" s="117" t="s">
        <v>172</v>
      </c>
      <c r="CI8" s="117" t="s">
        <v>173</v>
      </c>
      <c r="CJ8" s="117" t="s">
        <v>174</v>
      </c>
      <c r="CK8" s="117" t="s">
        <v>175</v>
      </c>
      <c r="CL8" s="619"/>
      <c r="CM8" s="141"/>
      <c r="CN8" s="117" t="s">
        <v>169</v>
      </c>
      <c r="CO8" s="117" t="s">
        <v>170</v>
      </c>
      <c r="CP8" s="117" t="s">
        <v>58</v>
      </c>
      <c r="CQ8" s="117" t="s">
        <v>171</v>
      </c>
      <c r="CR8" s="117" t="s">
        <v>172</v>
      </c>
      <c r="CS8" s="117" t="s">
        <v>173</v>
      </c>
      <c r="CT8" s="117" t="s">
        <v>174</v>
      </c>
      <c r="CU8" s="117" t="s">
        <v>175</v>
      </c>
      <c r="CV8" s="141"/>
      <c r="CW8" s="141"/>
      <c r="CX8" s="141"/>
      <c r="CY8" s="141"/>
      <c r="CZ8" s="141"/>
      <c r="DA8" s="141"/>
      <c r="DB8" s="141"/>
      <c r="DC8" s="141"/>
      <c r="DD8" s="141"/>
      <c r="DE8" s="141"/>
      <c r="DF8" s="141"/>
      <c r="DG8" s="141"/>
      <c r="DH8" s="141"/>
      <c r="DI8" s="141"/>
      <c r="DJ8" s="622"/>
      <c r="DK8" s="626" t="s">
        <v>169</v>
      </c>
      <c r="DL8" s="626" t="s">
        <v>171</v>
      </c>
      <c r="DM8" s="626" t="s">
        <v>721</v>
      </c>
      <c r="DN8" s="626" t="s">
        <v>718</v>
      </c>
      <c r="DO8" s="626" t="s">
        <v>719</v>
      </c>
      <c r="DP8" s="626" t="s">
        <v>720</v>
      </c>
      <c r="DQ8" s="615"/>
      <c r="DR8" s="615"/>
    </row>
    <row r="9" spans="2:122">
      <c r="E9" s="36" t="s">
        <v>692</v>
      </c>
      <c r="F9" s="590">
        <v>3</v>
      </c>
      <c r="G9" s="590">
        <v>9</v>
      </c>
      <c r="H9" s="578">
        <f>((2*PI()*J10)/(PI()*(G9^2-F9^2)))*SUMPRODUCT(C15:C35,F15:F35)</f>
        <v>9.6425802109999926E-10</v>
      </c>
      <c r="J9" s="590" t="s">
        <v>700</v>
      </c>
      <c r="K9" s="616"/>
      <c r="L9" s="67"/>
      <c r="M9" s="36"/>
      <c r="N9" s="603">
        <v>3</v>
      </c>
      <c r="O9" s="604">
        <v>4</v>
      </c>
      <c r="P9" s="123">
        <f>PI()*(O9^2-N9^2)</f>
        <v>21.991148575128552</v>
      </c>
      <c r="Q9" s="584">
        <v>6E-9</v>
      </c>
      <c r="R9" s="585">
        <v>2.0000000000000001E-9</v>
      </c>
      <c r="S9" s="36"/>
      <c r="T9" s="36"/>
      <c r="U9" s="642"/>
      <c r="W9" s="646">
        <v>3.3</v>
      </c>
      <c r="X9" s="248">
        <v>0.15729899999999999</v>
      </c>
      <c r="Y9" s="632">
        <v>1.8536469000000001E-12</v>
      </c>
      <c r="Z9" s="647">
        <v>6E-9</v>
      </c>
      <c r="AA9" s="648">
        <v>1.5567096000000001E-2</v>
      </c>
      <c r="AB9" s="633">
        <v>2.0924100999999999E-3</v>
      </c>
      <c r="AC9" s="633">
        <v>2.0556111999999998E-3</v>
      </c>
      <c r="AD9" s="633">
        <v>0.23484168999999999</v>
      </c>
      <c r="AF9" s="113"/>
      <c r="AG9" s="118">
        <v>3.3</v>
      </c>
      <c r="AH9" s="119">
        <v>0.15729899999999999</v>
      </c>
      <c r="AI9" s="120">
        <v>1.8536469000000001E-12</v>
      </c>
      <c r="AJ9" s="533">
        <v>6.6324780295852797E-9</v>
      </c>
      <c r="AK9" s="121">
        <v>1.5567096000000001E-2</v>
      </c>
      <c r="AL9" s="121">
        <v>2.0924100999999999E-3</v>
      </c>
      <c r="AM9" s="121">
        <v>2.0556111999999998E-3</v>
      </c>
      <c r="AN9" s="121">
        <v>0.23484168999999999</v>
      </c>
      <c r="AR9" s="607">
        <v>3</v>
      </c>
      <c r="AS9" s="612">
        <v>2.7798348000000002E-9</v>
      </c>
      <c r="AT9" s="608">
        <v>1.0177500000000001E-2</v>
      </c>
      <c r="AU9" s="609">
        <f t="shared" ref="AU9:AU29" si="2">AS9*($AU$6/$H$9)</f>
        <v>7.2472260160145984E-9</v>
      </c>
      <c r="AV9" s="609">
        <f t="shared" si="0"/>
        <v>2.7142377193734087E-9</v>
      </c>
      <c r="AW9" s="610">
        <f t="shared" ref="AW9:AW29" si="3">AT9</f>
        <v>1.0177500000000001E-2</v>
      </c>
      <c r="AX9" s="610">
        <f t="shared" si="1"/>
        <v>2.0355000000000002E-2</v>
      </c>
      <c r="AY9" s="612">
        <v>6E-9</v>
      </c>
      <c r="AZ9" s="612">
        <v>2.0000000000000001E-9</v>
      </c>
      <c r="BD9" s="656"/>
      <c r="BF9" s="122">
        <v>3</v>
      </c>
      <c r="BG9" s="119">
        <v>0.20887600000000001</v>
      </c>
      <c r="BH9" s="120">
        <v>6.4727158000000003E-12</v>
      </c>
      <c r="BI9" s="660">
        <v>6E-9</v>
      </c>
      <c r="BJ9" s="661">
        <v>4.4181020000000001E-2</v>
      </c>
      <c r="BK9" s="121">
        <v>1.2165047E-3</v>
      </c>
      <c r="BL9" s="121">
        <v>4.6681509999999997E-3</v>
      </c>
      <c r="BM9" s="121">
        <v>0.15635784</v>
      </c>
      <c r="BN9" s="675">
        <v>3E-9</v>
      </c>
      <c r="BO9" s="676">
        <v>8.8362040000000003E-2</v>
      </c>
      <c r="BP9" s="141"/>
      <c r="BQ9" s="622"/>
      <c r="BR9" s="631">
        <v>3</v>
      </c>
      <c r="BS9" s="248">
        <v>0.20887600000000001</v>
      </c>
      <c r="BT9" s="632">
        <v>6.4727158000000003E-12</v>
      </c>
      <c r="BU9" s="628">
        <v>9.3280253470286546E-9</v>
      </c>
      <c r="BV9" s="663">
        <v>4.4181020000000001E-2</v>
      </c>
      <c r="BW9" s="633">
        <v>1.2165047E-3</v>
      </c>
      <c r="BX9" s="633">
        <v>4.6681509999999997E-3</v>
      </c>
      <c r="BY9" s="633">
        <v>0.15635784</v>
      </c>
      <c r="BZ9" s="620"/>
      <c r="CA9" s="697"/>
      <c r="CB9" s="620"/>
      <c r="CC9" s="141"/>
      <c r="CD9" s="122">
        <v>3</v>
      </c>
      <c r="CE9" s="119">
        <v>0.20887600000000001</v>
      </c>
      <c r="CF9" s="120">
        <v>6.4727158000000003E-12</v>
      </c>
      <c r="CG9" s="660">
        <v>8.9999999999999995E-9</v>
      </c>
      <c r="CH9" s="693">
        <v>2.2090510000000001E-2</v>
      </c>
      <c r="CI9" s="121">
        <v>1.2165047E-3</v>
      </c>
      <c r="CJ9" s="121">
        <v>4.6681509999999997E-3</v>
      </c>
      <c r="CK9" s="121">
        <v>0.15635784</v>
      </c>
      <c r="CL9" s="620"/>
      <c r="CM9" s="141"/>
      <c r="CN9" s="122">
        <v>3</v>
      </c>
      <c r="CO9" s="119">
        <v>0.20887600000000001</v>
      </c>
      <c r="CP9" s="120">
        <v>6.4727158000000003E-12</v>
      </c>
      <c r="CQ9" s="660">
        <v>1.1872354181499833E-8</v>
      </c>
      <c r="CR9" s="693">
        <v>2.2090510000000001E-2</v>
      </c>
      <c r="CS9" s="121">
        <v>1.2165047E-3</v>
      </c>
      <c r="CT9" s="121">
        <v>4.6681509999999997E-3</v>
      </c>
      <c r="CU9" s="121">
        <v>0.15635784</v>
      </c>
      <c r="CV9" s="141"/>
      <c r="CW9" s="141"/>
      <c r="CX9" s="141"/>
      <c r="CY9" s="141"/>
      <c r="CZ9" s="141"/>
      <c r="DA9" s="141"/>
      <c r="DB9" s="141"/>
      <c r="DC9" s="141"/>
      <c r="DD9" s="141"/>
      <c r="DE9" s="141"/>
      <c r="DF9" s="141"/>
      <c r="DG9" s="141"/>
      <c r="DH9" s="141"/>
      <c r="DI9" s="141"/>
      <c r="DJ9" s="622"/>
      <c r="DK9" s="627">
        <v>3</v>
      </c>
      <c r="DL9" s="628">
        <v>5.3207487000000003E-9</v>
      </c>
      <c r="DM9" s="629">
        <v>2.2090510000000001E-2</v>
      </c>
      <c r="DN9" s="628">
        <f t="shared" ref="DN9:DN39" si="4">DL9*$DN$7/$DL$40</f>
        <v>4.5740872455552217E-9</v>
      </c>
      <c r="DO9" s="628">
        <f t="shared" ref="DO9:DO39" si="5">DL9*$DO$7/$DL$40</f>
        <v>4.8164229936641075E-9</v>
      </c>
      <c r="DP9" s="629">
        <f t="shared" ref="DP9:DP39" si="6">2*DM9</f>
        <v>4.4181020000000001E-2</v>
      </c>
      <c r="DQ9" s="615"/>
      <c r="DR9" s="615"/>
    </row>
    <row r="10" spans="2:122">
      <c r="C10" s="79"/>
      <c r="D10" s="79"/>
      <c r="E10" s="36" t="s">
        <v>693</v>
      </c>
      <c r="F10" s="590">
        <v>2.7</v>
      </c>
      <c r="G10" s="590">
        <v>9</v>
      </c>
      <c r="H10" s="578">
        <f>((2*PI()*J10)/(PI()*(G10^2-F10^2)))*SUMPRODUCT(C14:C35,F14:F35)</f>
        <v>1.1451893615140413E-9</v>
      </c>
      <c r="J10" s="591">
        <f>C15-C14</f>
        <v>0.29999999999999982</v>
      </c>
      <c r="K10" s="617"/>
      <c r="L10" s="67"/>
      <c r="M10" s="36"/>
      <c r="N10" s="603">
        <v>4</v>
      </c>
      <c r="O10" s="604">
        <v>5</v>
      </c>
      <c r="P10" s="123">
        <f>PI()*(O10^2-N10^2)</f>
        <v>28.274333882308138</v>
      </c>
      <c r="Q10" s="584">
        <v>3E-9</v>
      </c>
      <c r="R10" s="585">
        <v>1.0000000000000001E-9</v>
      </c>
      <c r="S10" s="36"/>
      <c r="T10" s="36"/>
      <c r="U10" s="642"/>
      <c r="W10" s="646">
        <v>3.6</v>
      </c>
      <c r="X10" s="248">
        <v>0.171598</v>
      </c>
      <c r="Y10" s="632">
        <v>1.5890446000000001E-12</v>
      </c>
      <c r="Z10" s="647">
        <v>6E-9</v>
      </c>
      <c r="AA10" s="648">
        <v>1.8421678E-2</v>
      </c>
      <c r="AB10" s="633">
        <v>2.4863297E-3</v>
      </c>
      <c r="AC10" s="633">
        <v>2.0556111999999998E-3</v>
      </c>
      <c r="AD10" s="633">
        <v>0.23055136000000001</v>
      </c>
      <c r="AF10" s="113"/>
      <c r="AG10" s="118">
        <v>3.6</v>
      </c>
      <c r="AH10" s="119">
        <v>0.171598</v>
      </c>
      <c r="AI10" s="120">
        <v>1.5890446000000001E-12</v>
      </c>
      <c r="AJ10" s="533">
        <v>5.1554708957319309E-9</v>
      </c>
      <c r="AK10" s="121">
        <v>1.8421678E-2</v>
      </c>
      <c r="AL10" s="121">
        <v>2.4863297E-3</v>
      </c>
      <c r="AM10" s="121">
        <v>2.0556111999999998E-3</v>
      </c>
      <c r="AN10" s="121">
        <v>0.23055136000000001</v>
      </c>
      <c r="AR10" s="607">
        <v>3.3</v>
      </c>
      <c r="AS10" s="612">
        <v>8.8589079999999997E-10</v>
      </c>
      <c r="AT10" s="608">
        <v>1.5567096000000001E-2</v>
      </c>
      <c r="AU10" s="609">
        <f t="shared" si="2"/>
        <v>2.3095799984617735E-9</v>
      </c>
      <c r="AV10" s="609">
        <f t="shared" si="0"/>
        <v>8.6498601449477665E-10</v>
      </c>
      <c r="AW10" s="610">
        <f t="shared" si="3"/>
        <v>1.5567096000000001E-2</v>
      </c>
      <c r="AX10" s="610">
        <f t="shared" si="1"/>
        <v>3.1134192000000002E-2</v>
      </c>
      <c r="AY10" s="612">
        <v>6E-9</v>
      </c>
      <c r="AZ10" s="612">
        <v>2.0000000000000001E-9</v>
      </c>
      <c r="BD10" s="656"/>
      <c r="BF10" s="122">
        <v>3.2</v>
      </c>
      <c r="BG10" s="119">
        <v>0.222801</v>
      </c>
      <c r="BH10" s="120">
        <v>4.7216962000000002E-12</v>
      </c>
      <c r="BI10" s="660">
        <v>6E-9</v>
      </c>
      <c r="BJ10" s="661">
        <v>5.1539613999999997E-2</v>
      </c>
      <c r="BK10" s="121">
        <v>1.4025865000000001E-3</v>
      </c>
      <c r="BL10" s="121">
        <v>4.7942108000000004E-3</v>
      </c>
      <c r="BM10" s="121">
        <v>0.18240010000000001</v>
      </c>
      <c r="BN10" s="675">
        <v>3E-9</v>
      </c>
      <c r="BO10" s="676">
        <v>0.10307922799999999</v>
      </c>
      <c r="BP10" s="141"/>
      <c r="BQ10" s="622"/>
      <c r="BR10" s="631">
        <v>3.2</v>
      </c>
      <c r="BS10" s="248">
        <v>0.222801</v>
      </c>
      <c r="BT10" s="632">
        <v>4.7216962000000002E-12</v>
      </c>
      <c r="BU10" s="628">
        <v>6.9556042765793231E-9</v>
      </c>
      <c r="BV10" s="663">
        <v>5.1539613999999997E-2</v>
      </c>
      <c r="BW10" s="633">
        <v>1.4025865000000001E-3</v>
      </c>
      <c r="BX10" s="633">
        <v>4.7942108000000004E-3</v>
      </c>
      <c r="BY10" s="633">
        <v>0.18240010000000001</v>
      </c>
      <c r="BZ10" s="620"/>
      <c r="CA10" s="697"/>
      <c r="CB10" s="620"/>
      <c r="CC10" s="141"/>
      <c r="CD10" s="122">
        <v>3.2</v>
      </c>
      <c r="CE10" s="119">
        <v>0.222801</v>
      </c>
      <c r="CF10" s="120">
        <v>4.7216962000000002E-12</v>
      </c>
      <c r="CG10" s="660">
        <v>8.9999999999999995E-9</v>
      </c>
      <c r="CH10" s="693">
        <v>2.5769806999999999E-2</v>
      </c>
      <c r="CI10" s="121">
        <v>1.4025865000000001E-3</v>
      </c>
      <c r="CJ10" s="121">
        <v>4.7942108000000004E-3</v>
      </c>
      <c r="CK10" s="121">
        <v>0.18240010000000001</v>
      </c>
      <c r="CL10" s="620"/>
      <c r="CM10" s="141"/>
      <c r="CN10" s="122">
        <v>3.2</v>
      </c>
      <c r="CO10" s="119">
        <v>0.222801</v>
      </c>
      <c r="CP10" s="120">
        <v>4.7216962000000002E-12</v>
      </c>
      <c r="CQ10" s="660">
        <v>9.6392000178126086E-9</v>
      </c>
      <c r="CR10" s="693">
        <v>2.5769806999999999E-2</v>
      </c>
      <c r="CS10" s="121">
        <v>1.4025865000000001E-3</v>
      </c>
      <c r="CT10" s="121">
        <v>4.7942108000000004E-3</v>
      </c>
      <c r="CU10" s="121">
        <v>0.18240010000000001</v>
      </c>
      <c r="CV10" s="141"/>
      <c r="CW10" s="141"/>
      <c r="CX10" s="141"/>
      <c r="CY10" s="141"/>
      <c r="CZ10" s="141"/>
      <c r="DA10" s="141"/>
      <c r="DB10" s="141"/>
      <c r="DC10" s="141"/>
      <c r="DD10" s="141"/>
      <c r="DE10" s="141"/>
      <c r="DF10" s="141"/>
      <c r="DG10" s="141"/>
      <c r="DH10" s="141"/>
      <c r="DI10" s="141"/>
      <c r="DJ10" s="622"/>
      <c r="DK10" s="627">
        <v>3.2</v>
      </c>
      <c r="DL10" s="628">
        <v>3.3664205999999998E-9</v>
      </c>
      <c r="DM10" s="629">
        <v>2.5769806999999999E-2</v>
      </c>
      <c r="DN10" s="628">
        <f t="shared" si="4"/>
        <v>2.8940102977677469E-9</v>
      </c>
      <c r="DO10" s="628">
        <f t="shared" si="5"/>
        <v>3.0473353466561051E-9</v>
      </c>
      <c r="DP10" s="629">
        <f t="shared" si="6"/>
        <v>5.1539613999999997E-2</v>
      </c>
      <c r="DQ10" s="615"/>
      <c r="DR10" s="615"/>
    </row>
    <row r="11" spans="2:122">
      <c r="C11" s="36" t="s">
        <v>615</v>
      </c>
      <c r="D11" s="140"/>
      <c r="L11" s="67"/>
      <c r="M11" s="36"/>
      <c r="N11" s="603">
        <v>5</v>
      </c>
      <c r="O11" s="604">
        <v>9</v>
      </c>
      <c r="P11" s="123">
        <f>PI()*(O11^2-N11^2)</f>
        <v>175.92918860102841</v>
      </c>
      <c r="Q11" s="584">
        <v>2.0000000000000001E-9</v>
      </c>
      <c r="R11" s="585">
        <v>1.0000000000000001E-9</v>
      </c>
      <c r="S11" s="36"/>
      <c r="T11" s="36"/>
      <c r="U11" s="642"/>
      <c r="W11" s="646">
        <v>3.9</v>
      </c>
      <c r="X11" s="248">
        <v>0.18589800000000001</v>
      </c>
      <c r="Y11" s="632">
        <v>2.1866609E-12</v>
      </c>
      <c r="Z11" s="647">
        <v>6E-9</v>
      </c>
      <c r="AA11" s="648">
        <v>1.9613994999999999E-2</v>
      </c>
      <c r="AB11" s="633">
        <v>2.6421833999999999E-3</v>
      </c>
      <c r="AC11" s="633">
        <v>2.0556111999999998E-3</v>
      </c>
      <c r="AD11" s="633">
        <v>0.23373368</v>
      </c>
      <c r="AF11" s="113"/>
      <c r="AG11" s="118">
        <v>3.9</v>
      </c>
      <c r="AH11" s="119">
        <v>0.18589800000000001</v>
      </c>
      <c r="AI11" s="120">
        <v>2.1866609E-12</v>
      </c>
      <c r="AJ11" s="533">
        <v>4.4325784733317123E-9</v>
      </c>
      <c r="AK11" s="121">
        <v>1.9613994999999999E-2</v>
      </c>
      <c r="AL11" s="121">
        <v>2.6421833999999999E-3</v>
      </c>
      <c r="AM11" s="121">
        <v>2.0556111999999998E-3</v>
      </c>
      <c r="AN11" s="121">
        <v>0.23373368</v>
      </c>
      <c r="AR11" s="607">
        <v>3.6</v>
      </c>
      <c r="AS11" s="612">
        <v>6.3911259000000004E-10</v>
      </c>
      <c r="AT11" s="608">
        <v>1.8421678E-2</v>
      </c>
      <c r="AU11" s="609">
        <f t="shared" si="2"/>
        <v>1.6662117437376031E-9</v>
      </c>
      <c r="AV11" s="609">
        <f t="shared" si="0"/>
        <v>6.240311469963728E-10</v>
      </c>
      <c r="AW11" s="610">
        <f t="shared" si="3"/>
        <v>1.8421678E-2</v>
      </c>
      <c r="AX11" s="610">
        <f t="shared" si="1"/>
        <v>3.6843356000000001E-2</v>
      </c>
      <c r="AY11" s="612">
        <v>6E-9</v>
      </c>
      <c r="AZ11" s="612">
        <v>2.0000000000000001E-9</v>
      </c>
      <c r="BD11" s="656"/>
      <c r="BF11" s="122">
        <v>3.4</v>
      </c>
      <c r="BG11" s="119">
        <v>0.23672599999999999</v>
      </c>
      <c r="BH11" s="120">
        <v>5.0607030000000002E-12</v>
      </c>
      <c r="BI11" s="660">
        <v>6E-9</v>
      </c>
      <c r="BJ11" s="661">
        <v>5.8143052000000001E-2</v>
      </c>
      <c r="BK11" s="121">
        <v>1.5205151999999999E-3</v>
      </c>
      <c r="BL11" s="121">
        <v>4.9754214E-3</v>
      </c>
      <c r="BM11" s="121">
        <v>0.20576985</v>
      </c>
      <c r="BN11" s="675">
        <v>3E-9</v>
      </c>
      <c r="BO11" s="676">
        <v>0.116286104</v>
      </c>
      <c r="BP11" s="141"/>
      <c r="BQ11" s="622"/>
      <c r="BR11" s="631">
        <v>3.4</v>
      </c>
      <c r="BS11" s="248">
        <v>0.23672599999999999</v>
      </c>
      <c r="BT11" s="632">
        <v>5.0607030000000002E-12</v>
      </c>
      <c r="BU11" s="628">
        <v>6.5498482520927301E-9</v>
      </c>
      <c r="BV11" s="663">
        <v>5.8143052000000001E-2</v>
      </c>
      <c r="BW11" s="633">
        <v>1.5205151999999999E-3</v>
      </c>
      <c r="BX11" s="633">
        <v>4.9754214E-3</v>
      </c>
      <c r="BY11" s="633">
        <v>0.20576985</v>
      </c>
      <c r="BZ11" s="620"/>
      <c r="CA11" s="697"/>
      <c r="CB11" s="620"/>
      <c r="CC11" s="141"/>
      <c r="CD11" s="122">
        <v>3.4</v>
      </c>
      <c r="CE11" s="119">
        <v>0.23672599999999999</v>
      </c>
      <c r="CF11" s="120">
        <v>5.0607030000000002E-12</v>
      </c>
      <c r="CG11" s="660">
        <v>8.9999999999999995E-9</v>
      </c>
      <c r="CH11" s="693">
        <v>2.9071526E-2</v>
      </c>
      <c r="CI11" s="121">
        <v>1.5205151999999999E-3</v>
      </c>
      <c r="CJ11" s="121">
        <v>4.9754214E-3</v>
      </c>
      <c r="CK11" s="121">
        <v>0.20576985</v>
      </c>
      <c r="CL11" s="620"/>
      <c r="CM11" s="141"/>
      <c r="CN11" s="122">
        <v>3.4</v>
      </c>
      <c r="CO11" s="119">
        <v>0.23672599999999999</v>
      </c>
      <c r="CP11" s="120">
        <v>5.0607030000000002E-12</v>
      </c>
      <c r="CQ11" s="660">
        <v>9.3120159824972183E-9</v>
      </c>
      <c r="CR11" s="693">
        <v>2.9071526E-2</v>
      </c>
      <c r="CS11" s="121">
        <v>1.5205151999999999E-3</v>
      </c>
      <c r="CT11" s="121">
        <v>4.9754214E-3</v>
      </c>
      <c r="CU11" s="121">
        <v>0.20576985</v>
      </c>
      <c r="CV11" s="141"/>
      <c r="CW11" s="141"/>
      <c r="CX11" s="141"/>
      <c r="CY11" s="141"/>
      <c r="CZ11" s="141"/>
      <c r="DA11" s="141"/>
      <c r="DB11" s="141"/>
      <c r="DC11" s="141"/>
      <c r="DD11" s="141"/>
      <c r="DE11" s="141"/>
      <c r="DF11" s="141"/>
      <c r="DG11" s="141"/>
      <c r="DH11" s="141"/>
      <c r="DI11" s="141"/>
      <c r="DJ11" s="622"/>
      <c r="DK11" s="627">
        <v>3.4</v>
      </c>
      <c r="DL11" s="628">
        <v>3.3282817000000001E-9</v>
      </c>
      <c r="DM11" s="629">
        <v>2.9071526E-2</v>
      </c>
      <c r="DN11" s="628">
        <f t="shared" si="4"/>
        <v>2.8612234352629453E-9</v>
      </c>
      <c r="DO11" s="628">
        <f t="shared" si="5"/>
        <v>3.0128114318331679E-9</v>
      </c>
      <c r="DP11" s="629">
        <f t="shared" si="6"/>
        <v>5.8143052000000001E-2</v>
      </c>
      <c r="DQ11" s="615"/>
      <c r="DR11" s="615"/>
    </row>
    <row r="12" spans="2:122">
      <c r="C12" s="140" t="s">
        <v>167</v>
      </c>
      <c r="D12" s="79"/>
      <c r="E12" s="79"/>
      <c r="F12" s="114"/>
      <c r="G12" s="79"/>
      <c r="J12" s="79"/>
      <c r="K12" s="618"/>
      <c r="L12" s="67"/>
      <c r="M12" s="36"/>
      <c r="N12" s="586"/>
      <c r="O12" s="587"/>
      <c r="P12" s="588" t="s">
        <v>696</v>
      </c>
      <c r="Q12" s="600">
        <f>SUMPRODUCT(P9:P11,Q9:Q11)/SUM(P9:P11)</f>
        <v>2.5138888888888889E-9</v>
      </c>
      <c r="R12" s="600">
        <f>SUMPRODUCT(P8:P11,R8:R11)/SUM(P8:P11)</f>
        <v>1.1181657848324517E-9</v>
      </c>
      <c r="S12" s="36"/>
      <c r="T12" s="36"/>
      <c r="U12" s="642"/>
      <c r="W12" s="646">
        <v>4.2</v>
      </c>
      <c r="X12" s="248">
        <v>0.20019799999999999</v>
      </c>
      <c r="Y12" s="632">
        <v>2.4631614999999998E-12</v>
      </c>
      <c r="Z12" s="647">
        <v>3E-9</v>
      </c>
      <c r="AA12" s="648">
        <v>2.0714155000000001E-2</v>
      </c>
      <c r="AB12" s="633">
        <v>2.7836088000000002E-3</v>
      </c>
      <c r="AC12" s="633">
        <v>2.0630590999999999E-3</v>
      </c>
      <c r="AD12" s="633">
        <v>0.23469693</v>
      </c>
      <c r="AF12" s="113"/>
      <c r="AG12" s="118">
        <v>4.2</v>
      </c>
      <c r="AH12" s="119">
        <v>0.20019799999999999</v>
      </c>
      <c r="AI12" s="120">
        <v>2.4631614999999998E-12</v>
      </c>
      <c r="AJ12" s="533">
        <v>3.814698974861564E-9</v>
      </c>
      <c r="AK12" s="121">
        <v>2.0714155000000001E-2</v>
      </c>
      <c r="AL12" s="121">
        <v>2.7836088000000002E-3</v>
      </c>
      <c r="AM12" s="121">
        <v>2.0630590999999999E-3</v>
      </c>
      <c r="AN12" s="121">
        <v>0.23469693</v>
      </c>
      <c r="AR12" s="607">
        <v>3.9</v>
      </c>
      <c r="AS12" s="612">
        <v>8.2759617000000002E-10</v>
      </c>
      <c r="AT12" s="608">
        <v>1.9613994999999999E-2</v>
      </c>
      <c r="AU12" s="609">
        <f t="shared" si="2"/>
        <v>2.1576017733061114E-9</v>
      </c>
      <c r="AV12" s="609">
        <f t="shared" si="0"/>
        <v>8.0806699053590087E-10</v>
      </c>
      <c r="AW12" s="610">
        <f t="shared" si="3"/>
        <v>1.9613994999999999E-2</v>
      </c>
      <c r="AX12" s="610">
        <f t="shared" si="1"/>
        <v>3.9227989999999997E-2</v>
      </c>
      <c r="AY12" s="612">
        <v>6E-9</v>
      </c>
      <c r="AZ12" s="612">
        <v>2.0000000000000001E-9</v>
      </c>
      <c r="BD12" s="656"/>
      <c r="BF12" s="122">
        <v>3.6</v>
      </c>
      <c r="BG12" s="119">
        <v>0.25065100000000001</v>
      </c>
      <c r="BH12" s="120">
        <v>3.5196561000000001E-12</v>
      </c>
      <c r="BI12" s="660">
        <v>6E-9</v>
      </c>
      <c r="BJ12" s="661">
        <v>6.2181743999999997E-2</v>
      </c>
      <c r="BK12" s="121">
        <v>1.5961043E-3</v>
      </c>
      <c r="BL12" s="121">
        <v>5.0345119999999997E-3</v>
      </c>
      <c r="BM12" s="121">
        <v>0.22006289000000001</v>
      </c>
      <c r="BN12" s="675">
        <v>3E-9</v>
      </c>
      <c r="BO12" s="676">
        <v>0.12436348799999999</v>
      </c>
      <c r="BP12" s="676"/>
      <c r="BQ12" s="622"/>
      <c r="BR12" s="631">
        <v>3.6</v>
      </c>
      <c r="BS12" s="248">
        <v>0.25065100000000001</v>
      </c>
      <c r="BT12" s="632">
        <v>3.5196561000000001E-12</v>
      </c>
      <c r="BU12" s="628">
        <v>5.1122712439579355E-9</v>
      </c>
      <c r="BV12" s="663">
        <v>6.2181743999999997E-2</v>
      </c>
      <c r="BW12" s="633">
        <v>1.5961043E-3</v>
      </c>
      <c r="BX12" s="633">
        <v>5.0345119999999997E-3</v>
      </c>
      <c r="BY12" s="633">
        <v>0.22006289000000001</v>
      </c>
      <c r="BZ12" s="620"/>
      <c r="CA12" s="697"/>
      <c r="CB12" s="620"/>
      <c r="CC12" s="676"/>
      <c r="CD12" s="122">
        <v>3.6</v>
      </c>
      <c r="CE12" s="119">
        <v>0.25065100000000001</v>
      </c>
      <c r="CF12" s="120">
        <v>3.5196561000000001E-12</v>
      </c>
      <c r="CG12" s="660">
        <v>8.9999999999999995E-9</v>
      </c>
      <c r="CH12" s="693">
        <v>3.1090871999999999E-2</v>
      </c>
      <c r="CI12" s="121">
        <v>1.5961043E-3</v>
      </c>
      <c r="CJ12" s="121">
        <v>5.0345119999999997E-3</v>
      </c>
      <c r="CK12" s="121">
        <v>0.22006289000000001</v>
      </c>
      <c r="CL12" s="620"/>
      <c r="CM12" s="676"/>
      <c r="CN12" s="122">
        <v>3.6</v>
      </c>
      <c r="CO12" s="119">
        <v>0.25065100000000001</v>
      </c>
      <c r="CP12" s="120">
        <v>3.5196561000000001E-12</v>
      </c>
      <c r="CQ12" s="660">
        <v>7.8929978802878833E-9</v>
      </c>
      <c r="CR12" s="693">
        <v>3.1090871999999999E-2</v>
      </c>
      <c r="CS12" s="121">
        <v>1.5961043E-3</v>
      </c>
      <c r="CT12" s="121">
        <v>5.0345119999999997E-3</v>
      </c>
      <c r="CU12" s="121">
        <v>0.22006289000000001</v>
      </c>
      <c r="CV12" s="141"/>
      <c r="CW12" s="141"/>
      <c r="CX12" s="141"/>
      <c r="CY12" s="141"/>
      <c r="CZ12" s="141"/>
      <c r="DA12" s="141"/>
      <c r="DB12" s="141"/>
      <c r="DC12" s="141"/>
      <c r="DD12" s="141"/>
      <c r="DE12" s="141"/>
      <c r="DF12" s="141"/>
      <c r="DG12" s="141"/>
      <c r="DH12" s="141"/>
      <c r="DI12" s="141"/>
      <c r="DJ12" s="622"/>
      <c r="DK12" s="627">
        <v>3.6</v>
      </c>
      <c r="DL12" s="628">
        <v>2.2051541E-9</v>
      </c>
      <c r="DM12" s="629">
        <v>3.1090871999999999E-2</v>
      </c>
      <c r="DN12" s="628">
        <f t="shared" si="4"/>
        <v>1.8957044979955174E-9</v>
      </c>
      <c r="DO12" s="628">
        <f t="shared" si="5"/>
        <v>1.9961391733860087E-9</v>
      </c>
      <c r="DP12" s="629">
        <f t="shared" si="6"/>
        <v>6.2181743999999997E-2</v>
      </c>
      <c r="DQ12" s="615"/>
      <c r="DR12" s="615"/>
    </row>
    <row r="13" spans="2:122">
      <c r="C13" s="116" t="s">
        <v>169</v>
      </c>
      <c r="D13" s="116" t="s">
        <v>170</v>
      </c>
      <c r="E13" s="116" t="s">
        <v>58</v>
      </c>
      <c r="F13" s="116" t="s">
        <v>171</v>
      </c>
      <c r="G13" s="116" t="s">
        <v>172</v>
      </c>
      <c r="H13" s="116" t="s">
        <v>173</v>
      </c>
      <c r="I13" s="116" t="s">
        <v>174</v>
      </c>
      <c r="J13" s="116" t="s">
        <v>175</v>
      </c>
      <c r="K13" s="619"/>
      <c r="L13" s="67"/>
      <c r="M13" s="36"/>
      <c r="N13" s="36"/>
      <c r="O13" s="101"/>
      <c r="P13" s="36"/>
      <c r="Q13" s="103"/>
      <c r="R13" s="36"/>
      <c r="S13" s="36"/>
      <c r="T13" s="36"/>
      <c r="U13" s="642"/>
      <c r="W13" s="646">
        <v>4.5</v>
      </c>
      <c r="X13" s="248">
        <v>0.21449799999999999</v>
      </c>
      <c r="Y13" s="632">
        <v>2.1464797000000002E-12</v>
      </c>
      <c r="Z13" s="647">
        <v>3E-9</v>
      </c>
      <c r="AA13" s="648">
        <v>2.1722156999999999E-2</v>
      </c>
      <c r="AB13" s="633">
        <v>2.9106054999999999E-3</v>
      </c>
      <c r="AC13" s="633">
        <v>2.0779548000000002E-3</v>
      </c>
      <c r="AD13" s="633">
        <v>0.23323099</v>
      </c>
      <c r="AF13" s="113"/>
      <c r="AG13" s="118">
        <v>4.5</v>
      </c>
      <c r="AH13" s="119">
        <v>0.21449799999999999</v>
      </c>
      <c r="AI13" s="120">
        <v>2.1464797000000002E-12</v>
      </c>
      <c r="AJ13" s="533">
        <v>3.1671130398874647E-9</v>
      </c>
      <c r="AK13" s="121">
        <v>2.1722156999999999E-2</v>
      </c>
      <c r="AL13" s="121">
        <v>2.9106054999999999E-3</v>
      </c>
      <c r="AM13" s="121">
        <v>2.0779548000000002E-3</v>
      </c>
      <c r="AN13" s="121">
        <v>0.23323099</v>
      </c>
      <c r="AR13" s="607">
        <v>4.2</v>
      </c>
      <c r="AS13" s="612">
        <v>8.8488062000000002E-10</v>
      </c>
      <c r="AT13" s="608">
        <v>2.0714155000000001E-2</v>
      </c>
      <c r="AU13" s="609">
        <f t="shared" si="2"/>
        <v>2.306946387724597E-9</v>
      </c>
      <c r="AV13" s="609">
        <f t="shared" si="0"/>
        <v>8.6399967219150139E-10</v>
      </c>
      <c r="AW13" s="610">
        <f t="shared" si="3"/>
        <v>2.0714155000000001E-2</v>
      </c>
      <c r="AX13" s="610">
        <f t="shared" si="1"/>
        <v>4.1428310000000003E-2</v>
      </c>
      <c r="AY13" s="612">
        <v>3E-9</v>
      </c>
      <c r="AZ13" s="612">
        <v>1.0000000000000001E-9</v>
      </c>
      <c r="BD13" s="656"/>
      <c r="BF13" s="122">
        <v>3.8</v>
      </c>
      <c r="BG13" s="119">
        <v>0.26457599999999998</v>
      </c>
      <c r="BH13" s="120">
        <v>3.3005912000000001E-12</v>
      </c>
      <c r="BI13" s="660">
        <v>6E-9</v>
      </c>
      <c r="BJ13" s="661">
        <v>6.5714702E-2</v>
      </c>
      <c r="BK13" s="121">
        <v>1.6612665E-3</v>
      </c>
      <c r="BL13" s="121">
        <v>5.0905721999999999E-3</v>
      </c>
      <c r="BM13" s="121">
        <v>0.23256613000000001</v>
      </c>
      <c r="BN13" s="675">
        <v>3E-9</v>
      </c>
      <c r="BO13" s="676">
        <v>0.131429404</v>
      </c>
      <c r="BP13" s="676"/>
      <c r="BQ13" s="622"/>
      <c r="BR13" s="631">
        <v>3.8</v>
      </c>
      <c r="BS13" s="248">
        <v>0.26457599999999998</v>
      </c>
      <c r="BT13" s="632">
        <v>3.3005912000000001E-12</v>
      </c>
      <c r="BU13" s="628">
        <v>4.6319426255262705E-9</v>
      </c>
      <c r="BV13" s="663">
        <v>6.5714702E-2</v>
      </c>
      <c r="BW13" s="633">
        <v>1.6612665E-3</v>
      </c>
      <c r="BX13" s="633">
        <v>5.0905721999999999E-3</v>
      </c>
      <c r="BY13" s="633">
        <v>0.23256613000000001</v>
      </c>
      <c r="BZ13" s="620"/>
      <c r="CA13" s="697"/>
      <c r="CB13" s="620"/>
      <c r="CC13" s="676"/>
      <c r="CD13" s="122">
        <v>3.8</v>
      </c>
      <c r="CE13" s="119">
        <v>0.26457599999999998</v>
      </c>
      <c r="CF13" s="120">
        <v>3.3005912000000001E-12</v>
      </c>
      <c r="CG13" s="660">
        <v>8.9999999999999995E-9</v>
      </c>
      <c r="CH13" s="693">
        <v>3.2857351E-2</v>
      </c>
      <c r="CI13" s="121">
        <v>1.6612665E-3</v>
      </c>
      <c r="CJ13" s="121">
        <v>5.0905721999999999E-3</v>
      </c>
      <c r="CK13" s="121">
        <v>0.23256613000000001</v>
      </c>
      <c r="CL13" s="620"/>
      <c r="CM13" s="676"/>
      <c r="CN13" s="122">
        <v>3.8</v>
      </c>
      <c r="CO13" s="119">
        <v>0.26457599999999998</v>
      </c>
      <c r="CP13" s="120">
        <v>3.3005912000000001E-12</v>
      </c>
      <c r="CQ13" s="660">
        <v>7.3751768592909133E-9</v>
      </c>
      <c r="CR13" s="693">
        <v>3.2857351E-2</v>
      </c>
      <c r="CS13" s="121">
        <v>1.6612665E-3</v>
      </c>
      <c r="CT13" s="121">
        <v>5.0905721999999999E-3</v>
      </c>
      <c r="CU13" s="121">
        <v>0.23256613000000001</v>
      </c>
      <c r="CV13" s="141"/>
      <c r="CW13" s="141"/>
      <c r="CX13" s="141"/>
      <c r="CY13" s="141"/>
      <c r="CZ13" s="141"/>
      <c r="DA13" s="141"/>
      <c r="DB13" s="141"/>
      <c r="DC13" s="141"/>
      <c r="DD13" s="141"/>
      <c r="DE13" s="141"/>
      <c r="DF13" s="141"/>
      <c r="DG13" s="141"/>
      <c r="DH13" s="141"/>
      <c r="DI13" s="141"/>
      <c r="DJ13" s="622"/>
      <c r="DK13" s="627">
        <v>3.8</v>
      </c>
      <c r="DL13" s="628">
        <v>1.9867921000000002E-9</v>
      </c>
      <c r="DM13" s="629">
        <v>3.2857351E-2</v>
      </c>
      <c r="DN13" s="628">
        <f t="shared" si="4"/>
        <v>1.7079852698511913E-9</v>
      </c>
      <c r="DO13" s="628">
        <f t="shared" si="5"/>
        <v>1.7984745556711223E-9</v>
      </c>
      <c r="DP13" s="629">
        <f t="shared" si="6"/>
        <v>6.5714702E-2</v>
      </c>
      <c r="DQ13" s="615"/>
      <c r="DR13" s="615"/>
    </row>
    <row r="14" spans="2:122">
      <c r="C14" s="118">
        <v>2.7</v>
      </c>
      <c r="D14" s="119">
        <v>0.12869900000000001</v>
      </c>
      <c r="E14" s="120">
        <v>7.2127685999999998E-12</v>
      </c>
      <c r="F14" s="120">
        <v>9.2502039000000006E-9</v>
      </c>
      <c r="G14" s="121">
        <v>5.7534806000000003E-3</v>
      </c>
      <c r="H14" s="121">
        <v>7.7974158999999995E-4</v>
      </c>
      <c r="I14" s="121">
        <v>2.0332675999999998E-3</v>
      </c>
      <c r="J14" s="121">
        <v>4.2041007000000003E-3</v>
      </c>
      <c r="K14" s="620"/>
      <c r="L14" s="67"/>
      <c r="M14" s="36"/>
      <c r="N14" s="36"/>
      <c r="O14" s="101"/>
      <c r="P14" s="102"/>
      <c r="Q14" s="103"/>
      <c r="R14" s="36"/>
      <c r="S14" s="36"/>
      <c r="T14" s="36"/>
      <c r="U14" s="642"/>
      <c r="W14" s="646">
        <v>4.8</v>
      </c>
      <c r="X14" s="248">
        <v>0.228798</v>
      </c>
      <c r="Y14" s="632">
        <v>1.7036882E-12</v>
      </c>
      <c r="Z14" s="647">
        <v>3E-9</v>
      </c>
      <c r="AA14" s="648">
        <v>2.2431438000000001E-2</v>
      </c>
      <c r="AB14" s="633">
        <v>3.0266531999999999E-3</v>
      </c>
      <c r="AC14" s="633">
        <v>2.0556111999999998E-3</v>
      </c>
      <c r="AD14" s="633">
        <v>0.23128235999999999</v>
      </c>
      <c r="AF14" s="113"/>
      <c r="AG14" s="118">
        <v>4.8</v>
      </c>
      <c r="AH14" s="119">
        <v>0.228798</v>
      </c>
      <c r="AI14" s="120">
        <v>1.7036882E-12</v>
      </c>
      <c r="AJ14" s="533">
        <v>2.6220018286958591E-9</v>
      </c>
      <c r="AK14" s="121">
        <v>2.2431438000000001E-2</v>
      </c>
      <c r="AL14" s="121">
        <v>3.0266531999999999E-3</v>
      </c>
      <c r="AM14" s="121">
        <v>2.0556111999999998E-3</v>
      </c>
      <c r="AN14" s="121">
        <v>0.23128235999999999</v>
      </c>
      <c r="AR14" s="607">
        <v>4.5</v>
      </c>
      <c r="AS14" s="612">
        <v>7.3746844000000002E-10</v>
      </c>
      <c r="AT14" s="608">
        <v>2.1722156999999999E-2</v>
      </c>
      <c r="AU14" s="609">
        <f t="shared" si="2"/>
        <v>1.9226324040398731E-9</v>
      </c>
      <c r="AV14" s="609">
        <f t="shared" si="0"/>
        <v>7.200660473404626E-10</v>
      </c>
      <c r="AW14" s="610">
        <f t="shared" si="3"/>
        <v>2.1722156999999999E-2</v>
      </c>
      <c r="AX14" s="610">
        <f t="shared" si="1"/>
        <v>4.3444313999999998E-2</v>
      </c>
      <c r="AY14" s="612">
        <v>3E-9</v>
      </c>
      <c r="AZ14" s="612">
        <v>1.0000000000000001E-9</v>
      </c>
      <c r="BD14" s="656"/>
      <c r="BF14" s="122">
        <v>4</v>
      </c>
      <c r="BG14" s="119">
        <v>0.278501</v>
      </c>
      <c r="BH14" s="120">
        <v>2.9093909000000001E-12</v>
      </c>
      <c r="BI14" s="660">
        <v>4.0000000000000002E-9</v>
      </c>
      <c r="BJ14" s="661">
        <v>6.8741936000000003E-2</v>
      </c>
      <c r="BK14" s="121">
        <v>1.7160019000000001E-3</v>
      </c>
      <c r="BL14" s="121">
        <v>5.1436023000000003E-3</v>
      </c>
      <c r="BM14" s="121">
        <v>0.24327958999999999</v>
      </c>
      <c r="BN14" s="675">
        <v>2.0000000000000001E-9</v>
      </c>
      <c r="BO14" s="676">
        <v>0.13748387200000001</v>
      </c>
      <c r="BP14" s="676"/>
      <c r="BQ14" s="622"/>
      <c r="BR14" s="631">
        <v>4</v>
      </c>
      <c r="BS14" s="248">
        <v>0.278501</v>
      </c>
      <c r="BT14" s="632">
        <v>2.9093909000000001E-12</v>
      </c>
      <c r="BU14" s="628">
        <v>4.1278427473711862E-9</v>
      </c>
      <c r="BV14" s="663">
        <v>6.8741936000000003E-2</v>
      </c>
      <c r="BW14" s="633">
        <v>1.7160019000000001E-3</v>
      </c>
      <c r="BX14" s="633">
        <v>5.1436023000000003E-3</v>
      </c>
      <c r="BY14" s="633">
        <v>0.24327958999999999</v>
      </c>
      <c r="BZ14" s="620"/>
      <c r="CA14" s="697"/>
      <c r="CB14" s="620"/>
      <c r="CC14" s="676"/>
      <c r="CD14" s="122">
        <v>4</v>
      </c>
      <c r="CE14" s="119">
        <v>0.278501</v>
      </c>
      <c r="CF14" s="120">
        <v>2.9093909000000001E-12</v>
      </c>
      <c r="CG14" s="660">
        <v>6.9999999999999998E-9</v>
      </c>
      <c r="CH14" s="693">
        <v>3.4370968000000002E-2</v>
      </c>
      <c r="CI14" s="121">
        <v>1.7160019000000001E-3</v>
      </c>
      <c r="CJ14" s="121">
        <v>5.1436023000000003E-3</v>
      </c>
      <c r="CK14" s="121">
        <v>0.24327958999999999</v>
      </c>
      <c r="CL14" s="620"/>
      <c r="CM14" s="676"/>
      <c r="CN14" s="122">
        <v>4</v>
      </c>
      <c r="CO14" s="119">
        <v>0.278501</v>
      </c>
      <c r="CP14" s="120">
        <v>2.9093909000000001E-12</v>
      </c>
      <c r="CQ14" s="660">
        <v>6.783927173116461E-9</v>
      </c>
      <c r="CR14" s="693">
        <v>3.4370968000000002E-2</v>
      </c>
      <c r="CS14" s="121">
        <v>1.7160019000000001E-3</v>
      </c>
      <c r="CT14" s="121">
        <v>5.1436023000000003E-3</v>
      </c>
      <c r="CU14" s="121">
        <v>0.24327958999999999</v>
      </c>
      <c r="CV14" s="141"/>
      <c r="CW14" s="141"/>
      <c r="CX14" s="141"/>
      <c r="CY14" s="141"/>
      <c r="CZ14" s="141"/>
      <c r="DA14" s="141"/>
      <c r="DB14" s="141"/>
      <c r="DC14" s="141"/>
      <c r="DD14" s="141"/>
      <c r="DE14" s="141"/>
      <c r="DF14" s="141"/>
      <c r="DG14" s="141"/>
      <c r="DH14" s="141"/>
      <c r="DI14" s="141"/>
      <c r="DJ14" s="622"/>
      <c r="DK14" s="627">
        <v>4</v>
      </c>
      <c r="DL14" s="628">
        <v>1.6954474E-9</v>
      </c>
      <c r="DM14" s="629">
        <v>3.4370968000000002E-2</v>
      </c>
      <c r="DN14" s="628">
        <f t="shared" si="4"/>
        <v>1.4575250148254062E-9</v>
      </c>
      <c r="DO14" s="628">
        <f t="shared" si="5"/>
        <v>1.5347448831605273E-9</v>
      </c>
      <c r="DP14" s="629">
        <f t="shared" si="6"/>
        <v>6.8741936000000003E-2</v>
      </c>
      <c r="DQ14" s="615"/>
      <c r="DR14" s="615"/>
    </row>
    <row r="15" spans="2:122">
      <c r="C15" s="118">
        <v>3</v>
      </c>
      <c r="D15" s="119">
        <v>0.14299899999999999</v>
      </c>
      <c r="E15" s="120">
        <v>3.8144394999999998E-12</v>
      </c>
      <c r="F15" s="120">
        <v>2.7798348000000002E-9</v>
      </c>
      <c r="G15" s="121">
        <v>1.0177500000000001E-2</v>
      </c>
      <c r="H15" s="121">
        <v>1.3721821E-3</v>
      </c>
      <c r="I15" s="121">
        <v>2.0481634000000001E-3</v>
      </c>
      <c r="J15" s="121">
        <v>0.26489564999999998</v>
      </c>
      <c r="K15" s="620"/>
      <c r="L15" s="67"/>
      <c r="M15" s="36"/>
      <c r="N15" s="36"/>
      <c r="O15" s="101"/>
      <c r="P15" s="102"/>
      <c r="Q15" s="103"/>
      <c r="R15" s="36"/>
      <c r="S15" s="36"/>
      <c r="T15" s="36"/>
      <c r="U15" s="642"/>
      <c r="W15" s="646">
        <v>5.0999999999999996</v>
      </c>
      <c r="X15" s="248">
        <v>0.24309800000000001</v>
      </c>
      <c r="Y15" s="632">
        <v>1.6154852999999999E-12</v>
      </c>
      <c r="Z15" s="647">
        <v>2.0000000000000001E-9</v>
      </c>
      <c r="AA15" s="648">
        <v>2.2807502E-2</v>
      </c>
      <c r="AB15" s="633">
        <v>3.0826342E-3</v>
      </c>
      <c r="AC15" s="633">
        <v>2.0481634000000001E-3</v>
      </c>
      <c r="AD15" s="633">
        <v>0.23103845000000001</v>
      </c>
      <c r="AF15" s="113"/>
      <c r="AG15" s="118">
        <v>5.0999999999999996</v>
      </c>
      <c r="AH15" s="119">
        <v>0.24309800000000001</v>
      </c>
      <c r="AI15" s="120">
        <v>1.6154852999999999E-12</v>
      </c>
      <c r="AJ15" s="533">
        <v>2.3086656118972307E-9</v>
      </c>
      <c r="AK15" s="121">
        <v>2.2807502E-2</v>
      </c>
      <c r="AL15" s="121">
        <v>3.0826342E-3</v>
      </c>
      <c r="AM15" s="121">
        <v>2.0481634000000001E-3</v>
      </c>
      <c r="AN15" s="121">
        <v>0.23103845000000001</v>
      </c>
      <c r="AR15" s="607">
        <v>4.8</v>
      </c>
      <c r="AS15" s="612">
        <v>5.6289506000000001E-10</v>
      </c>
      <c r="AT15" s="608">
        <v>2.2431438000000001E-2</v>
      </c>
      <c r="AU15" s="609">
        <f t="shared" si="2"/>
        <v>1.4675072501136031E-9</v>
      </c>
      <c r="AV15" s="609">
        <f t="shared" si="0"/>
        <v>5.4961215821204842E-10</v>
      </c>
      <c r="AW15" s="610">
        <f t="shared" si="3"/>
        <v>2.2431438000000001E-2</v>
      </c>
      <c r="AX15" s="610">
        <f t="shared" si="1"/>
        <v>4.4862876000000003E-2</v>
      </c>
      <c r="AY15" s="612">
        <v>3E-9</v>
      </c>
      <c r="AZ15" s="612">
        <v>1.0000000000000001E-9</v>
      </c>
      <c r="BD15" s="656"/>
      <c r="BF15" s="122">
        <v>4.2</v>
      </c>
      <c r="BG15" s="119">
        <v>0.29242600000000002</v>
      </c>
      <c r="BH15" s="120">
        <v>2.41178E-12</v>
      </c>
      <c r="BI15" s="660">
        <v>4.0000000000000002E-9</v>
      </c>
      <c r="BJ15" s="661">
        <v>7.1263439999999997E-2</v>
      </c>
      <c r="BK15" s="121">
        <v>1.7603104999999999E-3</v>
      </c>
      <c r="BL15" s="121">
        <v>5.1936020999999999E-3</v>
      </c>
      <c r="BM15" s="121">
        <v>0.25220326999999998</v>
      </c>
      <c r="BN15" s="675">
        <v>2.0000000000000001E-9</v>
      </c>
      <c r="BO15" s="676">
        <v>0.14252687999999999</v>
      </c>
      <c r="BP15" s="676"/>
      <c r="BQ15" s="622"/>
      <c r="BR15" s="631">
        <v>4.2</v>
      </c>
      <c r="BS15" s="248">
        <v>0.29242600000000002</v>
      </c>
      <c r="BT15" s="632">
        <v>2.41178E-12</v>
      </c>
      <c r="BU15" s="628">
        <v>3.6339163426597981E-9</v>
      </c>
      <c r="BV15" s="663">
        <v>7.1263439999999997E-2</v>
      </c>
      <c r="BW15" s="633">
        <v>1.7603104999999999E-3</v>
      </c>
      <c r="BX15" s="633">
        <v>5.1936020999999999E-3</v>
      </c>
      <c r="BY15" s="633">
        <v>0.25220326999999998</v>
      </c>
      <c r="BZ15" s="620"/>
      <c r="CA15" s="697"/>
      <c r="CB15" s="620"/>
      <c r="CC15" s="676"/>
      <c r="CD15" s="122">
        <v>4.2</v>
      </c>
      <c r="CE15" s="119">
        <v>0.29242600000000002</v>
      </c>
      <c r="CF15" s="120">
        <v>2.41178E-12</v>
      </c>
      <c r="CG15" s="660">
        <v>6.9999999999999998E-9</v>
      </c>
      <c r="CH15" s="693">
        <v>3.5631719999999999E-2</v>
      </c>
      <c r="CI15" s="121">
        <v>1.7603104999999999E-3</v>
      </c>
      <c r="CJ15" s="121">
        <v>5.1936020999999999E-3</v>
      </c>
      <c r="CK15" s="121">
        <v>0.25220326999999998</v>
      </c>
      <c r="CL15" s="620"/>
      <c r="CM15" s="676"/>
      <c r="CN15" s="122">
        <v>4.2</v>
      </c>
      <c r="CO15" s="119">
        <v>0.29242600000000002</v>
      </c>
      <c r="CP15" s="120">
        <v>2.41178E-12</v>
      </c>
      <c r="CQ15" s="660">
        <v>6.1611348683013385E-9</v>
      </c>
      <c r="CR15" s="693">
        <v>3.5631719999999999E-2</v>
      </c>
      <c r="CS15" s="121">
        <v>1.7603104999999999E-3</v>
      </c>
      <c r="CT15" s="121">
        <v>5.1936020999999999E-3</v>
      </c>
      <c r="CU15" s="121">
        <v>0.25220326999999998</v>
      </c>
      <c r="CV15" s="141"/>
      <c r="CW15" s="141"/>
      <c r="CX15" s="141"/>
      <c r="CY15" s="141"/>
      <c r="CZ15" s="141"/>
      <c r="DA15" s="141"/>
      <c r="DB15" s="141"/>
      <c r="DC15" s="141"/>
      <c r="DD15" s="141"/>
      <c r="DE15" s="141"/>
      <c r="DF15" s="141"/>
      <c r="DG15" s="141"/>
      <c r="DH15" s="141"/>
      <c r="DI15" s="141"/>
      <c r="DJ15" s="622"/>
      <c r="DK15" s="627">
        <v>4.2</v>
      </c>
      <c r="DL15" s="628">
        <v>1.3700878999999999E-9</v>
      </c>
      <c r="DM15" s="629">
        <v>3.5631719999999999E-2</v>
      </c>
      <c r="DN15" s="628">
        <f t="shared" si="4"/>
        <v>1.1778232617299773E-9</v>
      </c>
      <c r="DO15" s="628">
        <f t="shared" si="5"/>
        <v>1.2402244941395127E-9</v>
      </c>
      <c r="DP15" s="629">
        <f t="shared" si="6"/>
        <v>7.1263439999999997E-2</v>
      </c>
      <c r="DQ15" s="615"/>
      <c r="DR15" s="615"/>
    </row>
    <row r="16" spans="2:122">
      <c r="C16" s="118">
        <v>3.3</v>
      </c>
      <c r="D16" s="119">
        <v>0.15729899999999999</v>
      </c>
      <c r="E16" s="120">
        <v>1.8536469000000001E-12</v>
      </c>
      <c r="F16" s="120">
        <v>8.8589079999999997E-10</v>
      </c>
      <c r="G16" s="121">
        <v>1.5567096000000001E-2</v>
      </c>
      <c r="H16" s="121">
        <v>2.0924100999999999E-3</v>
      </c>
      <c r="I16" s="121">
        <v>2.0556111999999998E-3</v>
      </c>
      <c r="J16" s="121">
        <v>0.23484168999999999</v>
      </c>
      <c r="K16" s="620"/>
      <c r="L16" s="67"/>
      <c r="M16" s="36"/>
      <c r="N16" s="36"/>
      <c r="O16" s="101"/>
      <c r="P16" s="102"/>
      <c r="Q16" s="103"/>
      <c r="R16" s="36"/>
      <c r="S16" s="36"/>
      <c r="T16" s="36"/>
      <c r="U16" s="642"/>
      <c r="W16" s="646">
        <v>5.4</v>
      </c>
      <c r="X16" s="248">
        <v>0.25739800000000002</v>
      </c>
      <c r="Y16" s="632">
        <v>1.9128573E-12</v>
      </c>
      <c r="Z16" s="647">
        <v>2.0000000000000001E-9</v>
      </c>
      <c r="AA16" s="648">
        <v>2.2850349999999998E-2</v>
      </c>
      <c r="AB16" s="633">
        <v>3.0785483000000001E-3</v>
      </c>
      <c r="AC16" s="633">
        <v>2.0556111999999998E-3</v>
      </c>
      <c r="AD16" s="633">
        <v>0.23285935999999999</v>
      </c>
      <c r="AF16" s="113"/>
      <c r="AG16" s="118">
        <v>5.4</v>
      </c>
      <c r="AH16" s="119">
        <v>0.25739800000000002</v>
      </c>
      <c r="AI16" s="120">
        <v>1.9128573E-12</v>
      </c>
      <c r="AJ16" s="533">
        <v>2.2026005485262338E-9</v>
      </c>
      <c r="AK16" s="121">
        <v>2.2850349999999998E-2</v>
      </c>
      <c r="AL16" s="121">
        <v>3.0785483000000001E-3</v>
      </c>
      <c r="AM16" s="121">
        <v>2.0556111999999998E-3</v>
      </c>
      <c r="AN16" s="121">
        <v>0.23285935999999999</v>
      </c>
      <c r="AR16" s="607">
        <v>5.0999999999999996</v>
      </c>
      <c r="AS16" s="612">
        <v>5.2406002000000004E-10</v>
      </c>
      <c r="AT16" s="608">
        <v>2.2807502E-2</v>
      </c>
      <c r="AU16" s="609">
        <f t="shared" si="2"/>
        <v>1.3662615529876561E-9</v>
      </c>
      <c r="AV16" s="609">
        <f t="shared" si="0"/>
        <v>5.116935270756316E-10</v>
      </c>
      <c r="AW16" s="610">
        <f t="shared" si="3"/>
        <v>2.2807502E-2</v>
      </c>
      <c r="AX16" s="610">
        <f t="shared" si="1"/>
        <v>4.5615004000000001E-2</v>
      </c>
      <c r="AY16" s="612">
        <v>2.0000000000000001E-9</v>
      </c>
      <c r="AZ16" s="612">
        <v>1.0000000000000001E-9</v>
      </c>
      <c r="BD16" s="656"/>
      <c r="BF16" s="122">
        <v>4.4000000000000004</v>
      </c>
      <c r="BG16" s="119">
        <v>0.30635099999999998</v>
      </c>
      <c r="BH16" s="120">
        <v>1.9626469999999998E-12</v>
      </c>
      <c r="BI16" s="660">
        <v>4.0000000000000002E-9</v>
      </c>
      <c r="BJ16" s="661">
        <v>7.3279211999999996E-2</v>
      </c>
      <c r="BK16" s="121">
        <v>1.7941921E-3</v>
      </c>
      <c r="BL16" s="121">
        <v>5.2405715E-3</v>
      </c>
      <c r="BM16" s="121">
        <v>0.25933713000000003</v>
      </c>
      <c r="BN16" s="675">
        <v>2.0000000000000001E-9</v>
      </c>
      <c r="BO16" s="676">
        <v>0.14655842399999999</v>
      </c>
      <c r="BP16" s="676"/>
      <c r="BQ16" s="622"/>
      <c r="BR16" s="631">
        <v>4.4000000000000004</v>
      </c>
      <c r="BS16" s="248">
        <v>0.30635099999999998</v>
      </c>
      <c r="BT16" s="632">
        <v>1.9626469999999998E-12</v>
      </c>
      <c r="BU16" s="628">
        <v>3.227346275668898E-9</v>
      </c>
      <c r="BV16" s="663">
        <v>7.3279211999999996E-2</v>
      </c>
      <c r="BW16" s="633">
        <v>1.7941921E-3</v>
      </c>
      <c r="BX16" s="633">
        <v>5.2405715E-3</v>
      </c>
      <c r="BY16" s="633">
        <v>0.25933713000000003</v>
      </c>
      <c r="BZ16" s="620"/>
      <c r="CA16" s="697"/>
      <c r="CB16" s="620"/>
      <c r="CC16" s="676"/>
      <c r="CD16" s="122">
        <v>4.4000000000000004</v>
      </c>
      <c r="CE16" s="119">
        <v>0.30635099999999998</v>
      </c>
      <c r="CF16" s="120">
        <v>1.9626469999999998E-12</v>
      </c>
      <c r="CG16" s="660">
        <v>6.9999999999999998E-9</v>
      </c>
      <c r="CH16" s="693">
        <v>3.6639605999999998E-2</v>
      </c>
      <c r="CI16" s="121">
        <v>1.7941921E-3</v>
      </c>
      <c r="CJ16" s="121">
        <v>5.2405715E-3</v>
      </c>
      <c r="CK16" s="121">
        <v>0.25933713000000003</v>
      </c>
      <c r="CL16" s="620"/>
      <c r="CM16" s="676"/>
      <c r="CN16" s="122">
        <v>4.4000000000000004</v>
      </c>
      <c r="CO16" s="119">
        <v>0.30635099999999998</v>
      </c>
      <c r="CP16" s="120">
        <v>1.9626469999999998E-12</v>
      </c>
      <c r="CQ16" s="660">
        <v>5.5926472660785548E-9</v>
      </c>
      <c r="CR16" s="693">
        <v>3.6639605999999998E-2</v>
      </c>
      <c r="CS16" s="121">
        <v>1.7941921E-3</v>
      </c>
      <c r="CT16" s="121">
        <v>5.2405715E-3</v>
      </c>
      <c r="CU16" s="121">
        <v>0.25933713000000003</v>
      </c>
      <c r="CV16" s="141"/>
      <c r="CW16" s="141"/>
      <c r="CX16" s="141"/>
      <c r="CY16" s="141"/>
      <c r="CZ16" s="141"/>
      <c r="DA16" s="141"/>
      <c r="DB16" s="141"/>
      <c r="DC16" s="141"/>
      <c r="DD16" s="141"/>
      <c r="DE16" s="141"/>
      <c r="DF16" s="141"/>
      <c r="DG16" s="141"/>
      <c r="DH16" s="141"/>
      <c r="DI16" s="141"/>
      <c r="DJ16" s="622"/>
      <c r="DK16" s="627">
        <v>4.4000000000000004</v>
      </c>
      <c r="DL16" s="628">
        <v>1.0938889999999999E-9</v>
      </c>
      <c r="DM16" s="629">
        <v>3.6639605999999998E-2</v>
      </c>
      <c r="DN16" s="628">
        <f t="shared" si="4"/>
        <v>9.4038339434319744E-10</v>
      </c>
      <c r="DO16" s="628">
        <f t="shared" si="5"/>
        <v>9.9020503112959208E-10</v>
      </c>
      <c r="DP16" s="629">
        <f t="shared" si="6"/>
        <v>7.3279211999999996E-2</v>
      </c>
      <c r="DQ16" s="615"/>
      <c r="DR16" s="615"/>
    </row>
    <row r="17" spans="3:122">
      <c r="C17" s="118">
        <v>3.6</v>
      </c>
      <c r="D17" s="119">
        <v>0.171598</v>
      </c>
      <c r="E17" s="120">
        <v>1.5890446000000001E-12</v>
      </c>
      <c r="F17" s="120">
        <v>6.3911259000000004E-10</v>
      </c>
      <c r="G17" s="121">
        <v>1.8421678E-2</v>
      </c>
      <c r="H17" s="121">
        <v>2.4863297E-3</v>
      </c>
      <c r="I17" s="121">
        <v>2.0556111999999998E-3</v>
      </c>
      <c r="J17" s="121">
        <v>0.23055136000000001</v>
      </c>
      <c r="K17" s="620"/>
      <c r="L17" s="67"/>
      <c r="M17" s="36"/>
      <c r="N17" s="582" t="s">
        <v>712</v>
      </c>
      <c r="O17" s="583"/>
      <c r="P17" s="605" t="s">
        <v>437</v>
      </c>
      <c r="Q17" s="598" t="s">
        <v>713</v>
      </c>
      <c r="R17" s="599" t="s">
        <v>713</v>
      </c>
      <c r="S17" s="36"/>
      <c r="T17" s="36"/>
      <c r="U17" s="642"/>
      <c r="W17" s="646">
        <v>5.7</v>
      </c>
      <c r="X17" s="248">
        <v>0.271698</v>
      </c>
      <c r="Y17" s="632">
        <v>2.2035513000000002E-12</v>
      </c>
      <c r="Z17" s="647">
        <v>2.0000000000000001E-9</v>
      </c>
      <c r="AA17" s="648">
        <v>2.2880924E-2</v>
      </c>
      <c r="AB17" s="633">
        <v>3.0827988000000001E-3</v>
      </c>
      <c r="AC17" s="633">
        <v>2.0556111999999998E-3</v>
      </c>
      <c r="AD17" s="633">
        <v>0.23450229</v>
      </c>
      <c r="AF17" s="113"/>
      <c r="AG17" s="118">
        <v>5.7</v>
      </c>
      <c r="AH17" s="119">
        <v>0.271698</v>
      </c>
      <c r="AI17" s="120">
        <v>2.2035513000000002E-12</v>
      </c>
      <c r="AJ17" s="533">
        <v>2.1453898885776446E-9</v>
      </c>
      <c r="AK17" s="121">
        <v>2.2880924E-2</v>
      </c>
      <c r="AL17" s="121">
        <v>3.0827988000000001E-3</v>
      </c>
      <c r="AM17" s="121">
        <v>2.0556111999999998E-3</v>
      </c>
      <c r="AN17" s="121">
        <v>0.23450229</v>
      </c>
      <c r="AR17" s="607">
        <v>5.4</v>
      </c>
      <c r="AS17" s="612">
        <v>6.2135042999999998E-10</v>
      </c>
      <c r="AT17" s="608">
        <v>2.2850349999999998E-2</v>
      </c>
      <c r="AU17" s="609">
        <f t="shared" si="2"/>
        <v>1.6199045358227248E-9</v>
      </c>
      <c r="AV17" s="609">
        <f t="shared" si="0"/>
        <v>6.0668812911288348E-10</v>
      </c>
      <c r="AW17" s="610">
        <f t="shared" si="3"/>
        <v>2.2850349999999998E-2</v>
      </c>
      <c r="AX17" s="610">
        <f t="shared" si="1"/>
        <v>4.5700699999999997E-2</v>
      </c>
      <c r="AY17" s="612">
        <v>2.0000000000000001E-9</v>
      </c>
      <c r="AZ17" s="612">
        <v>1.0000000000000001E-9</v>
      </c>
      <c r="BD17" s="656"/>
      <c r="BF17" s="122">
        <v>4.5999999999999996</v>
      </c>
      <c r="BG17" s="119">
        <v>0.32027600000000001</v>
      </c>
      <c r="BH17" s="120">
        <v>2.0999273E-12</v>
      </c>
      <c r="BI17" s="660">
        <v>4.0000000000000002E-9</v>
      </c>
      <c r="BJ17" s="661">
        <v>7.4789253999999999E-2</v>
      </c>
      <c r="BK17" s="121">
        <v>1.8176468000000001E-3</v>
      </c>
      <c r="BL17" s="121">
        <v>5.2845106000000003E-3</v>
      </c>
      <c r="BM17" s="121">
        <v>0.26468121</v>
      </c>
      <c r="BN17" s="675">
        <v>2.0000000000000001E-9</v>
      </c>
      <c r="BO17" s="676">
        <v>0.149578508</v>
      </c>
      <c r="BP17" s="676"/>
      <c r="BQ17" s="622"/>
      <c r="BR17" s="631">
        <v>4.5999999999999996</v>
      </c>
      <c r="BS17" s="248">
        <v>0.32027600000000001</v>
      </c>
      <c r="BT17" s="632">
        <v>2.0999273E-12</v>
      </c>
      <c r="BU17" s="628">
        <v>3.1902833705939225E-9</v>
      </c>
      <c r="BV17" s="663">
        <v>7.4789253999999999E-2</v>
      </c>
      <c r="BW17" s="633">
        <v>1.8176468000000001E-3</v>
      </c>
      <c r="BX17" s="633">
        <v>5.2845106000000003E-3</v>
      </c>
      <c r="BY17" s="633">
        <v>0.26468121</v>
      </c>
      <c r="BZ17" s="620"/>
      <c r="CA17" s="697"/>
      <c r="CB17" s="620"/>
      <c r="CC17" s="676"/>
      <c r="CD17" s="122">
        <v>4.5999999999999996</v>
      </c>
      <c r="CE17" s="119">
        <v>0.32027600000000001</v>
      </c>
      <c r="CF17" s="120">
        <v>2.0999273E-12</v>
      </c>
      <c r="CG17" s="660">
        <v>6.9999999999999998E-9</v>
      </c>
      <c r="CH17" s="693">
        <v>3.7394627E-2</v>
      </c>
      <c r="CI17" s="121">
        <v>1.8176468000000001E-3</v>
      </c>
      <c r="CJ17" s="121">
        <v>5.2845106000000003E-3</v>
      </c>
      <c r="CK17" s="121">
        <v>0.26468121</v>
      </c>
      <c r="CL17" s="620"/>
      <c r="CM17" s="676"/>
      <c r="CN17" s="122">
        <v>4.5999999999999996</v>
      </c>
      <c r="CO17" s="119">
        <v>0.32027600000000001</v>
      </c>
      <c r="CP17" s="120">
        <v>2.0999273E-12</v>
      </c>
      <c r="CQ17" s="660">
        <v>5.3693064635605881E-9</v>
      </c>
      <c r="CR17" s="693">
        <v>3.7394627E-2</v>
      </c>
      <c r="CS17" s="121">
        <v>1.8176468000000001E-3</v>
      </c>
      <c r="CT17" s="121">
        <v>5.2845106000000003E-3</v>
      </c>
      <c r="CU17" s="121">
        <v>0.26468121</v>
      </c>
      <c r="CV17" s="141"/>
      <c r="CW17" s="141"/>
      <c r="CX17" s="141"/>
      <c r="CY17" s="141"/>
      <c r="CZ17" s="141"/>
      <c r="DA17" s="141"/>
      <c r="DB17" s="141"/>
      <c r="DC17" s="141"/>
      <c r="DD17" s="141"/>
      <c r="DE17" s="141"/>
      <c r="DF17" s="141"/>
      <c r="DG17" s="141"/>
      <c r="DH17" s="141"/>
      <c r="DI17" s="141"/>
      <c r="DJ17" s="622"/>
      <c r="DK17" s="627">
        <v>4.5999999999999996</v>
      </c>
      <c r="DL17" s="628">
        <v>1.1552999999999999E-9</v>
      </c>
      <c r="DM17" s="629">
        <v>3.7394627E-2</v>
      </c>
      <c r="DN17" s="628">
        <f t="shared" si="4"/>
        <v>9.9317657960240565E-10</v>
      </c>
      <c r="DO17" s="628">
        <f t="shared" si="5"/>
        <v>1.0457952063363081E-9</v>
      </c>
      <c r="DP17" s="629">
        <f t="shared" si="6"/>
        <v>7.4789253999999999E-2</v>
      </c>
      <c r="DQ17" s="615"/>
      <c r="DR17" s="615"/>
    </row>
    <row r="18" spans="3:122">
      <c r="C18" s="118">
        <v>3.9</v>
      </c>
      <c r="D18" s="119">
        <v>0.18589800000000001</v>
      </c>
      <c r="E18" s="120">
        <v>2.1866609E-12</v>
      </c>
      <c r="F18" s="120">
        <v>8.2759617000000002E-10</v>
      </c>
      <c r="G18" s="121">
        <v>1.9613994999999999E-2</v>
      </c>
      <c r="H18" s="121">
        <v>2.6421833999999999E-3</v>
      </c>
      <c r="I18" s="121">
        <v>2.0556111999999998E-3</v>
      </c>
      <c r="J18" s="121">
        <v>0.23373368</v>
      </c>
      <c r="K18" s="620"/>
      <c r="L18" s="67"/>
      <c r="M18" s="36"/>
      <c r="N18" s="601" t="s">
        <v>690</v>
      </c>
      <c r="O18" s="604" t="s">
        <v>691</v>
      </c>
      <c r="P18" s="602" t="s">
        <v>695</v>
      </c>
      <c r="Q18" s="596" t="s">
        <v>714</v>
      </c>
      <c r="R18" s="597" t="s">
        <v>715</v>
      </c>
      <c r="S18" s="36"/>
      <c r="T18" s="36"/>
      <c r="U18" s="642"/>
      <c r="W18" s="646">
        <v>6</v>
      </c>
      <c r="X18" s="248">
        <v>0.285997</v>
      </c>
      <c r="Y18" s="632">
        <v>2.4651674999999999E-12</v>
      </c>
      <c r="Z18" s="647">
        <v>2.0000000000000001E-9</v>
      </c>
      <c r="AA18" s="648">
        <v>2.2792243E-2</v>
      </c>
      <c r="AB18" s="633">
        <v>3.0725844999999999E-3</v>
      </c>
      <c r="AC18" s="633">
        <v>2.0556111999999998E-3</v>
      </c>
      <c r="AD18" s="633">
        <v>0.23428544000000001</v>
      </c>
      <c r="AF18" s="113"/>
      <c r="AG18" s="118">
        <v>6</v>
      </c>
      <c r="AH18" s="119">
        <v>0.285997</v>
      </c>
      <c r="AI18" s="120">
        <v>2.4651674999999999E-12</v>
      </c>
      <c r="AJ18" s="533">
        <v>2.1213075485282331E-9</v>
      </c>
      <c r="AK18" s="121">
        <v>2.2792243E-2</v>
      </c>
      <c r="AL18" s="121">
        <v>3.0725844999999999E-3</v>
      </c>
      <c r="AM18" s="121">
        <v>2.0556111999999998E-3</v>
      </c>
      <c r="AN18" s="121">
        <v>0.23428544000000001</v>
      </c>
      <c r="AR18" s="607">
        <v>5.7</v>
      </c>
      <c r="AS18" s="612">
        <v>7.1478920999999997E-10</v>
      </c>
      <c r="AT18" s="608">
        <v>2.2880924E-2</v>
      </c>
      <c r="AU18" s="609">
        <f t="shared" si="2"/>
        <v>1.8635060467185033E-9</v>
      </c>
      <c r="AV18" s="609">
        <f t="shared" si="0"/>
        <v>6.9792198989059366E-10</v>
      </c>
      <c r="AW18" s="610">
        <f t="shared" si="3"/>
        <v>2.2880924E-2</v>
      </c>
      <c r="AX18" s="610">
        <f t="shared" si="1"/>
        <v>4.5761848000000001E-2</v>
      </c>
      <c r="AY18" s="612">
        <v>2.0000000000000001E-9</v>
      </c>
      <c r="AZ18" s="612">
        <v>1.0000000000000001E-9</v>
      </c>
      <c r="BD18" s="656"/>
      <c r="BF18" s="122">
        <v>4.8</v>
      </c>
      <c r="BG18" s="119">
        <v>0.33420100000000003</v>
      </c>
      <c r="BH18" s="120">
        <v>2.6897384000000001E-12</v>
      </c>
      <c r="BI18" s="660">
        <v>4.0000000000000002E-9</v>
      </c>
      <c r="BJ18" s="661">
        <v>7.5793568000000006E-2</v>
      </c>
      <c r="BK18" s="121">
        <v>1.8306748000000001E-3</v>
      </c>
      <c r="BL18" s="121">
        <v>5.3254195000000002E-3</v>
      </c>
      <c r="BM18" s="121">
        <v>0.26823551000000001</v>
      </c>
      <c r="BN18" s="675">
        <v>2.0000000000000001E-9</v>
      </c>
      <c r="BO18" s="676">
        <v>0.15158713600000001</v>
      </c>
      <c r="BP18" s="676"/>
      <c r="BQ18" s="622"/>
      <c r="BR18" s="631">
        <v>4.8</v>
      </c>
      <c r="BS18" s="248">
        <v>0.33420100000000003</v>
      </c>
      <c r="BT18" s="632">
        <v>2.6897384000000001E-12</v>
      </c>
      <c r="BU18" s="628">
        <v>3.4315717811981025E-9</v>
      </c>
      <c r="BV18" s="663">
        <v>7.5793568000000006E-2</v>
      </c>
      <c r="BW18" s="633">
        <v>1.8306748000000001E-3</v>
      </c>
      <c r="BX18" s="633">
        <v>5.3254195000000002E-3</v>
      </c>
      <c r="BY18" s="633">
        <v>0.26823551000000001</v>
      </c>
      <c r="BZ18" s="620"/>
      <c r="CA18" s="697"/>
      <c r="CB18" s="620"/>
      <c r="CC18" s="676"/>
      <c r="CD18" s="122">
        <v>4.8</v>
      </c>
      <c r="CE18" s="119">
        <v>0.33420100000000003</v>
      </c>
      <c r="CF18" s="120">
        <v>2.6897384000000001E-12</v>
      </c>
      <c r="CG18" s="660">
        <v>6.9999999999999998E-9</v>
      </c>
      <c r="CH18" s="693">
        <v>3.7896784000000003E-2</v>
      </c>
      <c r="CI18" s="121">
        <v>1.8306748000000001E-3</v>
      </c>
      <c r="CJ18" s="121">
        <v>5.3254195000000002E-3</v>
      </c>
      <c r="CK18" s="121">
        <v>0.26823551000000001</v>
      </c>
      <c r="CL18" s="620"/>
      <c r="CM18" s="676"/>
      <c r="CN18" s="122">
        <v>4.8</v>
      </c>
      <c r="CO18" s="119">
        <v>0.33420100000000003</v>
      </c>
      <c r="CP18" s="120">
        <v>2.6897384000000001E-12</v>
      </c>
      <c r="CQ18" s="660">
        <v>5.4081422354432435E-9</v>
      </c>
      <c r="CR18" s="693">
        <v>3.7896784000000003E-2</v>
      </c>
      <c r="CS18" s="121">
        <v>1.8306748000000001E-3</v>
      </c>
      <c r="CT18" s="121">
        <v>5.3254195000000002E-3</v>
      </c>
      <c r="CU18" s="121">
        <v>0.26823551000000001</v>
      </c>
      <c r="CV18" s="141"/>
      <c r="CW18" s="141"/>
      <c r="CX18" s="141"/>
      <c r="CY18" s="141"/>
      <c r="CZ18" s="141"/>
      <c r="DA18" s="141"/>
      <c r="DB18" s="141"/>
      <c r="DC18" s="141"/>
      <c r="DD18" s="141"/>
      <c r="DE18" s="141"/>
      <c r="DF18" s="141"/>
      <c r="DG18" s="141"/>
      <c r="DH18" s="141"/>
      <c r="DI18" s="141"/>
      <c r="DJ18" s="622"/>
      <c r="DK18" s="627">
        <v>4.8</v>
      </c>
      <c r="DL18" s="628">
        <v>1.4692607E-9</v>
      </c>
      <c r="DM18" s="629">
        <v>3.7896784000000003E-2</v>
      </c>
      <c r="DN18" s="628">
        <f t="shared" si="4"/>
        <v>1.2630791279929339E-9</v>
      </c>
      <c r="DO18" s="628">
        <f t="shared" si="5"/>
        <v>1.3299972274892484E-9</v>
      </c>
      <c r="DP18" s="629">
        <f t="shared" si="6"/>
        <v>7.5793568000000006E-2</v>
      </c>
      <c r="DQ18" s="615"/>
      <c r="DR18" s="615"/>
    </row>
    <row r="19" spans="3:122">
      <c r="C19" s="118">
        <v>4.2</v>
      </c>
      <c r="D19" s="119">
        <v>0.20019799999999999</v>
      </c>
      <c r="E19" s="120">
        <v>2.4631614999999998E-12</v>
      </c>
      <c r="F19" s="120">
        <v>8.8488062000000002E-10</v>
      </c>
      <c r="G19" s="121">
        <v>2.0714155000000001E-2</v>
      </c>
      <c r="H19" s="121">
        <v>2.7836088000000002E-3</v>
      </c>
      <c r="I19" s="121">
        <v>2.0630590999999999E-3</v>
      </c>
      <c r="J19" s="121">
        <v>0.23469693</v>
      </c>
      <c r="K19" s="620"/>
      <c r="L19" s="67"/>
      <c r="M19" s="36"/>
      <c r="N19" s="601">
        <v>3</v>
      </c>
      <c r="O19" s="604">
        <v>4</v>
      </c>
      <c r="P19" s="123">
        <f>PI()*(O19^2-N19^2)</f>
        <v>21.991148575128552</v>
      </c>
      <c r="Q19" s="584">
        <v>6E-9</v>
      </c>
      <c r="R19" s="585">
        <v>6.9999999999999998E-9</v>
      </c>
      <c r="S19" s="36"/>
      <c r="T19" s="36"/>
      <c r="U19" s="642"/>
      <c r="W19" s="646">
        <v>6.3</v>
      </c>
      <c r="X19" s="248">
        <v>0.30029699999999998</v>
      </c>
      <c r="Y19" s="632">
        <v>2.7023055999999999E-12</v>
      </c>
      <c r="Z19" s="647">
        <v>2.0000000000000001E-9</v>
      </c>
      <c r="AA19" s="648">
        <v>2.2734497999999999E-2</v>
      </c>
      <c r="AB19" s="633">
        <v>3.0682315E-3</v>
      </c>
      <c r="AC19" s="633">
        <v>2.0528183000000002E-3</v>
      </c>
      <c r="AD19" s="633">
        <v>0.23311818000000001</v>
      </c>
      <c r="AF19" s="113"/>
      <c r="AG19" s="118">
        <v>6.3</v>
      </c>
      <c r="AH19" s="119">
        <v>0.30029699999999998</v>
      </c>
      <c r="AI19" s="120">
        <v>2.7023055999999999E-12</v>
      </c>
      <c r="AJ19" s="533">
        <v>2.117055842913399E-9</v>
      </c>
      <c r="AK19" s="121">
        <v>2.2734497999999999E-2</v>
      </c>
      <c r="AL19" s="121">
        <v>3.0682315E-3</v>
      </c>
      <c r="AM19" s="121">
        <v>2.0528183000000002E-3</v>
      </c>
      <c r="AN19" s="121">
        <v>0.23311818000000001</v>
      </c>
      <c r="AR19" s="607">
        <v>6</v>
      </c>
      <c r="AS19" s="612">
        <v>8.0231072E-10</v>
      </c>
      <c r="AT19" s="608">
        <v>2.2792243E-2</v>
      </c>
      <c r="AU19" s="609">
        <f t="shared" si="2"/>
        <v>2.0916808160367671E-9</v>
      </c>
      <c r="AV19" s="609">
        <f t="shared" si="0"/>
        <v>7.8337821329585392E-10</v>
      </c>
      <c r="AW19" s="610">
        <f t="shared" si="3"/>
        <v>2.2792243E-2</v>
      </c>
      <c r="AX19" s="610">
        <f t="shared" si="1"/>
        <v>4.5584486E-2</v>
      </c>
      <c r="AY19" s="612">
        <v>2.0000000000000001E-9</v>
      </c>
      <c r="AZ19" s="612">
        <v>1.0000000000000001E-9</v>
      </c>
      <c r="BD19" s="656"/>
      <c r="BF19" s="122">
        <v>5</v>
      </c>
      <c r="BG19" s="119">
        <v>0.34812599999999999</v>
      </c>
      <c r="BH19" s="120">
        <v>3.3944247999999999E-12</v>
      </c>
      <c r="BI19" s="660">
        <v>4.0000000000000002E-9</v>
      </c>
      <c r="BJ19" s="661">
        <v>7.6292152000000002E-2</v>
      </c>
      <c r="BK19" s="121">
        <v>1.8332757999999999E-3</v>
      </c>
      <c r="BL19" s="121">
        <v>5.3632979999999999E-3</v>
      </c>
      <c r="BM19" s="121">
        <v>0.27000001000000001</v>
      </c>
      <c r="BN19" s="675">
        <v>2.0000000000000001E-9</v>
      </c>
      <c r="BO19" s="676">
        <v>0.152584304</v>
      </c>
      <c r="BP19" s="676"/>
      <c r="BQ19" s="622"/>
      <c r="BR19" s="631">
        <v>5</v>
      </c>
      <c r="BS19" s="248">
        <v>0.34812599999999999</v>
      </c>
      <c r="BT19" s="632">
        <v>3.3944247999999999E-12</v>
      </c>
      <c r="BU19" s="628">
        <v>3.7614564333324054E-9</v>
      </c>
      <c r="BV19" s="663">
        <v>7.6292152000000002E-2</v>
      </c>
      <c r="BW19" s="633">
        <v>1.8332757999999999E-3</v>
      </c>
      <c r="BX19" s="633">
        <v>5.3632979999999999E-3</v>
      </c>
      <c r="BY19" s="633">
        <v>0.27000001000000001</v>
      </c>
      <c r="BZ19" s="620"/>
      <c r="CA19" s="697"/>
      <c r="CB19" s="620"/>
      <c r="CC19" s="676"/>
      <c r="CD19" s="122">
        <v>5</v>
      </c>
      <c r="CE19" s="119">
        <v>0.34812599999999999</v>
      </c>
      <c r="CF19" s="120">
        <v>3.3944247999999999E-12</v>
      </c>
      <c r="CG19" s="660">
        <v>5.0000000000000001E-9</v>
      </c>
      <c r="CH19" s="693">
        <v>3.8146076000000001E-2</v>
      </c>
      <c r="CI19" s="121">
        <v>1.8332757999999999E-3</v>
      </c>
      <c r="CJ19" s="121">
        <v>5.3632979999999999E-3</v>
      </c>
      <c r="CK19" s="121">
        <v>0.27000001000000001</v>
      </c>
      <c r="CL19" s="620"/>
      <c r="CM19" s="676"/>
      <c r="CN19" s="122">
        <v>5</v>
      </c>
      <c r="CO19" s="119">
        <v>0.34812599999999999</v>
      </c>
      <c r="CP19" s="120">
        <v>3.3944247999999999E-12</v>
      </c>
      <c r="CQ19" s="660">
        <v>5.5267186882000958E-9</v>
      </c>
      <c r="CR19" s="693">
        <v>3.8146076000000001E-2</v>
      </c>
      <c r="CS19" s="121">
        <v>1.8332757999999999E-3</v>
      </c>
      <c r="CT19" s="121">
        <v>5.3632979999999999E-3</v>
      </c>
      <c r="CU19" s="121">
        <v>0.27000001000000001</v>
      </c>
      <c r="CV19" s="141"/>
      <c r="CW19" s="141"/>
      <c r="CX19" s="141"/>
      <c r="CY19" s="141"/>
      <c r="CZ19" s="141"/>
      <c r="DA19" s="141"/>
      <c r="DB19" s="141"/>
      <c r="DC19" s="141"/>
      <c r="DD19" s="141"/>
      <c r="DE19" s="141"/>
      <c r="DF19" s="141"/>
      <c r="DG19" s="141"/>
      <c r="DH19" s="141"/>
      <c r="DI19" s="141"/>
      <c r="DJ19" s="622"/>
      <c r="DK19" s="627">
        <v>5</v>
      </c>
      <c r="DL19" s="628">
        <v>1.8515626E-9</v>
      </c>
      <c r="DM19" s="629">
        <v>3.8146076000000001E-2</v>
      </c>
      <c r="DN19" s="628">
        <f t="shared" si="4"/>
        <v>1.5917325456485219E-9</v>
      </c>
      <c r="DO19" s="628">
        <f t="shared" si="5"/>
        <v>1.6760627467424835E-9</v>
      </c>
      <c r="DP19" s="629">
        <f t="shared" si="6"/>
        <v>7.6292152000000002E-2</v>
      </c>
      <c r="DQ19" s="615"/>
      <c r="DR19" s="615"/>
    </row>
    <row r="20" spans="3:122">
      <c r="C20" s="118">
        <v>4.5</v>
      </c>
      <c r="D20" s="119">
        <v>0.21449799999999999</v>
      </c>
      <c r="E20" s="120">
        <v>2.1464797000000002E-12</v>
      </c>
      <c r="F20" s="120">
        <v>7.3746844000000002E-10</v>
      </c>
      <c r="G20" s="121">
        <v>2.1722156999999999E-2</v>
      </c>
      <c r="H20" s="121">
        <v>2.9106054999999999E-3</v>
      </c>
      <c r="I20" s="121">
        <v>2.0779548000000002E-3</v>
      </c>
      <c r="J20" s="121">
        <v>0.23323099</v>
      </c>
      <c r="K20" s="620"/>
      <c r="L20" s="67"/>
      <c r="M20" s="36"/>
      <c r="N20" s="603">
        <v>4</v>
      </c>
      <c r="O20" s="604">
        <v>5</v>
      </c>
      <c r="P20" s="123">
        <f>PI()*(O20^2-N20^2)</f>
        <v>28.274333882308138</v>
      </c>
      <c r="Q20" s="584">
        <v>4.0000000000000002E-9</v>
      </c>
      <c r="R20" s="585">
        <v>5.0000000000000001E-9</v>
      </c>
      <c r="S20" s="36"/>
      <c r="T20" s="36"/>
      <c r="U20" s="642"/>
      <c r="W20" s="646">
        <v>6.6</v>
      </c>
      <c r="X20" s="248">
        <v>0.31459700000000002</v>
      </c>
      <c r="Y20" s="632">
        <v>2.7617551000000001E-12</v>
      </c>
      <c r="Z20" s="647">
        <v>2.0000000000000001E-9</v>
      </c>
      <c r="AA20" s="648">
        <v>2.2657623000000002E-2</v>
      </c>
      <c r="AB20" s="633">
        <v>3.0629644000000002E-3</v>
      </c>
      <c r="AC20" s="633">
        <v>2.0481634000000001E-3</v>
      </c>
      <c r="AD20" s="633">
        <v>0.23314329</v>
      </c>
      <c r="AF20" s="113"/>
      <c r="AG20" s="118">
        <v>6.6</v>
      </c>
      <c r="AH20" s="119">
        <v>0.31459700000000002</v>
      </c>
      <c r="AI20" s="120">
        <v>2.7617551000000001E-12</v>
      </c>
      <c r="AJ20" s="533">
        <v>2.076730041373389E-9</v>
      </c>
      <c r="AK20" s="121">
        <v>2.2657623000000002E-2</v>
      </c>
      <c r="AL20" s="121">
        <v>3.0629644000000002E-3</v>
      </c>
      <c r="AM20" s="121">
        <v>2.0481634000000001E-3</v>
      </c>
      <c r="AN20" s="121">
        <v>0.23314329</v>
      </c>
      <c r="AR20" s="607">
        <v>6.3</v>
      </c>
      <c r="AS20" s="612">
        <v>8.8073717999999995E-10</v>
      </c>
      <c r="AT20" s="608">
        <v>2.2734497999999999E-2</v>
      </c>
      <c r="AU20" s="609">
        <f t="shared" si="2"/>
        <v>2.2961441464677435E-9</v>
      </c>
      <c r="AV20" s="609">
        <f t="shared" si="0"/>
        <v>8.5995400691097443E-10</v>
      </c>
      <c r="AW20" s="610">
        <f t="shared" si="3"/>
        <v>2.2734497999999999E-2</v>
      </c>
      <c r="AX20" s="610">
        <f t="shared" si="1"/>
        <v>4.5468995999999998E-2</v>
      </c>
      <c r="AY20" s="612">
        <v>2.0000000000000001E-9</v>
      </c>
      <c r="AZ20" s="612">
        <v>1.0000000000000001E-9</v>
      </c>
      <c r="BD20" s="656"/>
      <c r="BF20" s="122">
        <v>5.2</v>
      </c>
      <c r="BG20" s="119">
        <v>0.36205100000000001</v>
      </c>
      <c r="BH20" s="120">
        <v>4.3269864999999999E-12</v>
      </c>
      <c r="BI20" s="660">
        <v>4.0000000000000002E-9</v>
      </c>
      <c r="BJ20" s="661">
        <v>7.6285006000000002E-2</v>
      </c>
      <c r="BK20" s="121">
        <v>1.8254499999999999E-3</v>
      </c>
      <c r="BL20" s="121">
        <v>5.3981463E-3</v>
      </c>
      <c r="BM20" s="121">
        <v>0.26997472</v>
      </c>
      <c r="BN20" s="675">
        <v>2.0000000000000001E-9</v>
      </c>
      <c r="BO20" s="676">
        <v>0.152570012</v>
      </c>
      <c r="BP20" s="676"/>
      <c r="BQ20" s="622"/>
      <c r="BR20" s="631">
        <v>5.2</v>
      </c>
      <c r="BS20" s="248">
        <v>0.36205100000000001</v>
      </c>
      <c r="BT20" s="632">
        <v>4.3269864999999999E-12</v>
      </c>
      <c r="BU20" s="628">
        <v>4.2432981699794892E-9</v>
      </c>
      <c r="BV20" s="663">
        <v>7.6285006000000002E-2</v>
      </c>
      <c r="BW20" s="633">
        <v>1.8254499999999999E-3</v>
      </c>
      <c r="BX20" s="633">
        <v>5.3981463E-3</v>
      </c>
      <c r="BY20" s="633">
        <v>0.26997472</v>
      </c>
      <c r="BZ20" s="620"/>
      <c r="CA20" s="697"/>
      <c r="CB20" s="620"/>
      <c r="CC20" s="676"/>
      <c r="CD20" s="122">
        <v>5.2</v>
      </c>
      <c r="CE20" s="119">
        <v>0.36205100000000001</v>
      </c>
      <c r="CF20" s="120">
        <v>4.3269864999999999E-12</v>
      </c>
      <c r="CG20" s="660">
        <v>5.0000000000000001E-9</v>
      </c>
      <c r="CH20" s="693">
        <v>3.8142503000000001E-2</v>
      </c>
      <c r="CI20" s="121">
        <v>1.8254499999999999E-3</v>
      </c>
      <c r="CJ20" s="121">
        <v>5.3981463E-3</v>
      </c>
      <c r="CK20" s="121">
        <v>0.26997472</v>
      </c>
      <c r="CL20" s="620"/>
      <c r="CM20" s="676"/>
      <c r="CN20" s="122">
        <v>5.2</v>
      </c>
      <c r="CO20" s="119">
        <v>0.36205100000000001</v>
      </c>
      <c r="CP20" s="120">
        <v>4.3269864999999999E-12</v>
      </c>
      <c r="CQ20" s="660">
        <v>5.794646717412624E-9</v>
      </c>
      <c r="CR20" s="693">
        <v>3.8142503000000001E-2</v>
      </c>
      <c r="CS20" s="121">
        <v>1.8254499999999999E-3</v>
      </c>
      <c r="CT20" s="121">
        <v>5.3981463E-3</v>
      </c>
      <c r="CU20" s="121">
        <v>0.26997472</v>
      </c>
      <c r="CV20" s="141"/>
      <c r="CW20" s="141"/>
      <c r="CX20" s="141"/>
      <c r="CY20" s="141"/>
      <c r="CZ20" s="141"/>
      <c r="DA20" s="141"/>
      <c r="DB20" s="141"/>
      <c r="DC20" s="141"/>
      <c r="DD20" s="141"/>
      <c r="DE20" s="141"/>
      <c r="DF20" s="141"/>
      <c r="DG20" s="141"/>
      <c r="DH20" s="141"/>
      <c r="DI20" s="141"/>
      <c r="DJ20" s="622"/>
      <c r="DK20" s="627">
        <v>5.2</v>
      </c>
      <c r="DL20" s="628">
        <v>2.3703670999999999E-9</v>
      </c>
      <c r="DM20" s="629">
        <v>3.8142503000000001E-2</v>
      </c>
      <c r="DN20" s="628">
        <f t="shared" si="4"/>
        <v>2.0377331331949047E-9</v>
      </c>
      <c r="DO20" s="628">
        <f t="shared" si="5"/>
        <v>2.1456925044899995E-9</v>
      </c>
      <c r="DP20" s="629">
        <f t="shared" si="6"/>
        <v>7.6285006000000002E-2</v>
      </c>
      <c r="DQ20" s="615"/>
      <c r="DR20" s="615"/>
    </row>
    <row r="21" spans="3:122">
      <c r="C21" s="118">
        <v>4.8</v>
      </c>
      <c r="D21" s="119">
        <v>0.228798</v>
      </c>
      <c r="E21" s="120">
        <v>1.7036882E-12</v>
      </c>
      <c r="F21" s="120">
        <v>5.6289506000000001E-10</v>
      </c>
      <c r="G21" s="121">
        <v>2.2431438000000001E-2</v>
      </c>
      <c r="H21" s="121">
        <v>3.0266531999999999E-3</v>
      </c>
      <c r="I21" s="121">
        <v>2.0556111999999998E-3</v>
      </c>
      <c r="J21" s="121">
        <v>0.23128235999999999</v>
      </c>
      <c r="K21" s="620"/>
      <c r="L21" s="67"/>
      <c r="M21" s="36"/>
      <c r="N21" s="603">
        <v>5</v>
      </c>
      <c r="O21" s="604">
        <v>9</v>
      </c>
      <c r="P21" s="123">
        <f>PI()*(O21^2-N21^2)</f>
        <v>175.92918860102841</v>
      </c>
      <c r="Q21" s="584">
        <v>4.0000000000000002E-9</v>
      </c>
      <c r="R21" s="585">
        <v>4.0000000000000002E-9</v>
      </c>
      <c r="S21" s="36"/>
      <c r="T21" s="36"/>
      <c r="U21" s="642"/>
      <c r="W21" s="646">
        <v>6.9</v>
      </c>
      <c r="X21" s="248">
        <v>0.32889699999999999</v>
      </c>
      <c r="Y21" s="632">
        <v>2.5268985E-12</v>
      </c>
      <c r="Z21" s="647">
        <v>2.0000000000000001E-9</v>
      </c>
      <c r="AA21" s="648">
        <v>2.2561621E-2</v>
      </c>
      <c r="AB21" s="633">
        <v>3.0567832000000001E-3</v>
      </c>
      <c r="AC21" s="633">
        <v>2.0416465E-3</v>
      </c>
      <c r="AD21" s="633">
        <v>0.23396890000000001</v>
      </c>
      <c r="AF21" s="113"/>
      <c r="AG21" s="118">
        <v>6.9</v>
      </c>
      <c r="AH21" s="119">
        <v>0.32889699999999999</v>
      </c>
      <c r="AI21" s="120">
        <v>2.5268985E-12</v>
      </c>
      <c r="AJ21" s="533">
        <v>1.9563472820330582E-9</v>
      </c>
      <c r="AK21" s="121">
        <v>2.2561621E-2</v>
      </c>
      <c r="AL21" s="121">
        <v>3.0567832000000001E-3</v>
      </c>
      <c r="AM21" s="121">
        <v>2.0416465E-3</v>
      </c>
      <c r="AN21" s="121">
        <v>0.23396890000000001</v>
      </c>
      <c r="AR21" s="607">
        <v>6.6</v>
      </c>
      <c r="AS21" s="612">
        <v>9.0166087000000002E-10</v>
      </c>
      <c r="AT21" s="608">
        <v>2.2657623000000002E-2</v>
      </c>
      <c r="AU21" s="609">
        <f t="shared" si="2"/>
        <v>2.3506936867925952E-9</v>
      </c>
      <c r="AV21" s="609">
        <f t="shared" si="0"/>
        <v>8.8038395067111307E-10</v>
      </c>
      <c r="AW21" s="610">
        <f t="shared" si="3"/>
        <v>2.2657623000000002E-2</v>
      </c>
      <c r="AX21" s="610">
        <f t="shared" si="1"/>
        <v>4.5315246000000003E-2</v>
      </c>
      <c r="AY21" s="612">
        <v>2.0000000000000001E-9</v>
      </c>
      <c r="AZ21" s="612">
        <v>1.0000000000000001E-9</v>
      </c>
      <c r="BD21" s="656"/>
      <c r="BF21" s="122">
        <v>5.4</v>
      </c>
      <c r="BG21" s="119">
        <v>0.37597599999999998</v>
      </c>
      <c r="BH21" s="120">
        <v>4.0161170000000003E-12</v>
      </c>
      <c r="BI21" s="660">
        <v>4.0000000000000002E-9</v>
      </c>
      <c r="BJ21" s="661">
        <v>7.5772129999999993E-2</v>
      </c>
      <c r="BK21" s="121">
        <v>1.8071973000000001E-3</v>
      </c>
      <c r="BL21" s="121">
        <v>5.4299641999999999E-3</v>
      </c>
      <c r="BM21" s="121">
        <v>0.26815963999999998</v>
      </c>
      <c r="BN21" s="675">
        <v>2.0000000000000001E-9</v>
      </c>
      <c r="BO21" s="676">
        <v>0.15154425999999999</v>
      </c>
      <c r="BP21" s="676"/>
      <c r="BQ21" s="622"/>
      <c r="BR21" s="631">
        <v>5.4</v>
      </c>
      <c r="BS21" s="248">
        <v>0.37597599999999998</v>
      </c>
      <c r="BT21" s="632">
        <v>4.0161170000000003E-12</v>
      </c>
      <c r="BU21" s="628">
        <v>4.0697326243095604E-9</v>
      </c>
      <c r="BV21" s="663">
        <v>7.5772129999999993E-2</v>
      </c>
      <c r="BW21" s="633">
        <v>1.8071973000000001E-3</v>
      </c>
      <c r="BX21" s="633">
        <v>5.4299641999999999E-3</v>
      </c>
      <c r="BY21" s="633">
        <v>0.26815963999999998</v>
      </c>
      <c r="BZ21" s="620"/>
      <c r="CA21" s="697"/>
      <c r="CB21" s="620"/>
      <c r="CC21" s="676"/>
      <c r="CD21" s="122">
        <v>5.4</v>
      </c>
      <c r="CE21" s="119">
        <v>0.37597599999999998</v>
      </c>
      <c r="CF21" s="120">
        <v>4.0161170000000003E-12</v>
      </c>
      <c r="CG21" s="660">
        <v>5.0000000000000001E-9</v>
      </c>
      <c r="CH21" s="693">
        <v>3.7886064999999997E-2</v>
      </c>
      <c r="CI21" s="121">
        <v>1.8071973000000001E-3</v>
      </c>
      <c r="CJ21" s="121">
        <v>5.4299641999999999E-3</v>
      </c>
      <c r="CK21" s="121">
        <v>0.26815963999999998</v>
      </c>
      <c r="CL21" s="620"/>
      <c r="CM21" s="676"/>
      <c r="CN21" s="122">
        <v>5.4</v>
      </c>
      <c r="CO21" s="119">
        <v>0.37597599999999998</v>
      </c>
      <c r="CP21" s="120">
        <v>4.0161170000000003E-12</v>
      </c>
      <c r="CQ21" s="660">
        <v>5.4096712560092111E-9</v>
      </c>
      <c r="CR21" s="693">
        <v>3.7886064999999997E-2</v>
      </c>
      <c r="CS21" s="121">
        <v>1.8071973000000001E-3</v>
      </c>
      <c r="CT21" s="121">
        <v>5.4299641999999999E-3</v>
      </c>
      <c r="CU21" s="121">
        <v>0.26815963999999998</v>
      </c>
      <c r="CV21" s="141"/>
      <c r="CW21" s="141"/>
      <c r="CX21" s="141"/>
      <c r="CY21" s="141"/>
      <c r="CZ21" s="141"/>
      <c r="DA21" s="141"/>
      <c r="DB21" s="141"/>
      <c r="DC21" s="141"/>
      <c r="DD21" s="141"/>
      <c r="DE21" s="141"/>
      <c r="DF21" s="141"/>
      <c r="DG21" s="141"/>
      <c r="DH21" s="141"/>
      <c r="DI21" s="141"/>
      <c r="DJ21" s="622"/>
      <c r="DK21" s="627">
        <v>5.4</v>
      </c>
      <c r="DL21" s="628">
        <v>2.2222902999999999E-9</v>
      </c>
      <c r="DM21" s="629">
        <v>3.7886064999999997E-2</v>
      </c>
      <c r="DN21" s="628">
        <f t="shared" si="4"/>
        <v>1.9104359725072311E-9</v>
      </c>
      <c r="DO21" s="628">
        <f t="shared" si="5"/>
        <v>2.0116511233685419E-9</v>
      </c>
      <c r="DP21" s="629">
        <f t="shared" si="6"/>
        <v>7.5772129999999993E-2</v>
      </c>
      <c r="DQ21" s="615"/>
      <c r="DR21" s="615"/>
    </row>
    <row r="22" spans="3:122">
      <c r="C22" s="118">
        <v>5.0999999999999996</v>
      </c>
      <c r="D22" s="119">
        <v>0.24309800000000001</v>
      </c>
      <c r="E22" s="120">
        <v>1.6154852999999999E-12</v>
      </c>
      <c r="F22" s="120">
        <v>5.2406002000000004E-10</v>
      </c>
      <c r="G22" s="121">
        <v>2.2807502E-2</v>
      </c>
      <c r="H22" s="121">
        <v>3.0826342E-3</v>
      </c>
      <c r="I22" s="121">
        <v>2.0481634000000001E-3</v>
      </c>
      <c r="J22" s="121">
        <v>0.23103845000000001</v>
      </c>
      <c r="K22" s="620"/>
      <c r="L22" s="36"/>
      <c r="M22" s="36"/>
      <c r="N22" s="586"/>
      <c r="O22" s="587"/>
      <c r="P22" s="588" t="s">
        <v>696</v>
      </c>
      <c r="Q22" s="593">
        <f>SUMPRODUCT(P19:P21,Q19:Q21)/SUM(P19:P21)</f>
        <v>4.1944444444444445E-9</v>
      </c>
      <c r="R22" s="593">
        <f>SUMPRODUCT(P19:P21,R19:R21)/SUM(P19:P21)</f>
        <v>4.4166666666666673E-9</v>
      </c>
      <c r="S22" s="36"/>
      <c r="T22" s="36"/>
      <c r="U22" s="642"/>
      <c r="W22" s="646">
        <v>7.2</v>
      </c>
      <c r="X22" s="248">
        <v>0.34319699999999997</v>
      </c>
      <c r="Y22" s="632">
        <v>2.4194534000000001E-12</v>
      </c>
      <c r="Z22" s="647">
        <v>2.0000000000000001E-9</v>
      </c>
      <c r="AA22" s="648">
        <v>2.2446489999999999E-2</v>
      </c>
      <c r="AB22" s="633">
        <v>3.0496879E-3</v>
      </c>
      <c r="AC22" s="633">
        <v>2.0332675999999998E-3</v>
      </c>
      <c r="AD22" s="633">
        <v>0.23446711000000001</v>
      </c>
      <c r="AF22" s="113"/>
      <c r="AG22" s="118">
        <v>7.2</v>
      </c>
      <c r="AH22" s="119">
        <v>0.34319699999999997</v>
      </c>
      <c r="AI22" s="120">
        <v>2.4194534000000001E-12</v>
      </c>
      <c r="AJ22" s="533">
        <v>1.8894245983710573E-9</v>
      </c>
      <c r="AK22" s="121">
        <v>2.2446489999999999E-2</v>
      </c>
      <c r="AL22" s="121">
        <v>3.0496879E-3</v>
      </c>
      <c r="AM22" s="121">
        <v>2.0332675999999998E-3</v>
      </c>
      <c r="AN22" s="121">
        <v>0.23446711000000001</v>
      </c>
      <c r="AR22" s="607">
        <v>6.9</v>
      </c>
      <c r="AS22" s="612">
        <v>8.2665285000000001E-10</v>
      </c>
      <c r="AT22" s="608">
        <v>2.2561621E-2</v>
      </c>
      <c r="AU22" s="609">
        <f t="shared" si="2"/>
        <v>2.1551424713197391E-9</v>
      </c>
      <c r="AV22" s="609">
        <f t="shared" si="0"/>
        <v>8.0714593050548492E-10</v>
      </c>
      <c r="AW22" s="610">
        <f t="shared" si="3"/>
        <v>2.2561621E-2</v>
      </c>
      <c r="AX22" s="610">
        <f t="shared" si="1"/>
        <v>4.5123242000000001E-2</v>
      </c>
      <c r="AY22" s="612">
        <v>2.0000000000000001E-9</v>
      </c>
      <c r="AZ22" s="612">
        <v>1.0000000000000001E-9</v>
      </c>
      <c r="BD22" s="656"/>
      <c r="BF22" s="122">
        <v>5.6</v>
      </c>
      <c r="BG22" s="119">
        <v>0.389901</v>
      </c>
      <c r="BH22" s="120">
        <v>4.1078711999999998E-12</v>
      </c>
      <c r="BI22" s="660">
        <v>4.0000000000000002E-9</v>
      </c>
      <c r="BJ22" s="661">
        <v>7.4753526000000001E-2</v>
      </c>
      <c r="BK22" s="121">
        <v>1.7785177999999999E-3</v>
      </c>
      <c r="BL22" s="121">
        <v>5.4587519000000003E-3</v>
      </c>
      <c r="BM22" s="121">
        <v>0.26455476999999999</v>
      </c>
      <c r="BN22" s="675">
        <v>2.0000000000000001E-9</v>
      </c>
      <c r="BO22" s="676">
        <v>0.149507052</v>
      </c>
      <c r="BP22" s="676"/>
      <c r="BQ22" s="622"/>
      <c r="BR22" s="631">
        <v>5.6</v>
      </c>
      <c r="BS22" s="248">
        <v>0.389901</v>
      </c>
      <c r="BT22" s="632">
        <v>4.1078711999999998E-12</v>
      </c>
      <c r="BU22" s="628">
        <v>4.1399666615581462E-9</v>
      </c>
      <c r="BV22" s="663">
        <v>7.4753526000000001E-2</v>
      </c>
      <c r="BW22" s="633">
        <v>1.7785177999999999E-3</v>
      </c>
      <c r="BX22" s="633">
        <v>5.4587519000000003E-3</v>
      </c>
      <c r="BY22" s="633">
        <v>0.26455476999999999</v>
      </c>
      <c r="BZ22" s="620"/>
      <c r="CA22" s="697"/>
      <c r="CB22" s="620"/>
      <c r="CC22" s="676"/>
      <c r="CD22" s="122">
        <v>5.6</v>
      </c>
      <c r="CE22" s="119">
        <v>0.389901</v>
      </c>
      <c r="CF22" s="120">
        <v>4.1078711999999998E-12</v>
      </c>
      <c r="CG22" s="660">
        <v>5.0000000000000001E-9</v>
      </c>
      <c r="CH22" s="693">
        <v>3.7376763E-2</v>
      </c>
      <c r="CI22" s="121">
        <v>1.7785177999999999E-3</v>
      </c>
      <c r="CJ22" s="121">
        <v>5.4587519000000003E-3</v>
      </c>
      <c r="CK22" s="121">
        <v>0.26455476999999999</v>
      </c>
      <c r="CL22" s="620"/>
      <c r="CM22" s="676"/>
      <c r="CN22" s="122">
        <v>5.6</v>
      </c>
      <c r="CO22" s="119">
        <v>0.389901</v>
      </c>
      <c r="CP22" s="120">
        <v>4.1078711999999998E-12</v>
      </c>
      <c r="CQ22" s="660">
        <v>5.2749941846946696E-9</v>
      </c>
      <c r="CR22" s="693">
        <v>3.7376763E-2</v>
      </c>
      <c r="CS22" s="121">
        <v>1.7785177999999999E-3</v>
      </c>
      <c r="CT22" s="121">
        <v>5.4587519000000003E-3</v>
      </c>
      <c r="CU22" s="121">
        <v>0.26455476999999999</v>
      </c>
      <c r="CV22" s="141"/>
      <c r="CW22" s="141"/>
      <c r="CX22" s="141"/>
      <c r="CY22" s="141"/>
      <c r="CZ22" s="141"/>
      <c r="DA22" s="141"/>
      <c r="DB22" s="141"/>
      <c r="DC22" s="141"/>
      <c r="DD22" s="141"/>
      <c r="DE22" s="141"/>
      <c r="DF22" s="141"/>
      <c r="DG22" s="141"/>
      <c r="DH22" s="141"/>
      <c r="DI22" s="141"/>
      <c r="DJ22" s="622"/>
      <c r="DK22" s="627">
        <v>5.6</v>
      </c>
      <c r="DL22" s="628">
        <v>2.3097161000000002E-9</v>
      </c>
      <c r="DM22" s="629">
        <v>3.7376763E-2</v>
      </c>
      <c r="DN22" s="628">
        <f t="shared" si="4"/>
        <v>1.9855932970229449E-9</v>
      </c>
      <c r="DO22" s="628">
        <f t="shared" si="5"/>
        <v>2.0907902928917107E-9</v>
      </c>
      <c r="DP22" s="629">
        <f t="shared" si="6"/>
        <v>7.4753526000000001E-2</v>
      </c>
      <c r="DQ22" s="615"/>
      <c r="DR22" s="615"/>
    </row>
    <row r="23" spans="3:122">
      <c r="C23" s="118">
        <v>5.4</v>
      </c>
      <c r="D23" s="119">
        <v>0.25739800000000002</v>
      </c>
      <c r="E23" s="120">
        <v>1.9128573E-12</v>
      </c>
      <c r="F23" s="120">
        <v>6.2135042999999998E-10</v>
      </c>
      <c r="G23" s="121">
        <v>2.2850349999999998E-2</v>
      </c>
      <c r="H23" s="121">
        <v>3.0785483000000001E-3</v>
      </c>
      <c r="I23" s="121">
        <v>2.0556111999999998E-3</v>
      </c>
      <c r="J23" s="121">
        <v>0.23285935999999999</v>
      </c>
      <c r="K23" s="620"/>
      <c r="L23" s="36"/>
      <c r="M23" s="36"/>
      <c r="N23" s="36"/>
      <c r="O23" s="101"/>
      <c r="P23" s="102"/>
      <c r="Q23" s="103"/>
      <c r="R23" s="36"/>
      <c r="S23" s="36"/>
      <c r="T23" s="36"/>
      <c r="U23" s="642"/>
      <c r="W23" s="646">
        <v>7.5</v>
      </c>
      <c r="X23" s="248">
        <v>0.35749700000000001</v>
      </c>
      <c r="Y23" s="632">
        <v>2.6104838999999998E-12</v>
      </c>
      <c r="Z23" s="647">
        <v>2.0000000000000001E-9</v>
      </c>
      <c r="AA23" s="648">
        <v>2.2441623000000001E-2</v>
      </c>
      <c r="AB23" s="633">
        <v>3.0451227000000002E-3</v>
      </c>
      <c r="AC23" s="633">
        <v>2.0369915999999999E-3</v>
      </c>
      <c r="AD23" s="633">
        <v>0.23391036000000001</v>
      </c>
      <c r="AF23" s="113"/>
      <c r="AG23" s="118">
        <v>7.5</v>
      </c>
      <c r="AH23" s="119">
        <v>0.35749700000000001</v>
      </c>
      <c r="AI23" s="120">
        <v>2.6104838999999998E-12</v>
      </c>
      <c r="AJ23" s="533">
        <v>1.9284450334363513E-9</v>
      </c>
      <c r="AK23" s="121">
        <v>2.2441623000000001E-2</v>
      </c>
      <c r="AL23" s="121">
        <v>3.0451227000000002E-3</v>
      </c>
      <c r="AM23" s="121">
        <v>2.0369915999999999E-3</v>
      </c>
      <c r="AN23" s="121">
        <v>0.23391036000000001</v>
      </c>
      <c r="AR23" s="607">
        <v>7.2</v>
      </c>
      <c r="AS23" s="612">
        <v>7.9334459999999999E-10</v>
      </c>
      <c r="AT23" s="608">
        <v>2.2446489999999999E-2</v>
      </c>
      <c r="AU23" s="609">
        <f t="shared" si="2"/>
        <v>2.0683055067821635E-9</v>
      </c>
      <c r="AV23" s="609">
        <f t="shared" si="0"/>
        <v>7.7462367108333526E-10</v>
      </c>
      <c r="AW23" s="610">
        <f t="shared" si="3"/>
        <v>2.2446489999999999E-2</v>
      </c>
      <c r="AX23" s="610">
        <f t="shared" si="1"/>
        <v>4.4892979999999999E-2</v>
      </c>
      <c r="AY23" s="612">
        <v>2.0000000000000001E-9</v>
      </c>
      <c r="AZ23" s="612">
        <v>1.0000000000000001E-9</v>
      </c>
      <c r="BD23" s="656"/>
      <c r="BF23" s="122">
        <v>5.8</v>
      </c>
      <c r="BG23" s="119">
        <v>0.40382600000000002</v>
      </c>
      <c r="BH23" s="120">
        <v>4.1775061000000002E-12</v>
      </c>
      <c r="BI23" s="660">
        <v>4.0000000000000002E-9</v>
      </c>
      <c r="BJ23" s="661">
        <v>7.3229188000000001E-2</v>
      </c>
      <c r="BK23" s="121">
        <v>1.7394113000000001E-3</v>
      </c>
      <c r="BL23" s="121">
        <v>5.4845092999999999E-3</v>
      </c>
      <c r="BM23" s="121">
        <v>0.2591601</v>
      </c>
      <c r="BN23" s="675">
        <v>2.0000000000000001E-9</v>
      </c>
      <c r="BO23" s="676">
        <v>0.146458376</v>
      </c>
      <c r="BP23" s="676"/>
      <c r="BQ23" s="622"/>
      <c r="BR23" s="631">
        <v>5.8</v>
      </c>
      <c r="BS23" s="248">
        <v>0.40382600000000002</v>
      </c>
      <c r="BT23" s="632">
        <v>4.1775061000000002E-12</v>
      </c>
      <c r="BU23" s="628">
        <v>4.2205847695906671E-9</v>
      </c>
      <c r="BV23" s="663">
        <v>7.3229188000000001E-2</v>
      </c>
      <c r="BW23" s="633">
        <v>1.7394113000000001E-3</v>
      </c>
      <c r="BX23" s="633">
        <v>5.4845092999999999E-3</v>
      </c>
      <c r="BY23" s="633">
        <v>0.2591601</v>
      </c>
      <c r="BZ23" s="620"/>
      <c r="CA23" s="697"/>
      <c r="CB23" s="620"/>
      <c r="CC23" s="676"/>
      <c r="CD23" s="122">
        <v>5.8</v>
      </c>
      <c r="CE23" s="119">
        <v>0.40382600000000002</v>
      </c>
      <c r="CF23" s="120">
        <v>4.1775061000000002E-12</v>
      </c>
      <c r="CG23" s="660">
        <v>5.0000000000000001E-9</v>
      </c>
      <c r="CH23" s="693">
        <v>3.6614594E-2</v>
      </c>
      <c r="CI23" s="121">
        <v>1.7394113000000001E-3</v>
      </c>
      <c r="CJ23" s="121">
        <v>5.4845092999999999E-3</v>
      </c>
      <c r="CK23" s="121">
        <v>0.2591601</v>
      </c>
      <c r="CL23" s="620"/>
      <c r="CM23" s="676"/>
      <c r="CN23" s="122">
        <v>5.8</v>
      </c>
      <c r="CO23" s="119">
        <v>0.40382600000000002</v>
      </c>
      <c r="CP23" s="120">
        <v>4.1775061000000002E-12</v>
      </c>
      <c r="CQ23" s="660">
        <v>5.1601724107748529E-9</v>
      </c>
      <c r="CR23" s="693">
        <v>3.6614594E-2</v>
      </c>
      <c r="CS23" s="121">
        <v>1.7394113000000001E-3</v>
      </c>
      <c r="CT23" s="121">
        <v>5.4845092999999999E-3</v>
      </c>
      <c r="CU23" s="121">
        <v>0.2591601</v>
      </c>
      <c r="CV23" s="141"/>
      <c r="CW23" s="141"/>
      <c r="CX23" s="141"/>
      <c r="CY23" s="141"/>
      <c r="CZ23" s="141"/>
      <c r="DA23" s="141"/>
      <c r="DB23" s="141"/>
      <c r="DC23" s="141"/>
      <c r="DD23" s="141"/>
      <c r="DE23" s="141"/>
      <c r="DF23" s="141"/>
      <c r="DG23" s="141"/>
      <c r="DH23" s="141"/>
      <c r="DI23" s="141"/>
      <c r="DJ23" s="622"/>
      <c r="DK23" s="627">
        <v>5.8</v>
      </c>
      <c r="DL23" s="628">
        <v>2.4016781000000001E-9</v>
      </c>
      <c r="DM23" s="629">
        <v>3.6614594E-2</v>
      </c>
      <c r="DN23" s="628">
        <f t="shared" si="4"/>
        <v>2.0646502559196787E-9</v>
      </c>
      <c r="DO23" s="628">
        <f t="shared" si="5"/>
        <v>2.1740356999419137E-9</v>
      </c>
      <c r="DP23" s="629">
        <f t="shared" si="6"/>
        <v>7.3229188000000001E-2</v>
      </c>
      <c r="DQ23" s="615"/>
      <c r="DR23" s="615"/>
    </row>
    <row r="24" spans="3:122">
      <c r="C24" s="118">
        <v>5.7</v>
      </c>
      <c r="D24" s="119">
        <v>0.271698</v>
      </c>
      <c r="E24" s="120">
        <v>2.2035513000000002E-12</v>
      </c>
      <c r="F24" s="120">
        <v>7.1478920999999997E-10</v>
      </c>
      <c r="G24" s="121">
        <v>2.2880924E-2</v>
      </c>
      <c r="H24" s="121">
        <v>3.0827988000000001E-3</v>
      </c>
      <c r="I24" s="121">
        <v>2.0556111999999998E-3</v>
      </c>
      <c r="J24" s="121">
        <v>0.23450229</v>
      </c>
      <c r="K24" s="620"/>
      <c r="L24" s="36"/>
      <c r="M24" s="36"/>
      <c r="N24" s="36"/>
      <c r="O24" s="101"/>
      <c r="P24" s="102"/>
      <c r="Q24" s="103"/>
      <c r="R24" s="36"/>
      <c r="S24" s="36"/>
      <c r="T24" s="36"/>
      <c r="U24" s="642"/>
      <c r="W24" s="646">
        <v>7.8</v>
      </c>
      <c r="X24" s="248">
        <v>0.37179699999999999</v>
      </c>
      <c r="Y24" s="632">
        <v>2.7052620000000001E-12</v>
      </c>
      <c r="Z24" s="647">
        <v>2.0000000000000001E-9</v>
      </c>
      <c r="AA24" s="648">
        <v>2.2469386000000001E-2</v>
      </c>
      <c r="AB24" s="633">
        <v>3.0410210000000001E-3</v>
      </c>
      <c r="AC24" s="633">
        <v>2.0444394E-3</v>
      </c>
      <c r="AD24" s="633">
        <v>0.23296341000000001</v>
      </c>
      <c r="AF24" s="113"/>
      <c r="AG24" s="118">
        <v>7.8</v>
      </c>
      <c r="AH24" s="119">
        <v>0.37179699999999999</v>
      </c>
      <c r="AI24" s="120">
        <v>2.7052620000000001E-12</v>
      </c>
      <c r="AJ24" s="533">
        <v>1.9423198411019349E-9</v>
      </c>
      <c r="AK24" s="121">
        <v>2.2469386000000001E-2</v>
      </c>
      <c r="AL24" s="121">
        <v>3.0410210000000001E-3</v>
      </c>
      <c r="AM24" s="121">
        <v>2.0444394E-3</v>
      </c>
      <c r="AN24" s="121">
        <v>0.23296341000000001</v>
      </c>
      <c r="AR24" s="607">
        <v>7.5</v>
      </c>
      <c r="AS24" s="612">
        <v>8.5726722E-10</v>
      </c>
      <c r="AT24" s="608">
        <v>2.2441623000000001E-2</v>
      </c>
      <c r="AU24" s="609">
        <f t="shared" si="2"/>
        <v>2.2349563000867927E-9</v>
      </c>
      <c r="AV24" s="609">
        <f t="shared" si="0"/>
        <v>8.3703787869206553E-10</v>
      </c>
      <c r="AW24" s="610">
        <f t="shared" si="3"/>
        <v>2.2441623000000001E-2</v>
      </c>
      <c r="AX24" s="610">
        <f t="shared" si="1"/>
        <v>4.4883246000000002E-2</v>
      </c>
      <c r="AY24" s="612">
        <v>2.0000000000000001E-9</v>
      </c>
      <c r="AZ24" s="612">
        <v>1.0000000000000001E-9</v>
      </c>
      <c r="BD24" s="656"/>
      <c r="BF24" s="122">
        <v>6</v>
      </c>
      <c r="BG24" s="119">
        <v>0.41775099999999998</v>
      </c>
      <c r="BH24" s="120">
        <v>4.5605815000000004E-12</v>
      </c>
      <c r="BI24" s="660">
        <v>4.0000000000000002E-9</v>
      </c>
      <c r="BJ24" s="661">
        <v>7.1199126000000001E-2</v>
      </c>
      <c r="BK24" s="121">
        <v>1.6898780999999999E-3</v>
      </c>
      <c r="BL24" s="121">
        <v>5.5072363000000001E-3</v>
      </c>
      <c r="BM24" s="121">
        <v>0.25197565</v>
      </c>
      <c r="BN24" s="675">
        <v>2.0000000000000001E-9</v>
      </c>
      <c r="BO24" s="676">
        <v>0.142398252</v>
      </c>
      <c r="BP24" s="676"/>
      <c r="BQ24" s="622"/>
      <c r="BR24" s="631">
        <v>6</v>
      </c>
      <c r="BS24" s="248">
        <v>0.41775099999999998</v>
      </c>
      <c r="BT24" s="632">
        <v>4.5605815000000004E-12</v>
      </c>
      <c r="BU24" s="628">
        <v>4.5103462248173663E-9</v>
      </c>
      <c r="BV24" s="663">
        <v>7.1199126000000001E-2</v>
      </c>
      <c r="BW24" s="633">
        <v>1.6898780999999999E-3</v>
      </c>
      <c r="BX24" s="633">
        <v>5.5072363000000001E-3</v>
      </c>
      <c r="BY24" s="633">
        <v>0.25197565</v>
      </c>
      <c r="BZ24" s="620"/>
      <c r="CA24" s="697"/>
      <c r="CB24" s="620"/>
      <c r="CC24" s="676"/>
      <c r="CD24" s="122">
        <v>6</v>
      </c>
      <c r="CE24" s="119">
        <v>0.41775099999999998</v>
      </c>
      <c r="CF24" s="120">
        <v>4.5605815000000004E-12</v>
      </c>
      <c r="CG24" s="660">
        <v>5.0000000000000001E-9</v>
      </c>
      <c r="CH24" s="693">
        <v>3.5599563000000001E-2</v>
      </c>
      <c r="CI24" s="121">
        <v>1.6898780999999999E-3</v>
      </c>
      <c r="CJ24" s="121">
        <v>5.5072363000000001E-3</v>
      </c>
      <c r="CK24" s="121">
        <v>0.25197565</v>
      </c>
      <c r="CL24" s="620"/>
      <c r="CM24" s="676"/>
      <c r="CN24" s="122">
        <v>6</v>
      </c>
      <c r="CO24" s="119">
        <v>0.41775099999999998</v>
      </c>
      <c r="CP24" s="120">
        <v>4.5605815000000004E-12</v>
      </c>
      <c r="CQ24" s="660">
        <v>5.2660432100576853E-9</v>
      </c>
      <c r="CR24" s="693">
        <v>3.5599563000000001E-2</v>
      </c>
      <c r="CS24" s="121">
        <v>1.6898780999999999E-3</v>
      </c>
      <c r="CT24" s="121">
        <v>5.5072363000000001E-3</v>
      </c>
      <c r="CU24" s="121">
        <v>0.25197565</v>
      </c>
      <c r="CV24" s="141"/>
      <c r="CW24" s="141"/>
      <c r="CX24" s="141"/>
      <c r="CY24" s="141"/>
      <c r="CZ24" s="141"/>
      <c r="DA24" s="141"/>
      <c r="DB24" s="141"/>
      <c r="DC24" s="141"/>
      <c r="DD24" s="141"/>
      <c r="DE24" s="141"/>
      <c r="DF24" s="141"/>
      <c r="DG24" s="141"/>
      <c r="DH24" s="141"/>
      <c r="DI24" s="141"/>
      <c r="DJ24" s="622"/>
      <c r="DK24" s="627">
        <v>6</v>
      </c>
      <c r="DL24" s="628">
        <v>2.6987635000000002E-9</v>
      </c>
      <c r="DM24" s="629">
        <v>3.5599563000000001E-2</v>
      </c>
      <c r="DN24" s="628">
        <f t="shared" si="4"/>
        <v>2.3200456176627863E-9</v>
      </c>
      <c r="DO24" s="628">
        <f t="shared" si="5"/>
        <v>2.4429619417773716E-9</v>
      </c>
      <c r="DP24" s="629">
        <f t="shared" si="6"/>
        <v>7.1199126000000001E-2</v>
      </c>
      <c r="DQ24" s="615"/>
      <c r="DR24" s="615"/>
    </row>
    <row r="25" spans="3:122">
      <c r="C25" s="118">
        <v>6</v>
      </c>
      <c r="D25" s="119">
        <v>0.285997</v>
      </c>
      <c r="E25" s="120">
        <v>2.4651674999999999E-12</v>
      </c>
      <c r="F25" s="120">
        <v>8.0231072E-10</v>
      </c>
      <c r="G25" s="121">
        <v>2.2792243E-2</v>
      </c>
      <c r="H25" s="121">
        <v>3.0725844999999999E-3</v>
      </c>
      <c r="I25" s="121">
        <v>2.0556111999999998E-3</v>
      </c>
      <c r="J25" s="121">
        <v>0.23428544000000001</v>
      </c>
      <c r="K25" s="620"/>
      <c r="L25" s="36"/>
      <c r="M25" s="36"/>
      <c r="N25" s="36"/>
      <c r="O25" s="101"/>
      <c r="P25" s="102"/>
      <c r="Q25" s="103"/>
      <c r="R25" s="36"/>
      <c r="S25" s="36"/>
      <c r="T25" s="36"/>
      <c r="U25" s="642"/>
      <c r="W25" s="646">
        <v>8.1</v>
      </c>
      <c r="X25" s="248">
        <v>0.38609700000000002</v>
      </c>
      <c r="Y25" s="632">
        <v>2.6360607E-12</v>
      </c>
      <c r="Z25" s="647">
        <v>2.0000000000000001E-9</v>
      </c>
      <c r="AA25" s="648">
        <v>2.2529777000000001E-2</v>
      </c>
      <c r="AB25" s="633">
        <v>3.0373830999999999E-3</v>
      </c>
      <c r="AC25" s="633">
        <v>2.0556111999999998E-3</v>
      </c>
      <c r="AD25" s="633">
        <v>0.23301899000000001</v>
      </c>
      <c r="AF25" s="113"/>
      <c r="AG25" s="118">
        <v>8.1</v>
      </c>
      <c r="AH25" s="119">
        <v>0.38609700000000002</v>
      </c>
      <c r="AI25" s="120">
        <v>2.6360607E-12</v>
      </c>
      <c r="AJ25" s="533">
        <v>1.9069355222456026E-9</v>
      </c>
      <c r="AK25" s="121">
        <v>2.2529777000000001E-2</v>
      </c>
      <c r="AL25" s="121">
        <v>3.0373830999999999E-3</v>
      </c>
      <c r="AM25" s="121">
        <v>2.0556111999999998E-3</v>
      </c>
      <c r="AN25" s="121">
        <v>0.23301899000000001</v>
      </c>
      <c r="AR25" s="607">
        <v>7.8</v>
      </c>
      <c r="AS25" s="612">
        <v>8.8959002000000001E-10</v>
      </c>
      <c r="AT25" s="608">
        <v>2.2469386000000001E-2</v>
      </c>
      <c r="AU25" s="609">
        <f t="shared" si="2"/>
        <v>2.319224126747009E-9</v>
      </c>
      <c r="AV25" s="609">
        <f t="shared" si="0"/>
        <v>8.6859794224539708E-10</v>
      </c>
      <c r="AW25" s="610">
        <f t="shared" si="3"/>
        <v>2.2469386000000001E-2</v>
      </c>
      <c r="AX25" s="610">
        <f t="shared" si="1"/>
        <v>4.4938772000000002E-2</v>
      </c>
      <c r="AY25" s="612">
        <v>2.0000000000000001E-9</v>
      </c>
      <c r="AZ25" s="612">
        <v>1.0000000000000001E-9</v>
      </c>
      <c r="BD25" s="656"/>
      <c r="BF25" s="122">
        <v>6.2</v>
      </c>
      <c r="BG25" s="119">
        <v>0.43167699999999998</v>
      </c>
      <c r="BH25" s="120">
        <v>5.1237215000000004E-12</v>
      </c>
      <c r="BI25" s="660">
        <v>4.0000000000000002E-9</v>
      </c>
      <c r="BJ25" s="661">
        <v>7.1005682000000001E-2</v>
      </c>
      <c r="BK25" s="121">
        <v>1.6868432E-3</v>
      </c>
      <c r="BL25" s="121">
        <v>5.5010049999999998E-3</v>
      </c>
      <c r="BM25" s="121">
        <v>0.25129105000000002</v>
      </c>
      <c r="BN25" s="675">
        <v>2.0000000000000001E-9</v>
      </c>
      <c r="BO25" s="676">
        <v>0.142011364</v>
      </c>
      <c r="BP25" s="676"/>
      <c r="BQ25" s="622"/>
      <c r="BR25" s="631">
        <v>6.2</v>
      </c>
      <c r="BS25" s="248">
        <v>0.43167699999999998</v>
      </c>
      <c r="BT25" s="632">
        <v>5.1237215000000004E-12</v>
      </c>
      <c r="BU25" s="628">
        <v>4.8444169750434274E-9</v>
      </c>
      <c r="BV25" s="663">
        <v>7.1005682000000001E-2</v>
      </c>
      <c r="BW25" s="633">
        <v>1.6868432E-3</v>
      </c>
      <c r="BX25" s="633">
        <v>5.5010049999999998E-3</v>
      </c>
      <c r="BY25" s="633">
        <v>0.25129105000000002</v>
      </c>
      <c r="BZ25" s="620"/>
      <c r="CA25" s="697"/>
      <c r="CB25" s="620"/>
      <c r="CC25" s="676"/>
      <c r="CD25" s="122">
        <v>6.2</v>
      </c>
      <c r="CE25" s="119">
        <v>0.43167699999999998</v>
      </c>
      <c r="CF25" s="120">
        <v>5.1237215000000004E-12</v>
      </c>
      <c r="CG25" s="660">
        <v>5.0000000000000001E-9</v>
      </c>
      <c r="CH25" s="693">
        <v>3.5502841E-2</v>
      </c>
      <c r="CI25" s="121">
        <v>1.6868432E-3</v>
      </c>
      <c r="CJ25" s="121">
        <v>5.5010049999999998E-3</v>
      </c>
      <c r="CK25" s="121">
        <v>0.25129105000000002</v>
      </c>
      <c r="CL25" s="620"/>
      <c r="CM25" s="676"/>
      <c r="CN25" s="122">
        <v>6.2</v>
      </c>
      <c r="CO25" s="119">
        <v>0.43167699999999998</v>
      </c>
      <c r="CP25" s="120">
        <v>5.1237215000000004E-12</v>
      </c>
      <c r="CQ25" s="660">
        <v>5.4290982679509245E-9</v>
      </c>
      <c r="CR25" s="693">
        <v>3.5502841E-2</v>
      </c>
      <c r="CS25" s="121">
        <v>1.6868432E-3</v>
      </c>
      <c r="CT25" s="121">
        <v>5.5010049999999998E-3</v>
      </c>
      <c r="CU25" s="121">
        <v>0.25129105000000002</v>
      </c>
      <c r="CV25" s="141"/>
      <c r="CW25" s="141"/>
      <c r="CX25" s="141"/>
      <c r="CY25" s="141"/>
      <c r="CZ25" s="141"/>
      <c r="DA25" s="141"/>
      <c r="DB25" s="141"/>
      <c r="DC25" s="141"/>
      <c r="DD25" s="141"/>
      <c r="DE25" s="141"/>
      <c r="DF25" s="141"/>
      <c r="DG25" s="141"/>
      <c r="DH25" s="141"/>
      <c r="DI25" s="141"/>
      <c r="DJ25" s="622"/>
      <c r="DK25" s="627">
        <v>6.2</v>
      </c>
      <c r="DL25" s="628">
        <v>3.0374616000000001E-9</v>
      </c>
      <c r="DM25" s="629">
        <v>3.5502841E-2</v>
      </c>
      <c r="DN25" s="628">
        <f t="shared" si="4"/>
        <v>2.6112141630413322E-9</v>
      </c>
      <c r="DO25" s="628">
        <f t="shared" si="5"/>
        <v>2.7495566352554426E-9</v>
      </c>
      <c r="DP25" s="629">
        <f t="shared" si="6"/>
        <v>7.1005682000000001E-2</v>
      </c>
      <c r="DQ25" s="615"/>
      <c r="DR25" s="615"/>
    </row>
    <row r="26" spans="3:122">
      <c r="C26" s="118">
        <v>6.3</v>
      </c>
      <c r="D26" s="119">
        <v>0.30029699999999998</v>
      </c>
      <c r="E26" s="120">
        <v>2.7023055999999999E-12</v>
      </c>
      <c r="F26" s="120">
        <v>8.8073717999999995E-10</v>
      </c>
      <c r="G26" s="121">
        <v>2.2734497999999999E-2</v>
      </c>
      <c r="H26" s="121">
        <v>3.0682315E-3</v>
      </c>
      <c r="I26" s="121">
        <v>2.0528183000000002E-3</v>
      </c>
      <c r="J26" s="121">
        <v>0.23311818000000001</v>
      </c>
      <c r="K26" s="620"/>
      <c r="L26" s="36"/>
      <c r="M26" s="36"/>
      <c r="N26" s="36"/>
      <c r="O26" s="101"/>
      <c r="P26" s="102"/>
      <c r="Q26" s="103"/>
      <c r="R26" s="36"/>
      <c r="S26" s="36"/>
      <c r="T26" s="36"/>
      <c r="U26" s="642"/>
      <c r="W26" s="646">
        <v>8.4</v>
      </c>
      <c r="X26" s="248">
        <v>0.40039599999999997</v>
      </c>
      <c r="Y26" s="632">
        <v>2.8009274E-12</v>
      </c>
      <c r="Z26" s="647">
        <v>2.0000000000000001E-9</v>
      </c>
      <c r="AA26" s="648">
        <v>2.1943265E-2</v>
      </c>
      <c r="AB26" s="633">
        <v>3.0368172999999999E-3</v>
      </c>
      <c r="AC26" s="633">
        <v>1.9885794E-3</v>
      </c>
      <c r="AD26" s="633">
        <v>0.23387306999999999</v>
      </c>
      <c r="AF26" s="113"/>
      <c r="AG26" s="118">
        <v>8.4</v>
      </c>
      <c r="AH26" s="119">
        <v>0.40039599999999997</v>
      </c>
      <c r="AI26" s="120">
        <v>2.8009274E-12</v>
      </c>
      <c r="AJ26" s="533">
        <v>1.9512620493899017E-9</v>
      </c>
      <c r="AK26" s="121">
        <v>2.1943265E-2</v>
      </c>
      <c r="AL26" s="121">
        <v>3.0368172999999999E-3</v>
      </c>
      <c r="AM26" s="121">
        <v>1.9885794E-3</v>
      </c>
      <c r="AN26" s="121">
        <v>0.23387306999999999</v>
      </c>
      <c r="AR26" s="607">
        <v>8.1</v>
      </c>
      <c r="AS26" s="612">
        <v>8.6787230999999997E-10</v>
      </c>
      <c r="AT26" s="608">
        <v>2.2529777000000001E-2</v>
      </c>
      <c r="AU26" s="609">
        <f t="shared" si="2"/>
        <v>2.2626045200997864E-9</v>
      </c>
      <c r="AV26" s="609">
        <f t="shared" si="0"/>
        <v>8.4739271535190931E-10</v>
      </c>
      <c r="AW26" s="610">
        <f t="shared" si="3"/>
        <v>2.2529777000000001E-2</v>
      </c>
      <c r="AX26" s="610">
        <f t="shared" si="1"/>
        <v>4.5059554000000002E-2</v>
      </c>
      <c r="AY26" s="612">
        <v>2.0000000000000001E-9</v>
      </c>
      <c r="AZ26" s="612">
        <v>1.0000000000000001E-9</v>
      </c>
      <c r="BD26" s="656"/>
      <c r="BF26" s="122">
        <v>6.4</v>
      </c>
      <c r="BG26" s="119">
        <v>0.445602</v>
      </c>
      <c r="BH26" s="120">
        <v>4.5031251E-12</v>
      </c>
      <c r="BI26" s="660">
        <v>4.0000000000000002E-9</v>
      </c>
      <c r="BJ26" s="661">
        <v>7.0666870000000007E-2</v>
      </c>
      <c r="BK26" s="121">
        <v>1.6821392000000001E-3</v>
      </c>
      <c r="BL26" s="121">
        <v>5.4877544000000002E-3</v>
      </c>
      <c r="BM26" s="121">
        <v>0.25009198999999999</v>
      </c>
      <c r="BN26" s="675">
        <v>2.0000000000000001E-9</v>
      </c>
      <c r="BO26" s="676">
        <v>0.14133374000000001</v>
      </c>
      <c r="BP26" s="676"/>
      <c r="BQ26" s="622"/>
      <c r="BR26" s="631">
        <v>6.4</v>
      </c>
      <c r="BS26" s="248">
        <v>0.445602</v>
      </c>
      <c r="BT26" s="632">
        <v>4.5031251E-12</v>
      </c>
      <c r="BU26" s="628">
        <v>4.4811169683165388E-9</v>
      </c>
      <c r="BV26" s="663">
        <v>7.0666870000000007E-2</v>
      </c>
      <c r="BW26" s="633">
        <v>1.6821392000000001E-3</v>
      </c>
      <c r="BX26" s="633">
        <v>5.4877544000000002E-3</v>
      </c>
      <c r="BY26" s="633">
        <v>0.25009198999999999</v>
      </c>
      <c r="BZ26" s="620"/>
      <c r="CA26" s="697"/>
      <c r="CB26" s="620"/>
      <c r="CC26" s="676"/>
      <c r="CD26" s="122">
        <v>6.4</v>
      </c>
      <c r="CE26" s="119">
        <v>0.445602</v>
      </c>
      <c r="CF26" s="120">
        <v>4.5031251E-12</v>
      </c>
      <c r="CG26" s="660">
        <v>5.0000000000000001E-9</v>
      </c>
      <c r="CH26" s="693">
        <v>3.5333435000000003E-2</v>
      </c>
      <c r="CI26" s="121">
        <v>1.6821392000000001E-3</v>
      </c>
      <c r="CJ26" s="121">
        <v>5.4877544000000002E-3</v>
      </c>
      <c r="CK26" s="121">
        <v>0.25009198999999999</v>
      </c>
      <c r="CL26" s="620"/>
      <c r="CM26" s="676"/>
      <c r="CN26" s="122">
        <v>6.4</v>
      </c>
      <c r="CO26" s="119">
        <v>0.445602</v>
      </c>
      <c r="CP26" s="120">
        <v>4.5031251E-12</v>
      </c>
      <c r="CQ26" s="660">
        <v>4.9083713472573744E-9</v>
      </c>
      <c r="CR26" s="693">
        <v>3.5333435000000003E-2</v>
      </c>
      <c r="CS26" s="121">
        <v>1.6821392000000001E-3</v>
      </c>
      <c r="CT26" s="121">
        <v>5.4877544000000002E-3</v>
      </c>
      <c r="CU26" s="121">
        <v>0.25009198999999999</v>
      </c>
      <c r="CV26" s="141"/>
      <c r="CW26" s="141"/>
      <c r="CX26" s="141"/>
      <c r="CY26" s="141"/>
      <c r="CZ26" s="141"/>
      <c r="DA26" s="141"/>
      <c r="DB26" s="141"/>
      <c r="DC26" s="141"/>
      <c r="DD26" s="141"/>
      <c r="DE26" s="141"/>
      <c r="DF26" s="141"/>
      <c r="DG26" s="141"/>
      <c r="DH26" s="141"/>
      <c r="DI26" s="141"/>
      <c r="DJ26" s="622"/>
      <c r="DK26" s="627">
        <v>6.4</v>
      </c>
      <c r="DL26" s="628">
        <v>2.6770230000000001E-9</v>
      </c>
      <c r="DM26" s="629">
        <v>3.5333435000000003E-2</v>
      </c>
      <c r="DN26" s="628">
        <f t="shared" si="4"/>
        <v>2.3013559652531559E-9</v>
      </c>
      <c r="DO26" s="628">
        <f t="shared" si="5"/>
        <v>2.4232821091076285E-9</v>
      </c>
      <c r="DP26" s="629">
        <f t="shared" si="6"/>
        <v>7.0666870000000007E-2</v>
      </c>
      <c r="DQ26" s="615"/>
      <c r="DR26" s="615"/>
    </row>
    <row r="27" spans="3:122">
      <c r="C27" s="118">
        <v>6.6</v>
      </c>
      <c r="D27" s="119">
        <v>0.31459700000000002</v>
      </c>
      <c r="E27" s="120">
        <v>2.7617551000000001E-12</v>
      </c>
      <c r="F27" s="120">
        <v>9.0166087000000002E-10</v>
      </c>
      <c r="G27" s="121">
        <v>2.2657623000000002E-2</v>
      </c>
      <c r="H27" s="121">
        <v>3.0629644000000002E-3</v>
      </c>
      <c r="I27" s="121">
        <v>2.0481634000000001E-3</v>
      </c>
      <c r="J27" s="121">
        <v>0.23314329</v>
      </c>
      <c r="K27" s="620"/>
      <c r="L27" s="36"/>
      <c r="M27" s="36"/>
      <c r="N27" s="36"/>
      <c r="O27" s="101"/>
      <c r="P27" s="102"/>
      <c r="Q27" s="103"/>
      <c r="R27" s="36"/>
      <c r="S27" s="36"/>
      <c r="T27" s="36"/>
      <c r="U27" s="642"/>
      <c r="W27" s="646">
        <v>8.6999999999999993</v>
      </c>
      <c r="X27" s="248">
        <v>0.41469600000000001</v>
      </c>
      <c r="Y27" s="632">
        <v>4.2215078999999999E-12</v>
      </c>
      <c r="Z27" s="647">
        <v>2.0000000000000001E-9</v>
      </c>
      <c r="AA27" s="648">
        <v>1.5616425999999999E-2</v>
      </c>
      <c r="AB27" s="633">
        <v>3.0471131000000002E-3</v>
      </c>
      <c r="AC27" s="633">
        <v>1.3853015E-3</v>
      </c>
      <c r="AD27" s="633">
        <v>0.23462332999999999</v>
      </c>
      <c r="AF27" s="113"/>
      <c r="AG27" s="118">
        <v>8.6999999999999993</v>
      </c>
      <c r="AH27" s="119">
        <v>0.41469600000000001</v>
      </c>
      <c r="AI27" s="120">
        <v>4.2215078999999999E-12</v>
      </c>
      <c r="AJ27" s="533">
        <v>2.4068506454236047E-9</v>
      </c>
      <c r="AK27" s="121">
        <v>1.5616425999999999E-2</v>
      </c>
      <c r="AL27" s="121">
        <v>3.0471131000000002E-3</v>
      </c>
      <c r="AM27" s="121">
        <v>1.3853015E-3</v>
      </c>
      <c r="AN27" s="121">
        <v>0.23462332999999999</v>
      </c>
      <c r="AR27" s="611">
        <v>8.4</v>
      </c>
      <c r="AS27" s="613">
        <v>9.2232331000000004E-10</v>
      </c>
      <c r="AT27" s="608">
        <v>2.1943265E-2</v>
      </c>
      <c r="AU27" s="609">
        <f t="shared" si="2"/>
        <v>2.4045621298822136E-9</v>
      </c>
      <c r="AV27" s="609">
        <f t="shared" si="0"/>
        <v>9.0055880927144787E-10</v>
      </c>
      <c r="AW27" s="610">
        <f t="shared" si="3"/>
        <v>2.1943265E-2</v>
      </c>
      <c r="AX27" s="610">
        <f t="shared" si="1"/>
        <v>4.388653E-2</v>
      </c>
      <c r="AY27" s="612">
        <v>2.0000000000000001E-9</v>
      </c>
      <c r="AZ27" s="612">
        <v>1.0000000000000001E-9</v>
      </c>
      <c r="BD27" s="656"/>
      <c r="BF27" s="122">
        <v>6.6</v>
      </c>
      <c r="BG27" s="119">
        <v>0.45952700000000002</v>
      </c>
      <c r="BH27" s="120">
        <v>4.4082158E-12</v>
      </c>
      <c r="BI27" s="660">
        <v>4.0000000000000002E-9</v>
      </c>
      <c r="BJ27" s="661">
        <v>7.0182692000000005E-2</v>
      </c>
      <c r="BK27" s="121">
        <v>1.675766E-3</v>
      </c>
      <c r="BL27" s="121">
        <v>5.4674846000000001E-3</v>
      </c>
      <c r="BM27" s="121">
        <v>0.24837846</v>
      </c>
      <c r="BN27" s="675">
        <v>2.0000000000000001E-9</v>
      </c>
      <c r="BO27" s="676">
        <v>0.14036538400000001</v>
      </c>
      <c r="BP27" s="676"/>
      <c r="BQ27" s="622"/>
      <c r="BR27" s="631">
        <v>6.6</v>
      </c>
      <c r="BS27" s="248">
        <v>0.45952700000000002</v>
      </c>
      <c r="BT27" s="632">
        <v>4.4082158E-12</v>
      </c>
      <c r="BU27" s="628">
        <v>4.4329297142439308E-9</v>
      </c>
      <c r="BV27" s="663">
        <v>7.0182692000000005E-2</v>
      </c>
      <c r="BW27" s="633">
        <v>1.675766E-3</v>
      </c>
      <c r="BX27" s="633">
        <v>5.4674846000000001E-3</v>
      </c>
      <c r="BY27" s="633">
        <v>0.24837846</v>
      </c>
      <c r="BZ27" s="620"/>
      <c r="CA27" s="697"/>
      <c r="CB27" s="620"/>
      <c r="CC27" s="676"/>
      <c r="CD27" s="122">
        <v>6.6</v>
      </c>
      <c r="CE27" s="119">
        <v>0.45952700000000002</v>
      </c>
      <c r="CF27" s="120">
        <v>4.4082158E-12</v>
      </c>
      <c r="CG27" s="660">
        <v>5.0000000000000001E-9</v>
      </c>
      <c r="CH27" s="693">
        <v>3.5091346000000002E-2</v>
      </c>
      <c r="CI27" s="121">
        <v>1.675766E-3</v>
      </c>
      <c r="CJ27" s="121">
        <v>5.4674846000000001E-3</v>
      </c>
      <c r="CK27" s="121">
        <v>0.24837846</v>
      </c>
      <c r="CL27" s="620"/>
      <c r="CM27" s="676"/>
      <c r="CN27" s="122">
        <v>6.6</v>
      </c>
      <c r="CO27" s="119">
        <v>0.45952700000000002</v>
      </c>
      <c r="CP27" s="120">
        <v>4.4082158E-12</v>
      </c>
      <c r="CQ27" s="660">
        <v>4.7165766464473155E-9</v>
      </c>
      <c r="CR27" s="693">
        <v>3.5091346000000002E-2</v>
      </c>
      <c r="CS27" s="121">
        <v>1.675766E-3</v>
      </c>
      <c r="CT27" s="121">
        <v>5.4674846000000001E-3</v>
      </c>
      <c r="CU27" s="121">
        <v>0.24837846</v>
      </c>
      <c r="CV27" s="141"/>
      <c r="CW27" s="141"/>
      <c r="CX27" s="141"/>
      <c r="CY27" s="141"/>
      <c r="CZ27" s="141"/>
      <c r="DA27" s="141"/>
      <c r="DB27" s="141"/>
      <c r="DC27" s="141"/>
      <c r="DD27" s="141"/>
      <c r="DE27" s="141"/>
      <c r="DF27" s="141"/>
      <c r="DG27" s="141"/>
      <c r="DH27" s="141"/>
      <c r="DI27" s="141"/>
      <c r="DJ27" s="622"/>
      <c r="DK27" s="627">
        <v>6.6</v>
      </c>
      <c r="DL27" s="628">
        <v>2.6305677E-9</v>
      </c>
      <c r="DM27" s="629">
        <v>3.5091346000000002E-2</v>
      </c>
      <c r="DN27" s="628">
        <f t="shared" si="4"/>
        <v>2.261419744394155E-9</v>
      </c>
      <c r="DO27" s="628">
        <f t="shared" si="5"/>
        <v>2.3812300619779517E-9</v>
      </c>
      <c r="DP27" s="629">
        <f t="shared" si="6"/>
        <v>7.0182692000000005E-2</v>
      </c>
      <c r="DQ27" s="615"/>
      <c r="DR27" s="615"/>
    </row>
    <row r="28" spans="3:122">
      <c r="C28" s="118">
        <v>6.9</v>
      </c>
      <c r="D28" s="119">
        <v>0.32889699999999999</v>
      </c>
      <c r="E28" s="120">
        <v>2.5268985E-12</v>
      </c>
      <c r="F28" s="120">
        <v>8.2665285000000001E-10</v>
      </c>
      <c r="G28" s="121">
        <v>2.2561621E-2</v>
      </c>
      <c r="H28" s="121">
        <v>3.0567832000000001E-3</v>
      </c>
      <c r="I28" s="121">
        <v>2.0416465E-3</v>
      </c>
      <c r="J28" s="121">
        <v>0.23396890000000001</v>
      </c>
      <c r="K28" s="620"/>
      <c r="L28" s="36"/>
      <c r="M28" s="36"/>
      <c r="N28" s="36"/>
      <c r="O28" s="101"/>
      <c r="P28" s="102"/>
      <c r="Q28" s="103"/>
      <c r="R28" s="36"/>
      <c r="S28" s="36"/>
      <c r="T28" s="36"/>
      <c r="U28" s="642"/>
      <c r="W28" s="646">
        <v>9</v>
      </c>
      <c r="X28" s="248">
        <v>0.42899599999999999</v>
      </c>
      <c r="Y28" s="632">
        <v>3.2181705000000001E-12</v>
      </c>
      <c r="Z28" s="647">
        <v>2.0000000000000001E-9</v>
      </c>
      <c r="AA28" s="648">
        <v>8.7064133000000002E-3</v>
      </c>
      <c r="AB28" s="633">
        <v>2.5971239000000001E-3</v>
      </c>
      <c r="AC28" s="633">
        <v>9.3843118999999999E-4</v>
      </c>
      <c r="AD28" s="633">
        <v>0.23397018</v>
      </c>
      <c r="AF28" s="113"/>
      <c r="AG28" s="118">
        <v>9</v>
      </c>
      <c r="AH28" s="119">
        <v>0.42899599999999999</v>
      </c>
      <c r="AI28" s="120">
        <v>3.2181705000000001E-12</v>
      </c>
      <c r="AJ28" s="533">
        <v>2.2550105169110767E-9</v>
      </c>
      <c r="AK28" s="121">
        <v>8.7064133000000002E-3</v>
      </c>
      <c r="AL28" s="121">
        <v>2.5971239000000001E-3</v>
      </c>
      <c r="AM28" s="121">
        <v>9.3843118999999999E-4</v>
      </c>
      <c r="AN28" s="121">
        <v>0.23397018</v>
      </c>
      <c r="AR28" s="611">
        <v>8.6999999999999993</v>
      </c>
      <c r="AS28" s="613">
        <v>1.3854123E-9</v>
      </c>
      <c r="AT28" s="608">
        <v>1.5616425999999999E-2</v>
      </c>
      <c r="AU28" s="609">
        <f t="shared" si="2"/>
        <v>3.6118678935405156E-9</v>
      </c>
      <c r="AV28" s="609">
        <f t="shared" si="0"/>
        <v>1.3527200686687816E-9</v>
      </c>
      <c r="AW28" s="610">
        <f t="shared" si="3"/>
        <v>1.5616425999999999E-2</v>
      </c>
      <c r="AX28" s="610">
        <f t="shared" si="1"/>
        <v>3.1232851999999998E-2</v>
      </c>
      <c r="AY28" s="612">
        <v>2.0000000000000001E-9</v>
      </c>
      <c r="AZ28" s="612">
        <v>1.0000000000000001E-9</v>
      </c>
      <c r="BD28" s="656"/>
      <c r="BF28" s="122">
        <v>6.8</v>
      </c>
      <c r="BG28" s="119">
        <v>0.47345199999999998</v>
      </c>
      <c r="BH28" s="120">
        <v>4.2487639999999996E-12</v>
      </c>
      <c r="BI28" s="660">
        <v>4.0000000000000002E-9</v>
      </c>
      <c r="BJ28" s="661">
        <v>6.9553141999999998E-2</v>
      </c>
      <c r="BK28" s="121">
        <v>1.6677236000000001E-3</v>
      </c>
      <c r="BL28" s="121">
        <v>5.4401954000000002E-3</v>
      </c>
      <c r="BM28" s="121">
        <v>0.24615048</v>
      </c>
      <c r="BN28" s="675">
        <v>2.0000000000000001E-9</v>
      </c>
      <c r="BO28" s="676">
        <v>0.139106284</v>
      </c>
      <c r="BP28" s="676"/>
      <c r="BQ28" s="622"/>
      <c r="BR28" s="631">
        <v>6.8</v>
      </c>
      <c r="BS28" s="248">
        <v>0.47345199999999998</v>
      </c>
      <c r="BT28" s="632">
        <v>4.2487639999999996E-12</v>
      </c>
      <c r="BU28" s="628">
        <v>4.3489785791415138E-9</v>
      </c>
      <c r="BV28" s="663">
        <v>6.9553141999999998E-2</v>
      </c>
      <c r="BW28" s="633">
        <v>1.6677236000000001E-3</v>
      </c>
      <c r="BX28" s="633">
        <v>5.4401954000000002E-3</v>
      </c>
      <c r="BY28" s="633">
        <v>0.24615048</v>
      </c>
      <c r="BZ28" s="620"/>
      <c r="CA28" s="697"/>
      <c r="CB28" s="620"/>
      <c r="CC28" s="676"/>
      <c r="CD28" s="122">
        <v>6.8</v>
      </c>
      <c r="CE28" s="119">
        <v>0.47345199999999998</v>
      </c>
      <c r="CF28" s="120">
        <v>4.2487639999999996E-12</v>
      </c>
      <c r="CG28" s="660">
        <v>5.0000000000000001E-9</v>
      </c>
      <c r="CH28" s="693">
        <v>3.4776570999999999E-2</v>
      </c>
      <c r="CI28" s="121">
        <v>1.6677236000000001E-3</v>
      </c>
      <c r="CJ28" s="121">
        <v>5.4401954000000002E-3</v>
      </c>
      <c r="CK28" s="121">
        <v>0.24615048</v>
      </c>
      <c r="CL28" s="620"/>
      <c r="CM28" s="676"/>
      <c r="CN28" s="122">
        <v>6.8</v>
      </c>
      <c r="CO28" s="119">
        <v>0.47345199999999998</v>
      </c>
      <c r="CP28" s="120">
        <v>4.2487639999999996E-12</v>
      </c>
      <c r="CQ28" s="660">
        <v>4.5026974867799302E-9</v>
      </c>
      <c r="CR28" s="693">
        <v>3.4776570999999999E-2</v>
      </c>
      <c r="CS28" s="121">
        <v>1.6677236000000001E-3</v>
      </c>
      <c r="CT28" s="121">
        <v>5.4401954000000002E-3</v>
      </c>
      <c r="CU28" s="121">
        <v>0.24615048</v>
      </c>
      <c r="CV28" s="141"/>
      <c r="CW28" s="141"/>
      <c r="CX28" s="141"/>
      <c r="CY28" s="141"/>
      <c r="CZ28" s="141"/>
      <c r="DA28" s="141"/>
      <c r="DB28" s="141"/>
      <c r="DC28" s="141"/>
      <c r="DD28" s="141"/>
      <c r="DE28" s="141"/>
      <c r="DF28" s="141"/>
      <c r="DG28" s="141"/>
      <c r="DH28" s="141"/>
      <c r="DI28" s="141"/>
      <c r="DJ28" s="622"/>
      <c r="DK28" s="627">
        <v>6.8</v>
      </c>
      <c r="DL28" s="628">
        <v>2.5476428000000002E-9</v>
      </c>
      <c r="DM28" s="629">
        <v>3.4776570999999999E-2</v>
      </c>
      <c r="DN28" s="628">
        <f t="shared" si="4"/>
        <v>2.1901317079136988E-9</v>
      </c>
      <c r="DO28" s="628">
        <f t="shared" si="5"/>
        <v>2.3061651758826367E-9</v>
      </c>
      <c r="DP28" s="629">
        <f t="shared" si="6"/>
        <v>6.9553141999999998E-2</v>
      </c>
      <c r="DQ28" s="615"/>
      <c r="DR28" s="615"/>
    </row>
    <row r="29" spans="3:122">
      <c r="C29" s="118">
        <v>7.2</v>
      </c>
      <c r="D29" s="119">
        <v>0.34319699999999997</v>
      </c>
      <c r="E29" s="120">
        <v>2.4194534000000001E-12</v>
      </c>
      <c r="F29" s="120">
        <v>7.9334459999999999E-10</v>
      </c>
      <c r="G29" s="121">
        <v>2.2446489999999999E-2</v>
      </c>
      <c r="H29" s="121">
        <v>3.0496879E-3</v>
      </c>
      <c r="I29" s="121">
        <v>2.0332675999999998E-3</v>
      </c>
      <c r="J29" s="121">
        <v>0.23446711000000001</v>
      </c>
      <c r="K29" s="620"/>
      <c r="L29" s="36"/>
      <c r="M29" s="36"/>
      <c r="N29" s="36"/>
      <c r="O29" s="101"/>
      <c r="P29" s="102"/>
      <c r="Q29" s="103"/>
      <c r="R29" s="36"/>
      <c r="S29" s="36"/>
      <c r="T29" s="36"/>
      <c r="U29" s="642"/>
      <c r="W29" s="113"/>
      <c r="X29" s="36"/>
      <c r="Y29" s="36"/>
      <c r="Z29" s="36"/>
      <c r="AA29" s="36"/>
      <c r="AF29" s="113"/>
      <c r="AR29" s="611">
        <v>9</v>
      </c>
      <c r="AS29" s="613">
        <v>1.2391286E-9</v>
      </c>
      <c r="AT29" s="608">
        <v>8.7064133000000002E-3</v>
      </c>
      <c r="AU29" s="609">
        <f t="shared" si="2"/>
        <v>3.2304959370635068E-9</v>
      </c>
      <c r="AV29" s="609">
        <f t="shared" si="0"/>
        <v>1.2098882945397923E-9</v>
      </c>
      <c r="AW29" s="610">
        <f t="shared" si="3"/>
        <v>8.7064133000000002E-3</v>
      </c>
      <c r="AX29" s="610">
        <f t="shared" si="1"/>
        <v>1.74128266E-2</v>
      </c>
      <c r="AY29" s="612">
        <v>2.0000000000000001E-9</v>
      </c>
      <c r="AZ29" s="612">
        <v>1.0000000000000001E-9</v>
      </c>
      <c r="BD29" s="656"/>
      <c r="BF29" s="122">
        <v>7</v>
      </c>
      <c r="BG29" s="119">
        <v>0.487377</v>
      </c>
      <c r="BH29" s="120">
        <v>4.6538338999999996E-12</v>
      </c>
      <c r="BI29" s="660">
        <v>4.0000000000000002E-9</v>
      </c>
      <c r="BJ29" s="661">
        <v>6.8778227999999997E-2</v>
      </c>
      <c r="BK29" s="121">
        <v>1.6580121E-3</v>
      </c>
      <c r="BL29" s="121">
        <v>5.4058871999999999E-3</v>
      </c>
      <c r="BM29" s="121">
        <v>0.24340803</v>
      </c>
      <c r="BN29" s="675">
        <v>2.0000000000000001E-9</v>
      </c>
      <c r="BO29" s="676">
        <v>0.13755645599999999</v>
      </c>
      <c r="BP29" s="676"/>
      <c r="BQ29" s="622"/>
      <c r="BR29" s="631">
        <v>7</v>
      </c>
      <c r="BS29" s="248">
        <v>0.487377</v>
      </c>
      <c r="BT29" s="632">
        <v>4.6538338999999996E-12</v>
      </c>
      <c r="BU29" s="628">
        <v>4.6076161588245198E-9</v>
      </c>
      <c r="BV29" s="663">
        <v>6.8778227999999997E-2</v>
      </c>
      <c r="BW29" s="633">
        <v>1.6580121E-3</v>
      </c>
      <c r="BX29" s="633">
        <v>5.4058871999999999E-3</v>
      </c>
      <c r="BY29" s="633">
        <v>0.24340803</v>
      </c>
      <c r="BZ29" s="620"/>
      <c r="CA29" s="697"/>
      <c r="CB29" s="620"/>
      <c r="CC29" s="676"/>
      <c r="CD29" s="122">
        <v>7</v>
      </c>
      <c r="CE29" s="119">
        <v>0.487377</v>
      </c>
      <c r="CF29" s="120">
        <v>4.6538338999999996E-12</v>
      </c>
      <c r="CG29" s="660">
        <v>5.0000000000000001E-9</v>
      </c>
      <c r="CH29" s="693">
        <v>3.4389113999999998E-2</v>
      </c>
      <c r="CI29" s="121">
        <v>1.6580121E-3</v>
      </c>
      <c r="CJ29" s="121">
        <v>5.4058871999999999E-3</v>
      </c>
      <c r="CK29" s="121">
        <v>0.24340803</v>
      </c>
      <c r="CL29" s="620"/>
      <c r="CM29" s="676"/>
      <c r="CN29" s="122">
        <v>7</v>
      </c>
      <c r="CO29" s="119">
        <v>0.487377</v>
      </c>
      <c r="CP29" s="120">
        <v>4.6538338999999996E-12</v>
      </c>
      <c r="CQ29" s="660">
        <v>4.6446702719330508E-9</v>
      </c>
      <c r="CR29" s="693">
        <v>3.4389113999999998E-2</v>
      </c>
      <c r="CS29" s="121">
        <v>1.6580121E-3</v>
      </c>
      <c r="CT29" s="121">
        <v>5.4058871999999999E-3</v>
      </c>
      <c r="CU29" s="121">
        <v>0.24340803</v>
      </c>
      <c r="CV29" s="141"/>
      <c r="CW29" s="141"/>
      <c r="CX29" s="141"/>
      <c r="CY29" s="141"/>
      <c r="CZ29" s="141"/>
      <c r="DA29" s="141"/>
      <c r="DB29" s="141"/>
      <c r="DC29" s="141"/>
      <c r="DD29" s="141"/>
      <c r="DE29" s="141"/>
      <c r="DF29" s="141"/>
      <c r="DG29" s="141"/>
      <c r="DH29" s="141"/>
      <c r="DI29" s="141"/>
      <c r="DJ29" s="622"/>
      <c r="DK29" s="627">
        <v>7</v>
      </c>
      <c r="DL29" s="628">
        <v>2.8068757E-9</v>
      </c>
      <c r="DM29" s="629">
        <v>3.4389113999999998E-2</v>
      </c>
      <c r="DN29" s="628">
        <f t="shared" si="4"/>
        <v>2.4129864165975143E-9</v>
      </c>
      <c r="DO29" s="628">
        <f t="shared" si="5"/>
        <v>2.5408267565497009E-9</v>
      </c>
      <c r="DP29" s="629">
        <f t="shared" si="6"/>
        <v>6.8778227999999997E-2</v>
      </c>
      <c r="DQ29" s="615"/>
      <c r="DR29" s="615"/>
    </row>
    <row r="30" spans="3:122">
      <c r="C30" s="118">
        <v>7.5</v>
      </c>
      <c r="D30" s="119">
        <v>0.35749700000000001</v>
      </c>
      <c r="E30" s="120">
        <v>2.6104838999999998E-12</v>
      </c>
      <c r="F30" s="120">
        <v>8.5726722E-10</v>
      </c>
      <c r="G30" s="121">
        <v>2.2441623000000001E-2</v>
      </c>
      <c r="H30" s="121">
        <v>3.0451227000000002E-3</v>
      </c>
      <c r="I30" s="121">
        <v>2.0369915999999999E-3</v>
      </c>
      <c r="J30" s="121">
        <v>0.23391036000000001</v>
      </c>
      <c r="K30" s="620"/>
      <c r="L30" s="36"/>
      <c r="M30" s="36"/>
      <c r="O30" s="101"/>
      <c r="P30" s="102"/>
      <c r="Q30" s="103"/>
      <c r="R30" s="36"/>
      <c r="S30" s="36"/>
      <c r="T30" s="36"/>
      <c r="U30" s="642"/>
      <c r="W30" s="113"/>
      <c r="X30" s="36"/>
      <c r="Y30" s="36"/>
      <c r="Z30" s="36"/>
      <c r="AA30" s="36"/>
      <c r="AF30" s="113"/>
      <c r="AG30" s="36"/>
      <c r="AH30" s="36"/>
      <c r="AI30" s="36"/>
      <c r="AJ30" s="36"/>
      <c r="AK30" s="36"/>
      <c r="AL30" s="36"/>
      <c r="AM30" s="36"/>
      <c r="AN30" s="36"/>
      <c r="AR30" s="36"/>
      <c r="AS30" s="36"/>
      <c r="AT30" s="36"/>
      <c r="AU30" s="36"/>
      <c r="AV30" s="36"/>
      <c r="AW30" s="36"/>
      <c r="AX30" s="36"/>
      <c r="AY30" s="36"/>
      <c r="BD30" s="656"/>
      <c r="BF30" s="122">
        <v>7.2</v>
      </c>
      <c r="BG30" s="119">
        <v>0.50130200000000003</v>
      </c>
      <c r="BH30" s="120">
        <v>5.2174673E-12</v>
      </c>
      <c r="BI30" s="660">
        <v>4.0000000000000002E-9</v>
      </c>
      <c r="BJ30" s="661">
        <v>6.7857942000000004E-2</v>
      </c>
      <c r="BK30" s="121">
        <v>1.6466314999999999E-3</v>
      </c>
      <c r="BL30" s="121">
        <v>5.3645595000000003E-3</v>
      </c>
      <c r="BM30" s="121">
        <v>0.24015112</v>
      </c>
      <c r="BN30" s="675">
        <v>2.0000000000000001E-9</v>
      </c>
      <c r="BO30" s="676">
        <v>0.13571588400000001</v>
      </c>
      <c r="BP30" s="676"/>
      <c r="BQ30" s="622"/>
      <c r="BR30" s="631">
        <v>7.2</v>
      </c>
      <c r="BS30" s="248">
        <v>0.50130200000000003</v>
      </c>
      <c r="BT30" s="632">
        <v>5.2174673E-12</v>
      </c>
      <c r="BU30" s="628">
        <v>4.9689724289458165E-9</v>
      </c>
      <c r="BV30" s="663">
        <v>6.7857942000000004E-2</v>
      </c>
      <c r="BW30" s="633">
        <v>1.6466314999999999E-3</v>
      </c>
      <c r="BX30" s="633">
        <v>5.3645595000000003E-3</v>
      </c>
      <c r="BY30" s="633">
        <v>0.24015112</v>
      </c>
      <c r="BZ30" s="620"/>
      <c r="CA30" s="697"/>
      <c r="CB30" s="620"/>
      <c r="CC30" s="676"/>
      <c r="CD30" s="122">
        <v>7.2</v>
      </c>
      <c r="CE30" s="119">
        <v>0.50130200000000003</v>
      </c>
      <c r="CF30" s="120">
        <v>5.2174673E-12</v>
      </c>
      <c r="CG30" s="660">
        <v>5.0000000000000001E-9</v>
      </c>
      <c r="CH30" s="693">
        <v>3.3928971000000002E-2</v>
      </c>
      <c r="CI30" s="121">
        <v>1.6466314999999999E-3</v>
      </c>
      <c r="CJ30" s="121">
        <v>5.3645595000000003E-3</v>
      </c>
      <c r="CK30" s="121">
        <v>0.24015112</v>
      </c>
      <c r="CL30" s="620"/>
      <c r="CM30" s="676"/>
      <c r="CN30" s="122">
        <v>7.2</v>
      </c>
      <c r="CO30" s="119">
        <v>0.50130200000000003</v>
      </c>
      <c r="CP30" s="120">
        <v>5.2174673E-12</v>
      </c>
      <c r="CQ30" s="660">
        <v>4.902010191645871E-9</v>
      </c>
      <c r="CR30" s="693">
        <v>3.3928971000000002E-2</v>
      </c>
      <c r="CS30" s="121">
        <v>1.6466314999999999E-3</v>
      </c>
      <c r="CT30" s="121">
        <v>5.3645595000000003E-3</v>
      </c>
      <c r="CU30" s="121">
        <v>0.24015112</v>
      </c>
      <c r="CV30" s="141"/>
      <c r="CW30" s="141"/>
      <c r="CX30" s="141"/>
      <c r="CY30" s="141"/>
      <c r="CZ30" s="141"/>
      <c r="DA30" s="141"/>
      <c r="DB30" s="141"/>
      <c r="DC30" s="141"/>
      <c r="DD30" s="141"/>
      <c r="DE30" s="141"/>
      <c r="DF30" s="141"/>
      <c r="DG30" s="141"/>
      <c r="DH30" s="141"/>
      <c r="DI30" s="141"/>
      <c r="DJ30" s="622"/>
      <c r="DK30" s="627">
        <v>7.2</v>
      </c>
      <c r="DL30" s="628">
        <v>3.1685701E-9</v>
      </c>
      <c r="DM30" s="629">
        <v>3.3928971000000002E-2</v>
      </c>
      <c r="DN30" s="628">
        <f t="shared" si="4"/>
        <v>2.7239241877853828E-9</v>
      </c>
      <c r="DO30" s="628">
        <f t="shared" si="5"/>
        <v>2.8682380520389132E-9</v>
      </c>
      <c r="DP30" s="629">
        <f t="shared" si="6"/>
        <v>6.7857942000000004E-2</v>
      </c>
      <c r="DQ30" s="615"/>
      <c r="DR30" s="615"/>
    </row>
    <row r="31" spans="3:122">
      <c r="C31" s="118">
        <v>7.8</v>
      </c>
      <c r="D31" s="119">
        <v>0.37179699999999999</v>
      </c>
      <c r="E31" s="120">
        <v>2.7052620000000001E-12</v>
      </c>
      <c r="F31" s="120">
        <v>8.8959002000000001E-10</v>
      </c>
      <c r="G31" s="121">
        <v>2.2469386000000001E-2</v>
      </c>
      <c r="H31" s="121">
        <v>3.0410210000000001E-3</v>
      </c>
      <c r="I31" s="121">
        <v>2.0444394E-3</v>
      </c>
      <c r="J31" s="121">
        <v>0.23296341000000001</v>
      </c>
      <c r="K31" s="620"/>
      <c r="L31" s="36"/>
      <c r="M31" s="36"/>
      <c r="O31" s="101"/>
      <c r="P31" s="102"/>
      <c r="Q31" s="103"/>
      <c r="R31" s="36"/>
      <c r="S31" s="36"/>
      <c r="T31" s="36"/>
      <c r="U31" s="642"/>
      <c r="W31" s="113"/>
      <c r="X31" s="36"/>
      <c r="Y31" s="36"/>
      <c r="Z31" s="36"/>
      <c r="AA31" s="36"/>
      <c r="AF31" s="113"/>
      <c r="AG31" s="36"/>
      <c r="AH31" s="36"/>
      <c r="AI31" s="36"/>
      <c r="AJ31" s="36"/>
      <c r="AK31" s="36"/>
      <c r="AL31" s="36"/>
      <c r="AM31" s="36"/>
      <c r="AN31" s="36"/>
      <c r="AR31" s="36"/>
      <c r="AS31" s="36"/>
      <c r="AT31" s="345">
        <f>(2*PI()*0.3)*SUMPRODUCT(AR9:AR29,AU9:AU29)/(PI()*((AR29)^2-AR9^2))</f>
        <v>2.513888888888891E-9</v>
      </c>
      <c r="AU31" s="345">
        <f>(2*PI()*0.3)*SUMPRODUCT(AR8:AR29,AV8:AV29)/(PI()*((AR29)^2-AR8^2))</f>
        <v>1.1181657848324519E-9</v>
      </c>
      <c r="AV31" s="36"/>
      <c r="AW31" s="36"/>
      <c r="AX31" s="36"/>
      <c r="AY31" s="36"/>
      <c r="BD31" s="656"/>
      <c r="BF31" s="122">
        <v>7.4</v>
      </c>
      <c r="BG31" s="119">
        <v>0.51522699999999999</v>
      </c>
      <c r="BH31" s="120">
        <v>5.4110696000000001E-12</v>
      </c>
      <c r="BI31" s="660">
        <v>4.0000000000000002E-9</v>
      </c>
      <c r="BJ31" s="661">
        <v>6.6792292000000003E-2</v>
      </c>
      <c r="BK31" s="121">
        <v>1.6335817000000001E-3</v>
      </c>
      <c r="BL31" s="121">
        <v>5.3162128000000001E-3</v>
      </c>
      <c r="BM31" s="121">
        <v>0.23637975</v>
      </c>
      <c r="BN31" s="675">
        <v>2.0000000000000001E-9</v>
      </c>
      <c r="BO31" s="676">
        <v>0.13358458400000001</v>
      </c>
      <c r="BP31" s="676"/>
      <c r="BQ31" s="622"/>
      <c r="BR31" s="631">
        <v>7.4</v>
      </c>
      <c r="BS31" s="248">
        <v>0.51522699999999999</v>
      </c>
      <c r="BT31" s="632">
        <v>5.4110696000000001E-12</v>
      </c>
      <c r="BU31" s="628">
        <v>5.1126102770978494E-9</v>
      </c>
      <c r="BV31" s="663">
        <v>6.6792292000000003E-2</v>
      </c>
      <c r="BW31" s="633">
        <v>1.6335817000000001E-3</v>
      </c>
      <c r="BX31" s="633">
        <v>5.3162128000000001E-3</v>
      </c>
      <c r="BY31" s="633">
        <v>0.23637975</v>
      </c>
      <c r="BZ31" s="620"/>
      <c r="CA31" s="697"/>
      <c r="CB31" s="620"/>
      <c r="CC31" s="676"/>
      <c r="CD31" s="122">
        <v>7.4</v>
      </c>
      <c r="CE31" s="119">
        <v>0.51522699999999999</v>
      </c>
      <c r="CF31" s="120">
        <v>5.4110696000000001E-12</v>
      </c>
      <c r="CG31" s="660">
        <v>5.0000000000000001E-9</v>
      </c>
      <c r="CH31" s="693">
        <v>3.3396146000000002E-2</v>
      </c>
      <c r="CI31" s="121">
        <v>1.6335817000000001E-3</v>
      </c>
      <c r="CJ31" s="121">
        <v>5.3162128000000001E-3</v>
      </c>
      <c r="CK31" s="121">
        <v>0.23637975</v>
      </c>
      <c r="CL31" s="620"/>
      <c r="CM31" s="676"/>
      <c r="CN31" s="122">
        <v>7.4</v>
      </c>
      <c r="CO31" s="119">
        <v>0.51522699999999999</v>
      </c>
      <c r="CP31" s="120">
        <v>5.4110696000000001E-12</v>
      </c>
      <c r="CQ31" s="660">
        <v>4.9535291831030978E-9</v>
      </c>
      <c r="CR31" s="693">
        <v>3.3396146000000002E-2</v>
      </c>
      <c r="CS31" s="121">
        <v>1.6335817000000001E-3</v>
      </c>
      <c r="CT31" s="121">
        <v>5.3162128000000001E-3</v>
      </c>
      <c r="CU31" s="121">
        <v>0.23637975</v>
      </c>
      <c r="CV31" s="141"/>
      <c r="CW31" s="141"/>
      <c r="CX31" s="141"/>
      <c r="CY31" s="141"/>
      <c r="CZ31" s="141"/>
      <c r="DA31" s="141"/>
      <c r="DB31" s="141"/>
      <c r="DC31" s="141"/>
      <c r="DD31" s="141"/>
      <c r="DE31" s="141"/>
      <c r="DF31" s="141"/>
      <c r="DG31" s="141"/>
      <c r="DH31" s="141"/>
      <c r="DI31" s="141"/>
      <c r="DJ31" s="622"/>
      <c r="DK31" s="627">
        <v>7.4</v>
      </c>
      <c r="DL31" s="628">
        <v>3.3123959999999998E-9</v>
      </c>
      <c r="DM31" s="629">
        <v>3.3396146000000002E-2</v>
      </c>
      <c r="DN31" s="628">
        <f t="shared" si="4"/>
        <v>2.8475669779007104E-9</v>
      </c>
      <c r="DO31" s="628">
        <f t="shared" si="5"/>
        <v>2.9984314535510789E-9</v>
      </c>
      <c r="DP31" s="629">
        <f t="shared" si="6"/>
        <v>6.6792292000000003E-2</v>
      </c>
      <c r="DQ31" s="615"/>
      <c r="DR31" s="615"/>
    </row>
    <row r="32" spans="3:122">
      <c r="C32" s="118">
        <v>8.1</v>
      </c>
      <c r="D32" s="119">
        <v>0.38609700000000002</v>
      </c>
      <c r="E32" s="120">
        <v>2.6360607E-12</v>
      </c>
      <c r="F32" s="120">
        <v>8.6787230999999997E-10</v>
      </c>
      <c r="G32" s="121">
        <v>2.2529777000000001E-2</v>
      </c>
      <c r="H32" s="121">
        <v>3.0373830999999999E-3</v>
      </c>
      <c r="I32" s="121">
        <v>2.0556111999999998E-3</v>
      </c>
      <c r="J32" s="121">
        <v>0.23301899000000001</v>
      </c>
      <c r="K32" s="620"/>
      <c r="L32" s="36"/>
      <c r="M32" s="36"/>
      <c r="O32" s="101"/>
      <c r="P32" s="102"/>
      <c r="Q32" s="103"/>
      <c r="R32" s="36"/>
      <c r="S32" s="36"/>
      <c r="T32" s="36"/>
      <c r="U32" s="642"/>
      <c r="W32" s="113" t="s">
        <v>727</v>
      </c>
      <c r="X32" s="36"/>
      <c r="Y32" s="36"/>
      <c r="Z32" s="36"/>
      <c r="AA32" s="36"/>
      <c r="AF32" s="113"/>
      <c r="BD32" s="656"/>
      <c r="BF32" s="122">
        <v>7.6</v>
      </c>
      <c r="BG32" s="119">
        <v>0.52915199999999996</v>
      </c>
      <c r="BH32" s="120">
        <v>4.9947449000000002E-12</v>
      </c>
      <c r="BI32" s="660">
        <v>4.0000000000000002E-9</v>
      </c>
      <c r="BJ32" s="661">
        <v>6.5581273999999995E-2</v>
      </c>
      <c r="BK32" s="121">
        <v>1.6188628E-3</v>
      </c>
      <c r="BL32" s="121">
        <v>5.2608467999999999E-3</v>
      </c>
      <c r="BM32" s="121">
        <v>0.23209392000000001</v>
      </c>
      <c r="BN32" s="675">
        <v>2.0000000000000001E-9</v>
      </c>
      <c r="BO32" s="676">
        <v>0.13116254799999999</v>
      </c>
      <c r="BP32" s="676"/>
      <c r="BQ32" s="622"/>
      <c r="BR32" s="631">
        <v>7.6</v>
      </c>
      <c r="BS32" s="248">
        <v>0.52915199999999996</v>
      </c>
      <c r="BT32" s="632">
        <v>4.9947449000000002E-12</v>
      </c>
      <c r="BU32" s="628">
        <v>4.8854535624539893E-9</v>
      </c>
      <c r="BV32" s="663">
        <v>6.5581273999999995E-2</v>
      </c>
      <c r="BW32" s="633">
        <v>1.6188628E-3</v>
      </c>
      <c r="BX32" s="633">
        <v>5.2608467999999999E-3</v>
      </c>
      <c r="BY32" s="633">
        <v>0.23209392000000001</v>
      </c>
      <c r="BZ32" s="620"/>
      <c r="CA32" s="697"/>
      <c r="CB32" s="620"/>
      <c r="CC32" s="676"/>
      <c r="CD32" s="122">
        <v>7.6</v>
      </c>
      <c r="CE32" s="119">
        <v>0.52915199999999996</v>
      </c>
      <c r="CF32" s="120">
        <v>4.9947449000000002E-12</v>
      </c>
      <c r="CG32" s="660">
        <v>5.0000000000000001E-9</v>
      </c>
      <c r="CH32" s="693">
        <v>3.2790636999999997E-2</v>
      </c>
      <c r="CI32" s="121">
        <v>1.6188628E-3</v>
      </c>
      <c r="CJ32" s="121">
        <v>5.2608467999999999E-3</v>
      </c>
      <c r="CK32" s="121">
        <v>0.23209392000000001</v>
      </c>
      <c r="CL32" s="620"/>
      <c r="CM32" s="676"/>
      <c r="CN32" s="122">
        <v>7.6</v>
      </c>
      <c r="CO32" s="119">
        <v>0.52915199999999996</v>
      </c>
      <c r="CP32" s="120">
        <v>4.9947449000000002E-12</v>
      </c>
      <c r="CQ32" s="660">
        <v>4.6453136125925198E-9</v>
      </c>
      <c r="CR32" s="693">
        <v>3.2790636999999997E-2</v>
      </c>
      <c r="CS32" s="121">
        <v>1.6188628E-3</v>
      </c>
      <c r="CT32" s="121">
        <v>5.2608467999999999E-3</v>
      </c>
      <c r="CU32" s="121">
        <v>0.23209392000000001</v>
      </c>
      <c r="CV32" s="141"/>
      <c r="CW32" s="141"/>
      <c r="CX32" s="141"/>
      <c r="CY32" s="141"/>
      <c r="CZ32" s="141"/>
      <c r="DA32" s="141"/>
      <c r="DB32" s="141"/>
      <c r="DC32" s="141"/>
      <c r="DD32" s="141"/>
      <c r="DE32" s="141"/>
      <c r="DF32" s="141"/>
      <c r="DG32" s="141"/>
      <c r="DH32" s="141"/>
      <c r="DI32" s="141"/>
      <c r="DJ32" s="622"/>
      <c r="DK32" s="627">
        <v>7.6</v>
      </c>
      <c r="DL32" s="628">
        <v>3.0853417000000001E-9</v>
      </c>
      <c r="DM32" s="629">
        <v>3.2790636999999997E-2</v>
      </c>
      <c r="DN32" s="628">
        <f t="shared" si="4"/>
        <v>2.6523752415049532E-9</v>
      </c>
      <c r="DO32" s="628">
        <f t="shared" si="5"/>
        <v>2.7928984331078648E-9</v>
      </c>
      <c r="DP32" s="629">
        <f t="shared" si="6"/>
        <v>6.5581273999999995E-2</v>
      </c>
      <c r="DQ32" s="615"/>
      <c r="DR32" s="615"/>
    </row>
    <row r="33" spans="2:122">
      <c r="C33" s="118">
        <v>8.4</v>
      </c>
      <c r="D33" s="119">
        <v>0.40039599999999997</v>
      </c>
      <c r="E33" s="120">
        <v>2.8009274E-12</v>
      </c>
      <c r="F33" s="120">
        <v>9.2232331000000004E-10</v>
      </c>
      <c r="G33" s="121">
        <v>2.1943265E-2</v>
      </c>
      <c r="H33" s="121">
        <v>3.0368172999999999E-3</v>
      </c>
      <c r="I33" s="121">
        <v>1.9885794E-3</v>
      </c>
      <c r="J33" s="121">
        <v>0.23387306999999999</v>
      </c>
      <c r="K33" s="620"/>
      <c r="L33" s="36"/>
      <c r="M33" s="36"/>
      <c r="O33" s="101"/>
      <c r="P33" s="102"/>
      <c r="Q33" s="103"/>
      <c r="R33" s="36"/>
      <c r="S33" s="36"/>
      <c r="T33" s="36"/>
      <c r="U33" s="642"/>
      <c r="W33" s="622" t="s">
        <v>739</v>
      </c>
      <c r="X33" s="36"/>
      <c r="Y33" s="36"/>
      <c r="Z33" s="36"/>
      <c r="AA33" s="36"/>
      <c r="AF33" s="113"/>
      <c r="AG33" s="622" t="s">
        <v>741</v>
      </c>
      <c r="AH33" s="36"/>
      <c r="AI33" s="36"/>
      <c r="AJ33" s="36"/>
      <c r="AK33" s="36"/>
      <c r="AL33" s="36"/>
      <c r="AM33" s="36"/>
      <c r="AN33" s="36"/>
      <c r="BD33" s="656"/>
      <c r="BF33" s="122">
        <v>7.8</v>
      </c>
      <c r="BG33" s="119">
        <v>0.54307700000000003</v>
      </c>
      <c r="BH33" s="120">
        <v>4.6694647999999997E-12</v>
      </c>
      <c r="BI33" s="660">
        <v>4.0000000000000002E-9</v>
      </c>
      <c r="BJ33" s="661">
        <v>6.4224883999999996E-2</v>
      </c>
      <c r="BK33" s="121">
        <v>1.6024748000000001E-3</v>
      </c>
      <c r="BL33" s="121">
        <v>5.1984613999999998E-3</v>
      </c>
      <c r="BM33" s="121">
        <v>0.22729362</v>
      </c>
      <c r="BN33" s="675">
        <v>2.0000000000000001E-9</v>
      </c>
      <c r="BO33" s="676">
        <v>0.12844976799999999</v>
      </c>
      <c r="BP33" s="676"/>
      <c r="BQ33" s="622"/>
      <c r="BR33" s="631">
        <v>7.8</v>
      </c>
      <c r="BS33" s="248">
        <v>0.54307700000000003</v>
      </c>
      <c r="BT33" s="632">
        <v>4.6694647999999997E-12</v>
      </c>
      <c r="BU33" s="628">
        <v>4.7139657409772378E-9</v>
      </c>
      <c r="BV33" s="663">
        <v>6.4224883999999996E-2</v>
      </c>
      <c r="BW33" s="633">
        <v>1.6024748000000001E-3</v>
      </c>
      <c r="BX33" s="633">
        <v>5.1984613999999998E-3</v>
      </c>
      <c r="BY33" s="633">
        <v>0.22729362</v>
      </c>
      <c r="BZ33" s="620"/>
      <c r="CA33" s="697"/>
      <c r="CB33" s="620"/>
      <c r="CC33" s="676"/>
      <c r="CD33" s="122">
        <v>7.8</v>
      </c>
      <c r="CE33" s="119">
        <v>0.54307700000000003</v>
      </c>
      <c r="CF33" s="120">
        <v>4.6694647999999997E-12</v>
      </c>
      <c r="CG33" s="660">
        <v>5.0000000000000001E-9</v>
      </c>
      <c r="CH33" s="693">
        <v>3.2112441999999998E-2</v>
      </c>
      <c r="CI33" s="121">
        <v>1.6024748000000001E-3</v>
      </c>
      <c r="CJ33" s="121">
        <v>5.1984613999999998E-3</v>
      </c>
      <c r="CK33" s="121">
        <v>0.22729362</v>
      </c>
      <c r="CL33" s="620"/>
      <c r="CM33" s="676"/>
      <c r="CN33" s="122">
        <v>7.8</v>
      </c>
      <c r="CO33" s="119">
        <v>0.54307700000000003</v>
      </c>
      <c r="CP33" s="120">
        <v>4.6694647999999997E-12</v>
      </c>
      <c r="CQ33" s="660">
        <v>4.4029419882803813E-9</v>
      </c>
      <c r="CR33" s="693">
        <v>3.2112441999999998E-2</v>
      </c>
      <c r="CS33" s="121">
        <v>1.6024748000000001E-3</v>
      </c>
      <c r="CT33" s="121">
        <v>5.1984613999999998E-3</v>
      </c>
      <c r="CU33" s="121">
        <v>0.22729362</v>
      </c>
      <c r="CV33" s="141"/>
      <c r="CW33" s="141"/>
      <c r="CX33" s="141"/>
      <c r="CY33" s="141"/>
      <c r="CZ33" s="141"/>
      <c r="DA33" s="141"/>
      <c r="DB33" s="141"/>
      <c r="DC33" s="141"/>
      <c r="DD33" s="141"/>
      <c r="DE33" s="141"/>
      <c r="DF33" s="141"/>
      <c r="DG33" s="141"/>
      <c r="DH33" s="141"/>
      <c r="DI33" s="141"/>
      <c r="DJ33" s="622"/>
      <c r="DK33" s="627">
        <v>7.8</v>
      </c>
      <c r="DL33" s="628">
        <v>2.9139084999999999E-9</v>
      </c>
      <c r="DM33" s="629">
        <v>3.2112441999999998E-2</v>
      </c>
      <c r="DN33" s="628">
        <f t="shared" si="4"/>
        <v>2.5049992878943798E-9</v>
      </c>
      <c r="DO33" s="628">
        <f t="shared" si="5"/>
        <v>2.6377144819550092E-9</v>
      </c>
      <c r="DP33" s="629">
        <f t="shared" si="6"/>
        <v>6.4224883999999996E-2</v>
      </c>
      <c r="DQ33" s="615"/>
      <c r="DR33" s="615"/>
    </row>
    <row r="34" spans="2:122">
      <c r="C34" s="118">
        <v>8.6999999999999993</v>
      </c>
      <c r="D34" s="119">
        <v>0.41469600000000001</v>
      </c>
      <c r="E34" s="120">
        <v>4.2215078999999999E-12</v>
      </c>
      <c r="F34" s="120">
        <v>1.3854123E-9</v>
      </c>
      <c r="G34" s="121">
        <v>1.5616425999999999E-2</v>
      </c>
      <c r="H34" s="121">
        <v>3.0471131000000002E-3</v>
      </c>
      <c r="I34" s="121">
        <v>1.3853015E-3</v>
      </c>
      <c r="J34" s="121">
        <v>0.23462332999999999</v>
      </c>
      <c r="K34" s="620"/>
      <c r="L34" s="36"/>
      <c r="M34" s="36"/>
      <c r="O34" s="101"/>
      <c r="P34" s="102"/>
      <c r="Q34" s="103"/>
      <c r="R34" s="36"/>
      <c r="S34" s="36"/>
      <c r="T34" s="36"/>
      <c r="U34" s="642"/>
      <c r="W34" s="116" t="s">
        <v>169</v>
      </c>
      <c r="X34" s="116" t="s">
        <v>170</v>
      </c>
      <c r="Y34" s="116" t="s">
        <v>58</v>
      </c>
      <c r="Z34" s="116" t="s">
        <v>171</v>
      </c>
      <c r="AA34" s="116" t="s">
        <v>172</v>
      </c>
      <c r="AB34" s="116" t="s">
        <v>173</v>
      </c>
      <c r="AC34" s="116" t="s">
        <v>174</v>
      </c>
      <c r="AD34" s="116" t="s">
        <v>175</v>
      </c>
      <c r="AF34" s="113"/>
      <c r="AG34" s="606" t="s">
        <v>169</v>
      </c>
      <c r="AH34" s="606" t="s">
        <v>170</v>
      </c>
      <c r="AI34" s="606" t="s">
        <v>58</v>
      </c>
      <c r="AJ34" s="606" t="s">
        <v>171</v>
      </c>
      <c r="AK34" s="606" t="s">
        <v>172</v>
      </c>
      <c r="AL34" s="606" t="s">
        <v>173</v>
      </c>
      <c r="AM34" s="606" t="s">
        <v>174</v>
      </c>
      <c r="AN34" s="606" t="s">
        <v>175</v>
      </c>
      <c r="BD34" s="656"/>
      <c r="BF34" s="122">
        <v>8</v>
      </c>
      <c r="BG34" s="119">
        <v>0.557002</v>
      </c>
      <c r="BH34" s="120">
        <v>4.2744007E-12</v>
      </c>
      <c r="BI34" s="660">
        <v>4.0000000000000002E-9</v>
      </c>
      <c r="BJ34" s="661">
        <v>6.2723130000000002E-2</v>
      </c>
      <c r="BK34" s="121">
        <v>1.5844176000000001E-3</v>
      </c>
      <c r="BL34" s="121">
        <v>5.1290570000000002E-3</v>
      </c>
      <c r="BM34" s="121">
        <v>0.22197886999999999</v>
      </c>
      <c r="BN34" s="675">
        <v>2.0000000000000001E-9</v>
      </c>
      <c r="BO34" s="676">
        <v>0.12544626</v>
      </c>
      <c r="BP34" s="676"/>
      <c r="BQ34" s="622"/>
      <c r="BR34" s="631">
        <v>8</v>
      </c>
      <c r="BS34" s="248">
        <v>0.557002</v>
      </c>
      <c r="BT34" s="632">
        <v>4.2744007E-12</v>
      </c>
      <c r="BU34" s="628">
        <v>4.4978027107043524E-9</v>
      </c>
      <c r="BV34" s="663">
        <v>6.2723130000000002E-2</v>
      </c>
      <c r="BW34" s="633">
        <v>1.5844176000000001E-3</v>
      </c>
      <c r="BX34" s="633">
        <v>5.1290570000000002E-3</v>
      </c>
      <c r="BY34" s="633">
        <v>0.22197886999999999</v>
      </c>
      <c r="BZ34" s="620"/>
      <c r="CA34" s="697"/>
      <c r="CB34" s="620"/>
      <c r="CC34" s="676"/>
      <c r="CD34" s="122">
        <v>8</v>
      </c>
      <c r="CE34" s="119">
        <v>0.557002</v>
      </c>
      <c r="CF34" s="120">
        <v>4.2744007E-12</v>
      </c>
      <c r="CG34" s="660">
        <v>5.0000000000000001E-9</v>
      </c>
      <c r="CH34" s="693">
        <v>3.1361565000000001E-2</v>
      </c>
      <c r="CI34" s="121">
        <v>1.5844176000000001E-3</v>
      </c>
      <c r="CJ34" s="121">
        <v>5.1290570000000002E-3</v>
      </c>
      <c r="CK34" s="121">
        <v>0.22197886999999999</v>
      </c>
      <c r="CL34" s="620"/>
      <c r="CM34" s="676"/>
      <c r="CN34" s="122">
        <v>8</v>
      </c>
      <c r="CO34" s="119">
        <v>0.557002</v>
      </c>
      <c r="CP34" s="120">
        <v>4.2744007E-12</v>
      </c>
      <c r="CQ34" s="660">
        <v>4.1251683566877127E-9</v>
      </c>
      <c r="CR34" s="693">
        <v>3.1361565000000001E-2</v>
      </c>
      <c r="CS34" s="121">
        <v>1.5844176000000001E-3</v>
      </c>
      <c r="CT34" s="121">
        <v>5.1290570000000002E-3</v>
      </c>
      <c r="CU34" s="121">
        <v>0.22197886999999999</v>
      </c>
      <c r="CV34" s="141"/>
      <c r="CW34" s="141"/>
      <c r="CX34" s="141"/>
      <c r="CY34" s="141"/>
      <c r="CZ34" s="141"/>
      <c r="DA34" s="141"/>
      <c r="DB34" s="141"/>
      <c r="DC34" s="141"/>
      <c r="DD34" s="141"/>
      <c r="DE34" s="141"/>
      <c r="DF34" s="141"/>
      <c r="DG34" s="141"/>
      <c r="DH34" s="141"/>
      <c r="DI34" s="141"/>
      <c r="DJ34" s="622"/>
      <c r="DK34" s="627">
        <v>8</v>
      </c>
      <c r="DL34" s="628">
        <v>2.6977739999999999E-9</v>
      </c>
      <c r="DM34" s="629">
        <v>3.1361565000000001E-2</v>
      </c>
      <c r="DN34" s="628">
        <f t="shared" si="4"/>
        <v>2.3191949743445864E-9</v>
      </c>
      <c r="DO34" s="628">
        <f t="shared" si="5"/>
        <v>2.4420662312635051E-9</v>
      </c>
      <c r="DP34" s="629">
        <f t="shared" si="6"/>
        <v>6.2723130000000002E-2</v>
      </c>
      <c r="DQ34" s="615"/>
      <c r="DR34" s="615"/>
    </row>
    <row r="35" spans="2:122">
      <c r="C35" s="118">
        <v>9</v>
      </c>
      <c r="D35" s="119">
        <v>0.42899599999999999</v>
      </c>
      <c r="E35" s="120">
        <v>3.2181705000000001E-12</v>
      </c>
      <c r="F35" s="120">
        <v>1.2391286E-9</v>
      </c>
      <c r="G35" s="121">
        <v>8.7064133000000002E-3</v>
      </c>
      <c r="H35" s="121">
        <v>2.5971239000000001E-3</v>
      </c>
      <c r="I35" s="121">
        <v>9.3843118999999999E-4</v>
      </c>
      <c r="J35" s="121">
        <v>0.23397018</v>
      </c>
      <c r="K35" s="620"/>
      <c r="L35" s="36"/>
      <c r="M35" s="36"/>
      <c r="O35" s="101"/>
      <c r="P35" s="102"/>
      <c r="Q35" s="103"/>
      <c r="R35" s="36"/>
      <c r="S35" s="36"/>
      <c r="T35" s="36"/>
      <c r="U35" s="642"/>
      <c r="W35" s="118">
        <v>2.7</v>
      </c>
      <c r="X35" s="119">
        <v>0.12869900000000001</v>
      </c>
      <c r="Y35" s="120">
        <v>7.2127685999999998E-12</v>
      </c>
      <c r="Z35" s="308">
        <v>2.0000000000000001E-9</v>
      </c>
      <c r="AA35" s="640">
        <v>1.1506961200000001E-2</v>
      </c>
      <c r="AB35" s="121">
        <v>7.7974158999999995E-4</v>
      </c>
      <c r="AC35" s="121">
        <v>2.0332675999999998E-3</v>
      </c>
      <c r="AD35" s="121">
        <v>4.2041007000000003E-3</v>
      </c>
      <c r="AF35" s="113"/>
      <c r="AG35" s="118">
        <v>2.7</v>
      </c>
      <c r="AH35" s="119">
        <v>0.12869900000000001</v>
      </c>
      <c r="AI35" s="120">
        <v>7.2127685999999998E-12</v>
      </c>
      <c r="AJ35" s="533">
        <v>9.5472925246803646E-9</v>
      </c>
      <c r="AK35" s="534">
        <v>1.1506961200000001E-2</v>
      </c>
      <c r="AL35" s="121">
        <v>7.7974158999999995E-4</v>
      </c>
      <c r="AM35" s="121">
        <v>2.0332675999999998E-3</v>
      </c>
      <c r="AN35" s="121">
        <v>4.2041007000000003E-3</v>
      </c>
      <c r="BD35" s="656"/>
      <c r="BI35" s="625">
        <f>(2*PI()*0.2*SUMPRODUCT($BF9:$BF34,BI9:BI34))/(2*PI()*0.2*SUM($BF9:$BF34))</f>
        <v>4.2377622377622375E-9</v>
      </c>
      <c r="BN35" s="141"/>
      <c r="BO35" s="141"/>
      <c r="BP35" s="141"/>
      <c r="BQ35" s="622"/>
      <c r="BR35" s="634"/>
      <c r="BS35" s="616"/>
      <c r="BT35" s="635"/>
      <c r="BU35" s="625">
        <f>(2*PI()*0.2*SUMPRODUCT($BR9:$BR34,BU9:BU34))/(2*PI()*0.2*SUM($BR9:$BR34))</f>
        <v>4.5909179801325071E-9</v>
      </c>
      <c r="BV35" s="630">
        <f>(2*PI()*0.2*SUMPRODUCT($BR9:$BR34,BV9:BV34))/(2*PI()*0.2*SUM($BR9:$BR34))</f>
        <v>6.8707970198601392E-2</v>
      </c>
      <c r="BW35" s="620"/>
      <c r="BX35" s="620"/>
      <c r="BY35" s="620"/>
      <c r="BZ35" s="620"/>
      <c r="CA35" s="697"/>
      <c r="CB35" s="620"/>
      <c r="CC35" s="141"/>
      <c r="CD35" s="141"/>
      <c r="CE35" s="141"/>
      <c r="CF35" s="141"/>
      <c r="CG35" s="141"/>
      <c r="CH35" s="141"/>
      <c r="CI35" s="141"/>
      <c r="CJ35" s="141"/>
      <c r="CK35" s="141"/>
      <c r="CL35" s="620"/>
      <c r="CM35" s="141"/>
      <c r="CN35" s="141"/>
      <c r="CO35" s="141"/>
      <c r="CP35" s="141"/>
      <c r="CQ35" s="141"/>
      <c r="CR35" s="141"/>
      <c r="CS35" s="141"/>
      <c r="CT35" s="141"/>
      <c r="CU35" s="141"/>
      <c r="CV35" s="141"/>
      <c r="CW35" s="141"/>
      <c r="CX35" s="141"/>
      <c r="CY35" s="141"/>
      <c r="CZ35" s="141"/>
      <c r="DA35" s="141"/>
      <c r="DB35" s="141"/>
      <c r="DC35" s="141"/>
      <c r="DD35" s="141"/>
      <c r="DE35" s="141"/>
      <c r="DF35" s="141"/>
      <c r="DG35" s="141"/>
      <c r="DH35" s="141"/>
      <c r="DI35" s="141"/>
      <c r="DJ35" s="622"/>
      <c r="DK35" s="627">
        <v>8.1999999999999993</v>
      </c>
      <c r="DL35" s="628">
        <v>3.1020396000000001E-9</v>
      </c>
      <c r="DM35" s="629">
        <v>2.8432188000000001E-2</v>
      </c>
      <c r="DN35" s="628">
        <f t="shared" si="4"/>
        <v>2.6667299227206913E-9</v>
      </c>
      <c r="DO35" s="628">
        <f t="shared" si="5"/>
        <v>2.8080136272356955E-9</v>
      </c>
      <c r="DP35" s="629">
        <f t="shared" si="6"/>
        <v>5.6864376000000001E-2</v>
      </c>
      <c r="DQ35" s="615"/>
      <c r="DR35" s="615"/>
    </row>
    <row r="36" spans="2:122">
      <c r="C36" s="118">
        <v>9.3000000000000007</v>
      </c>
      <c r="D36" s="119">
        <v>0.44329600000000002</v>
      </c>
      <c r="E36" s="120">
        <v>4.7819083999999999E-15</v>
      </c>
      <c r="F36" s="120">
        <v>8.5120391999999993E-12</v>
      </c>
      <c r="G36" s="121">
        <v>3.7575632999999999E-3</v>
      </c>
      <c r="H36" s="121">
        <v>5.6178176999999998E-4</v>
      </c>
      <c r="I36" s="121">
        <v>7.3733879000000002E-4</v>
      </c>
      <c r="J36" s="121">
        <v>0.23320837</v>
      </c>
      <c r="K36" s="620"/>
      <c r="L36" s="36"/>
      <c r="M36" s="36"/>
      <c r="O36" s="101"/>
      <c r="P36" s="102"/>
      <c r="Q36" s="103"/>
      <c r="R36" s="36"/>
      <c r="S36" s="36"/>
      <c r="T36" s="36"/>
      <c r="U36" s="642"/>
      <c r="W36" s="118">
        <v>3</v>
      </c>
      <c r="X36" s="119">
        <v>0.14299899999999999</v>
      </c>
      <c r="Y36" s="120">
        <v>3.8144394999999998E-12</v>
      </c>
      <c r="Z36" s="308">
        <v>2.0000000000000001E-9</v>
      </c>
      <c r="AA36" s="640">
        <v>2.0355000000000002E-2</v>
      </c>
      <c r="AB36" s="121">
        <v>1.3721821E-3</v>
      </c>
      <c r="AC36" s="121">
        <v>2.0481634000000001E-3</v>
      </c>
      <c r="AD36" s="121">
        <v>0.26489564999999998</v>
      </c>
      <c r="AF36" s="113"/>
      <c r="AG36" s="118">
        <v>3</v>
      </c>
      <c r="AH36" s="119">
        <v>0.14299899999999999</v>
      </c>
      <c r="AI36" s="120">
        <v>3.8144394999999998E-12</v>
      </c>
      <c r="AJ36" s="533">
        <v>3.0739532158728489E-9</v>
      </c>
      <c r="AK36" s="534">
        <v>2.0355000000000002E-2</v>
      </c>
      <c r="AL36" s="121">
        <v>1.3721821E-3</v>
      </c>
      <c r="AM36" s="121">
        <v>2.0481634000000001E-3</v>
      </c>
      <c r="AN36" s="121">
        <v>0.26489564999999998</v>
      </c>
      <c r="BD36" s="656"/>
      <c r="BN36" s="141"/>
      <c r="BO36" s="141"/>
      <c r="BP36" s="141"/>
      <c r="BQ36" s="622"/>
      <c r="BR36" s="634"/>
      <c r="BS36" s="616"/>
      <c r="BT36" s="635"/>
      <c r="BU36" s="636"/>
      <c r="BV36" s="637"/>
      <c r="BW36" s="620"/>
      <c r="BX36" s="620"/>
      <c r="BY36" s="620"/>
      <c r="BZ36" s="620"/>
      <c r="CA36" s="697"/>
      <c r="CB36" s="620"/>
      <c r="CC36" s="141"/>
      <c r="CD36" s="141"/>
      <c r="CE36" s="141"/>
      <c r="CF36" s="141"/>
      <c r="CG36" s="141"/>
      <c r="CH36" s="141"/>
      <c r="CI36" s="141"/>
      <c r="CJ36" s="141"/>
      <c r="CK36" s="141"/>
      <c r="CL36" s="620"/>
      <c r="CM36" s="141"/>
      <c r="CN36" s="141"/>
      <c r="CO36" s="141"/>
      <c r="CP36" s="141"/>
      <c r="CQ36" s="141"/>
      <c r="CR36" s="141"/>
      <c r="CS36" s="141"/>
      <c r="CT36" s="141"/>
      <c r="CU36" s="141"/>
      <c r="CV36" s="141"/>
      <c r="CW36" s="141"/>
      <c r="CX36" s="141"/>
      <c r="CY36" s="141"/>
      <c r="CZ36" s="141"/>
      <c r="DA36" s="141"/>
      <c r="DB36" s="141"/>
      <c r="DC36" s="141"/>
      <c r="DD36" s="141"/>
      <c r="DE36" s="141"/>
      <c r="DF36" s="141"/>
      <c r="DG36" s="141"/>
      <c r="DH36" s="141"/>
      <c r="DI36" s="141"/>
      <c r="DJ36" s="622"/>
      <c r="DK36" s="627">
        <v>8.4</v>
      </c>
      <c r="DL36" s="628">
        <v>4.6088999999999997E-9</v>
      </c>
      <c r="DM36" s="629">
        <v>2.5047234000000002E-2</v>
      </c>
      <c r="DN36" s="628">
        <f t="shared" si="4"/>
        <v>3.9621323792344217E-9</v>
      </c>
      <c r="DO36" s="628">
        <f t="shared" si="5"/>
        <v>4.1720466774720082E-9</v>
      </c>
      <c r="DP36" s="629">
        <f t="shared" si="6"/>
        <v>5.0094468000000003E-2</v>
      </c>
      <c r="DQ36" s="615"/>
      <c r="DR36" s="615"/>
    </row>
    <row r="37" spans="2:122">
      <c r="C37" s="123"/>
      <c r="D37" s="124"/>
      <c r="E37" s="125"/>
      <c r="F37" s="125"/>
      <c r="G37" s="126"/>
      <c r="H37" s="126"/>
      <c r="I37" s="126"/>
      <c r="J37" s="126"/>
      <c r="K37" s="620"/>
      <c r="L37" s="36"/>
      <c r="M37" s="36"/>
      <c r="O37" s="101"/>
      <c r="P37" s="102"/>
      <c r="Q37" s="103"/>
      <c r="R37" s="36"/>
      <c r="S37" s="36"/>
      <c r="T37" s="36"/>
      <c r="U37" s="642"/>
      <c r="W37" s="118">
        <v>3.3</v>
      </c>
      <c r="X37" s="119">
        <v>0.15729899999999999</v>
      </c>
      <c r="Y37" s="120">
        <v>1.8536469000000001E-12</v>
      </c>
      <c r="Z37" s="308">
        <v>2.0000000000000001E-9</v>
      </c>
      <c r="AA37" s="640">
        <v>3.1134192000000002E-2</v>
      </c>
      <c r="AB37" s="121">
        <v>2.0924100999999999E-3</v>
      </c>
      <c r="AC37" s="121">
        <v>2.0556111999999998E-3</v>
      </c>
      <c r="AD37" s="121">
        <v>0.23484168999999999</v>
      </c>
      <c r="AF37" s="113"/>
      <c r="AG37" s="118">
        <v>3.3</v>
      </c>
      <c r="AH37" s="119">
        <v>0.15729899999999999</v>
      </c>
      <c r="AI37" s="120">
        <v>1.8536469000000001E-12</v>
      </c>
      <c r="AJ37" s="533">
        <v>1.1760859378776174E-9</v>
      </c>
      <c r="AK37" s="534">
        <v>3.1134192000000002E-2</v>
      </c>
      <c r="AL37" s="121">
        <v>2.0924100999999999E-3</v>
      </c>
      <c r="AM37" s="121">
        <v>2.0556111999999998E-3</v>
      </c>
      <c r="AN37" s="121">
        <v>0.23484168999999999</v>
      </c>
      <c r="BD37" s="656"/>
      <c r="BF37" s="622" t="s">
        <v>737</v>
      </c>
      <c r="BN37" s="141"/>
      <c r="BO37" s="141"/>
      <c r="BP37" s="141"/>
      <c r="BQ37" s="622" t="s">
        <v>735</v>
      </c>
      <c r="BR37" s="615"/>
      <c r="BS37" s="615"/>
      <c r="BT37" s="615"/>
      <c r="BU37" s="615"/>
      <c r="BV37" s="615"/>
      <c r="BW37" s="615"/>
      <c r="BX37" s="615"/>
      <c r="BY37" s="615"/>
      <c r="BZ37" s="615"/>
      <c r="CA37" s="695"/>
      <c r="CB37" s="615"/>
      <c r="CC37" s="622" t="s">
        <v>768</v>
      </c>
      <c r="CD37" s="141"/>
      <c r="CE37" s="141"/>
      <c r="CF37" s="141"/>
      <c r="CG37" s="141"/>
      <c r="CH37" s="141"/>
      <c r="CI37" s="141"/>
      <c r="CJ37" s="141"/>
      <c r="CK37" s="141"/>
      <c r="CL37" s="615"/>
      <c r="CM37" s="622" t="s">
        <v>771</v>
      </c>
      <c r="CN37" s="141"/>
      <c r="CO37" s="141"/>
      <c r="CP37" s="141"/>
      <c r="CQ37" s="141"/>
      <c r="CR37" s="141"/>
      <c r="CS37" s="141"/>
      <c r="CT37" s="141"/>
      <c r="CU37" s="141"/>
      <c r="CV37" s="141"/>
      <c r="CW37" s="141"/>
      <c r="CX37" s="141"/>
      <c r="CY37" s="141"/>
      <c r="CZ37" s="141"/>
      <c r="DA37" s="141"/>
      <c r="DB37" s="141"/>
      <c r="DC37" s="141"/>
      <c r="DD37" s="141"/>
      <c r="DE37" s="141"/>
      <c r="DF37" s="141"/>
      <c r="DG37" s="141"/>
      <c r="DH37" s="141"/>
      <c r="DI37" s="141"/>
      <c r="DJ37" s="622"/>
      <c r="DK37" s="627">
        <v>8.6</v>
      </c>
      <c r="DL37" s="628">
        <v>8.3426315000000007E-9</v>
      </c>
      <c r="DM37" s="629">
        <v>2.0952740000000001E-2</v>
      </c>
      <c r="DN37" s="628">
        <f t="shared" si="4"/>
        <v>7.1719087839117882E-9</v>
      </c>
      <c r="DO37" s="628">
        <f t="shared" si="5"/>
        <v>7.5518774612051294E-9</v>
      </c>
      <c r="DP37" s="629">
        <f t="shared" si="6"/>
        <v>4.1905480000000002E-2</v>
      </c>
      <c r="DQ37" s="615"/>
      <c r="DR37" s="615"/>
    </row>
    <row r="38" spans="2:122" ht="18.75">
      <c r="C38" s="123"/>
      <c r="L38" s="36"/>
      <c r="M38" s="36"/>
      <c r="N38" s="36"/>
      <c r="O38" s="101"/>
      <c r="P38" s="102"/>
      <c r="Q38" s="103"/>
      <c r="R38" s="36"/>
      <c r="S38" s="36"/>
      <c r="T38" s="36"/>
      <c r="U38" s="642"/>
      <c r="W38" s="118">
        <v>3.6</v>
      </c>
      <c r="X38" s="119">
        <v>0.171598</v>
      </c>
      <c r="Y38" s="120">
        <v>1.5890446000000001E-12</v>
      </c>
      <c r="Z38" s="308">
        <v>2.0000000000000001E-9</v>
      </c>
      <c r="AA38" s="640">
        <v>3.6843356000000001E-2</v>
      </c>
      <c r="AB38" s="121">
        <v>2.4863297E-3</v>
      </c>
      <c r="AC38" s="121">
        <v>2.0556111999999998E-3</v>
      </c>
      <c r="AD38" s="121">
        <v>0.23055136000000001</v>
      </c>
      <c r="AF38" s="113"/>
      <c r="AG38" s="118">
        <v>3.6</v>
      </c>
      <c r="AH38" s="119">
        <v>0.171598</v>
      </c>
      <c r="AI38" s="120">
        <v>1.5890446000000001E-12</v>
      </c>
      <c r="AJ38" s="533">
        <v>9.245128518121413E-10</v>
      </c>
      <c r="AK38" s="534">
        <v>3.6843356000000001E-2</v>
      </c>
      <c r="AL38" s="121">
        <v>2.4863297E-3</v>
      </c>
      <c r="AM38" s="121">
        <v>2.0556111999999998E-3</v>
      </c>
      <c r="AN38" s="121">
        <v>0.23055136000000001</v>
      </c>
      <c r="BD38" s="656"/>
      <c r="BF38" s="662" t="s">
        <v>733</v>
      </c>
      <c r="BN38" s="141"/>
      <c r="BO38" s="141"/>
      <c r="BP38" s="141"/>
      <c r="BQ38" s="622"/>
      <c r="BR38" s="615"/>
      <c r="BS38" s="615"/>
      <c r="BT38" s="615"/>
      <c r="BU38" s="615"/>
      <c r="BV38" s="615"/>
      <c r="BW38" s="615"/>
      <c r="BX38" s="615"/>
      <c r="BY38" s="615"/>
      <c r="BZ38" s="615"/>
      <c r="CA38" s="695"/>
      <c r="CB38" s="615"/>
      <c r="CC38" s="141"/>
      <c r="CD38" s="141"/>
      <c r="CE38" s="141"/>
      <c r="CF38" s="141"/>
      <c r="CG38" s="141"/>
      <c r="CH38" s="141"/>
      <c r="CI38" s="141"/>
      <c r="CJ38" s="141"/>
      <c r="CK38" s="141"/>
      <c r="CL38" s="615"/>
      <c r="CM38" s="141"/>
      <c r="CN38" s="141"/>
      <c r="CO38" s="141"/>
      <c r="CP38" s="141"/>
      <c r="CQ38" s="141"/>
      <c r="CR38" s="141"/>
      <c r="CS38" s="141"/>
      <c r="CT38" s="141"/>
      <c r="CU38" s="141"/>
      <c r="CV38" s="141"/>
      <c r="CW38" s="141"/>
      <c r="CX38" s="141"/>
      <c r="CY38" s="141"/>
      <c r="CZ38" s="141"/>
      <c r="DA38" s="141"/>
      <c r="DB38" s="141"/>
      <c r="DC38" s="141"/>
      <c r="DD38" s="141"/>
      <c r="DE38" s="141"/>
      <c r="DF38" s="141"/>
      <c r="DG38" s="141"/>
      <c r="DH38" s="141"/>
      <c r="DI38" s="141"/>
      <c r="DJ38" s="622"/>
      <c r="DK38" s="627">
        <v>8.8000000000000007</v>
      </c>
      <c r="DL38" s="628">
        <v>1.5453628000000001E-8</v>
      </c>
      <c r="DM38" s="629">
        <v>1.6233356000000001E-2</v>
      </c>
      <c r="DN38" s="628">
        <f t="shared" si="4"/>
        <v>1.3285018090096049E-8</v>
      </c>
      <c r="DO38" s="628">
        <f t="shared" si="5"/>
        <v>1.3988860108114388E-8</v>
      </c>
      <c r="DP38" s="629">
        <f t="shared" si="6"/>
        <v>3.2466712000000002E-2</v>
      </c>
      <c r="DQ38" s="615"/>
      <c r="DR38" s="615"/>
    </row>
    <row r="39" spans="2:122">
      <c r="B39" s="113" t="s">
        <v>165</v>
      </c>
      <c r="C39" s="123"/>
      <c r="D39" s="124"/>
      <c r="L39" s="36"/>
      <c r="M39" s="36"/>
      <c r="N39" s="36"/>
      <c r="O39" s="101"/>
      <c r="P39" s="102"/>
      <c r="Q39" s="103"/>
      <c r="R39" s="36"/>
      <c r="S39" s="36"/>
      <c r="T39" s="36"/>
      <c r="U39" s="642"/>
      <c r="W39" s="118">
        <v>3.9</v>
      </c>
      <c r="X39" s="119">
        <v>0.18589800000000001</v>
      </c>
      <c r="Y39" s="120">
        <v>2.1866609E-12</v>
      </c>
      <c r="Z39" s="308">
        <v>2.0000000000000001E-9</v>
      </c>
      <c r="AA39" s="640">
        <v>3.9227989999999997E-2</v>
      </c>
      <c r="AB39" s="121">
        <v>2.6421833999999999E-3</v>
      </c>
      <c r="AC39" s="121">
        <v>2.0556111999999998E-3</v>
      </c>
      <c r="AD39" s="121">
        <v>0.23373368</v>
      </c>
      <c r="AF39" s="113"/>
      <c r="AG39" s="118">
        <v>3.9</v>
      </c>
      <c r="AH39" s="119">
        <v>0.18589800000000001</v>
      </c>
      <c r="AI39" s="120">
        <v>2.1866609E-12</v>
      </c>
      <c r="AJ39" s="533">
        <v>1.1074273893332651E-9</v>
      </c>
      <c r="AK39" s="534">
        <v>3.9227989999999997E-2</v>
      </c>
      <c r="AL39" s="121">
        <v>2.6421833999999999E-3</v>
      </c>
      <c r="AM39" s="121">
        <v>2.0556111999999998E-3</v>
      </c>
      <c r="AN39" s="121">
        <v>0.23373368</v>
      </c>
      <c r="BD39" s="656"/>
      <c r="BF39" s="117" t="s">
        <v>169</v>
      </c>
      <c r="BG39" s="117" t="s">
        <v>170</v>
      </c>
      <c r="BH39" s="117" t="s">
        <v>58</v>
      </c>
      <c r="BI39" s="117" t="s">
        <v>171</v>
      </c>
      <c r="BJ39" s="117" t="s">
        <v>172</v>
      </c>
      <c r="BK39" s="117" t="s">
        <v>173</v>
      </c>
      <c r="BL39" s="117" t="s">
        <v>174</v>
      </c>
      <c r="BM39" s="117" t="s">
        <v>175</v>
      </c>
      <c r="BN39" s="674" t="s">
        <v>758</v>
      </c>
      <c r="BO39" s="674" t="s">
        <v>755</v>
      </c>
      <c r="BP39" s="141"/>
      <c r="BQ39" s="622"/>
      <c r="BR39" s="626" t="s">
        <v>169</v>
      </c>
      <c r="BS39" s="626" t="s">
        <v>170</v>
      </c>
      <c r="BT39" s="626" t="s">
        <v>58</v>
      </c>
      <c r="BU39" s="626" t="s">
        <v>171</v>
      </c>
      <c r="BV39" s="626" t="s">
        <v>172</v>
      </c>
      <c r="BW39" s="626" t="s">
        <v>173</v>
      </c>
      <c r="BX39" s="626" t="s">
        <v>174</v>
      </c>
      <c r="BY39" s="626" t="s">
        <v>175</v>
      </c>
      <c r="BZ39" s="619"/>
      <c r="CA39" s="696"/>
      <c r="CB39" s="619"/>
      <c r="CC39" s="141"/>
      <c r="CD39" s="117" t="s">
        <v>169</v>
      </c>
      <c r="CE39" s="117" t="s">
        <v>170</v>
      </c>
      <c r="CF39" s="117" t="s">
        <v>58</v>
      </c>
      <c r="CG39" s="117" t="s">
        <v>171</v>
      </c>
      <c r="CH39" s="117" t="s">
        <v>172</v>
      </c>
      <c r="CI39" s="117" t="s">
        <v>173</v>
      </c>
      <c r="CJ39" s="117" t="s">
        <v>174</v>
      </c>
      <c r="CK39" s="117" t="s">
        <v>175</v>
      </c>
      <c r="CL39" s="619"/>
      <c r="CM39" s="141"/>
      <c r="CN39" s="117" t="s">
        <v>169</v>
      </c>
      <c r="CO39" s="117" t="s">
        <v>170</v>
      </c>
      <c r="CP39" s="117" t="s">
        <v>58</v>
      </c>
      <c r="CQ39" s="117" t="s">
        <v>171</v>
      </c>
      <c r="CR39" s="117" t="s">
        <v>172</v>
      </c>
      <c r="CS39" s="117" t="s">
        <v>173</v>
      </c>
      <c r="CT39" s="117" t="s">
        <v>174</v>
      </c>
      <c r="CU39" s="117" t="s">
        <v>175</v>
      </c>
      <c r="CV39" s="141"/>
      <c r="CW39" s="141"/>
      <c r="CX39" s="141"/>
      <c r="CY39" s="141"/>
      <c r="CZ39" s="141"/>
      <c r="DA39" s="141"/>
      <c r="DB39" s="141"/>
      <c r="DC39" s="141"/>
      <c r="DD39" s="141"/>
      <c r="DE39" s="141"/>
      <c r="DF39" s="141"/>
      <c r="DG39" s="141"/>
      <c r="DH39" s="141"/>
      <c r="DI39" s="141"/>
      <c r="DJ39" s="622"/>
      <c r="DK39" s="627">
        <v>9</v>
      </c>
      <c r="DL39" s="628">
        <v>3.0038766E-8</v>
      </c>
      <c r="DM39" s="629">
        <v>1.1962502999999999E-2</v>
      </c>
      <c r="DN39" s="628">
        <f t="shared" si="4"/>
        <v>2.5823421510739239E-8</v>
      </c>
      <c r="DO39" s="628">
        <f t="shared" si="5"/>
        <v>2.7191549802698936E-8</v>
      </c>
      <c r="DP39" s="629">
        <f t="shared" si="6"/>
        <v>2.3925005999999999E-2</v>
      </c>
      <c r="DQ39" s="615"/>
      <c r="DR39" s="615"/>
    </row>
    <row r="40" spans="2:122">
      <c r="C40" s="123"/>
      <c r="D40" s="124"/>
      <c r="J40" s="589" t="s">
        <v>700</v>
      </c>
      <c r="K40" s="616"/>
      <c r="L40" s="36"/>
      <c r="M40" s="36"/>
      <c r="N40" s="36"/>
      <c r="O40" s="101"/>
      <c r="P40" s="102"/>
      <c r="Q40" s="103"/>
      <c r="R40" s="36"/>
      <c r="S40" s="36"/>
      <c r="T40" s="36"/>
      <c r="U40" s="642"/>
      <c r="W40" s="118">
        <v>4.2</v>
      </c>
      <c r="X40" s="119">
        <v>0.20019799999999999</v>
      </c>
      <c r="Y40" s="120">
        <v>2.4631614999999998E-12</v>
      </c>
      <c r="Z40" s="639">
        <v>1.0000000000000001E-9</v>
      </c>
      <c r="AA40" s="640">
        <v>4.1428310000000003E-2</v>
      </c>
      <c r="AB40" s="121">
        <v>2.7836088000000002E-3</v>
      </c>
      <c r="AC40" s="121">
        <v>2.0630590999999999E-3</v>
      </c>
      <c r="AD40" s="121">
        <v>0.23469693</v>
      </c>
      <c r="AF40" s="113"/>
      <c r="AG40" s="118">
        <v>4.2</v>
      </c>
      <c r="AH40" s="119">
        <v>0.20019799999999999</v>
      </c>
      <c r="AI40" s="120">
        <v>2.4631614999999998E-12</v>
      </c>
      <c r="AJ40" s="533">
        <v>1.1584787349997553E-9</v>
      </c>
      <c r="AK40" s="534">
        <v>4.1428310000000003E-2</v>
      </c>
      <c r="AL40" s="121">
        <v>2.7836088000000002E-3</v>
      </c>
      <c r="AM40" s="121">
        <v>2.0630590999999999E-3</v>
      </c>
      <c r="AN40" s="121">
        <v>0.23469693</v>
      </c>
      <c r="BD40" s="656"/>
      <c r="BF40" s="122">
        <v>3</v>
      </c>
      <c r="BG40" s="119">
        <v>0.20887600000000001</v>
      </c>
      <c r="BH40" s="120">
        <v>6.4727158000000003E-12</v>
      </c>
      <c r="BI40" s="660">
        <v>6.9999999999999998E-9</v>
      </c>
      <c r="BJ40" s="661">
        <v>4.4181020000000001E-2</v>
      </c>
      <c r="BK40" s="121">
        <v>1.2165047E-3</v>
      </c>
      <c r="BL40" s="121">
        <v>4.6681509999999997E-3</v>
      </c>
      <c r="BM40" s="121">
        <v>0.15635784</v>
      </c>
      <c r="BN40" s="675">
        <v>3.4999999999999999E-9</v>
      </c>
      <c r="BO40" s="676">
        <v>8.8362040000000003E-2</v>
      </c>
      <c r="BP40" s="141"/>
      <c r="BQ40" s="622"/>
      <c r="BR40" s="631">
        <v>3</v>
      </c>
      <c r="BS40" s="248">
        <v>0.20887600000000001</v>
      </c>
      <c r="BT40" s="632">
        <v>6.4727158000000003E-12</v>
      </c>
      <c r="BU40" s="638">
        <v>9.7926326936641646E-9</v>
      </c>
      <c r="BV40" s="664">
        <v>4.4181020000000001E-2</v>
      </c>
      <c r="BW40" s="633">
        <v>1.2165047E-3</v>
      </c>
      <c r="BX40" s="633">
        <v>4.6681509999999997E-3</v>
      </c>
      <c r="BY40" s="633">
        <v>0.15635784</v>
      </c>
      <c r="BZ40" s="620"/>
      <c r="CA40" s="697"/>
      <c r="CB40" s="620"/>
      <c r="CC40" s="141"/>
      <c r="CD40" s="122">
        <v>3</v>
      </c>
      <c r="CE40" s="119">
        <v>0.20887600000000001</v>
      </c>
      <c r="CF40" s="120">
        <v>6.4727158000000003E-12</v>
      </c>
      <c r="CG40" s="660">
        <v>1E-8</v>
      </c>
      <c r="CH40" s="693">
        <v>2.2090510000000001E-2</v>
      </c>
      <c r="CI40" s="121">
        <v>1.2165047E-3</v>
      </c>
      <c r="CJ40" s="121">
        <v>4.6681509999999997E-3</v>
      </c>
      <c r="CK40" s="121">
        <v>0.15635784</v>
      </c>
      <c r="CL40" s="620"/>
      <c r="CM40" s="141"/>
      <c r="CN40" s="122">
        <v>3</v>
      </c>
      <c r="CO40" s="119">
        <v>0.20887600000000001</v>
      </c>
      <c r="CP40" s="120">
        <v>6.4727158000000003E-12</v>
      </c>
      <c r="CQ40" s="660">
        <v>1.3329955747642645E-8</v>
      </c>
      <c r="CR40" s="693">
        <v>2.2090510000000001E-2</v>
      </c>
      <c r="CS40" s="121">
        <v>1.2165047E-3</v>
      </c>
      <c r="CT40" s="121">
        <v>4.6681509999999997E-3</v>
      </c>
      <c r="CU40" s="121">
        <v>0.15635784</v>
      </c>
      <c r="CV40" s="141"/>
      <c r="CW40" s="141"/>
      <c r="CX40" s="141"/>
      <c r="CY40" s="141"/>
      <c r="CZ40" s="141"/>
      <c r="DA40" s="141"/>
      <c r="DB40" s="141"/>
      <c r="DC40" s="141"/>
      <c r="DD40" s="141"/>
      <c r="DE40" s="141"/>
      <c r="DF40" s="141"/>
      <c r="DG40" s="141"/>
      <c r="DH40" s="141"/>
      <c r="DI40" s="141"/>
      <c r="DJ40" s="622"/>
      <c r="DK40" s="615"/>
      <c r="DL40" s="625">
        <f>(2*PI()*0.2*SUMPRODUCT($DK9:$DK39,DL9:DL39))/(2*PI()*0.2*SUM($DK9:$DK39))</f>
        <v>4.8791340494623648E-9</v>
      </c>
      <c r="DM40" s="630">
        <f>(2*PI()*0.2*SUMPRODUCT($DK9:$DK39,DM9:DM39))/(2*PI()*0.2*SUM($DK9:$DK39))</f>
        <v>3.1112205377419343E-2</v>
      </c>
      <c r="DN40" s="625">
        <f>(2*PI()*0.2*SUMPRODUCT($DK9:$DK39,DN9:DN39))/(2*PI()*0.2*SUM($DK9:$DK39))</f>
        <v>4.1944444444444445E-9</v>
      </c>
      <c r="DO40" s="625">
        <f>(2*PI()*0.2*SUMPRODUCT($DK9:$DK39,DO9:DO39))/(2*PI()*0.2*SUM($DK9:$DK39))</f>
        <v>4.4166666666666682E-9</v>
      </c>
      <c r="DP40" s="630">
        <f>(2*PI()*0.2*SUMPRODUCT($DK9:$DK39,DP9:DP39))/(2*PI()*0.2*SUM($DK9:$DK39))</f>
        <v>6.2224410754838685E-2</v>
      </c>
      <c r="DQ40" s="615"/>
      <c r="DR40" s="615"/>
    </row>
    <row r="41" spans="2:122">
      <c r="C41"/>
      <c r="D41" s="124"/>
      <c r="J41" s="579">
        <f>C46-C45</f>
        <v>0.19999999999999973</v>
      </c>
      <c r="K41" s="617"/>
      <c r="L41" s="36"/>
      <c r="M41" s="36"/>
      <c r="N41" s="36"/>
      <c r="O41" s="101"/>
      <c r="P41" s="102"/>
      <c r="Q41" s="103"/>
      <c r="R41" s="36"/>
      <c r="S41" s="36"/>
      <c r="T41" s="36"/>
      <c r="U41" s="642"/>
      <c r="W41" s="118">
        <v>4.5</v>
      </c>
      <c r="X41" s="119">
        <v>0.21449799999999999</v>
      </c>
      <c r="Y41" s="120">
        <v>2.1464797000000002E-12</v>
      </c>
      <c r="Z41" s="639">
        <v>1.0000000000000001E-9</v>
      </c>
      <c r="AA41" s="640">
        <v>4.3444313999999998E-2</v>
      </c>
      <c r="AB41" s="121">
        <v>2.9106054999999999E-3</v>
      </c>
      <c r="AC41" s="121">
        <v>2.0779548000000002E-3</v>
      </c>
      <c r="AD41" s="121">
        <v>0.23323099</v>
      </c>
      <c r="AF41" s="113"/>
      <c r="AG41" s="118">
        <v>4.5</v>
      </c>
      <c r="AH41" s="119">
        <v>0.21449799999999999</v>
      </c>
      <c r="AI41" s="120">
        <v>2.1464797000000002E-12</v>
      </c>
      <c r="AJ41" s="533">
        <v>1.0042885574607109E-9</v>
      </c>
      <c r="AK41" s="534">
        <v>4.3444313999999998E-2</v>
      </c>
      <c r="AL41" s="121">
        <v>2.9106054999999999E-3</v>
      </c>
      <c r="AM41" s="121">
        <v>2.0779548000000002E-3</v>
      </c>
      <c r="AN41" s="121">
        <v>0.23323099</v>
      </c>
      <c r="BD41" s="656"/>
      <c r="BF41" s="122">
        <v>3.2</v>
      </c>
      <c r="BG41" s="119">
        <v>0.222801</v>
      </c>
      <c r="BH41" s="120">
        <v>4.7216962000000002E-12</v>
      </c>
      <c r="BI41" s="660">
        <v>6.9999999999999998E-9</v>
      </c>
      <c r="BJ41" s="661">
        <v>5.1539613999999997E-2</v>
      </c>
      <c r="BK41" s="121">
        <v>1.4025865000000001E-3</v>
      </c>
      <c r="BL41" s="121">
        <v>4.7942108000000004E-3</v>
      </c>
      <c r="BM41" s="121">
        <v>0.18240010000000001</v>
      </c>
      <c r="BN41" s="675">
        <v>3.4999999999999999E-9</v>
      </c>
      <c r="BO41" s="676">
        <v>0.10307922799999999</v>
      </c>
      <c r="BP41" s="141"/>
      <c r="BQ41" s="622"/>
      <c r="BR41" s="631">
        <v>3.2</v>
      </c>
      <c r="BS41" s="248">
        <v>0.222801</v>
      </c>
      <c r="BT41" s="632">
        <v>4.7216962000000002E-12</v>
      </c>
      <c r="BU41" s="638">
        <v>7.6351598901206146E-9</v>
      </c>
      <c r="BV41" s="664">
        <v>5.1539613999999997E-2</v>
      </c>
      <c r="BW41" s="633">
        <v>1.4025865000000001E-3</v>
      </c>
      <c r="BX41" s="633">
        <v>4.7942108000000004E-3</v>
      </c>
      <c r="BY41" s="633">
        <v>0.18240010000000001</v>
      </c>
      <c r="BZ41" s="620"/>
      <c r="CA41" s="697"/>
      <c r="CB41" s="620"/>
      <c r="CC41" s="141"/>
      <c r="CD41" s="122">
        <v>3.2</v>
      </c>
      <c r="CE41" s="119">
        <v>0.222801</v>
      </c>
      <c r="CF41" s="120">
        <v>4.7216962000000002E-12</v>
      </c>
      <c r="CG41" s="660">
        <v>1E-8</v>
      </c>
      <c r="CH41" s="693">
        <v>2.5769806999999999E-2</v>
      </c>
      <c r="CI41" s="121">
        <v>1.4025865000000001E-3</v>
      </c>
      <c r="CJ41" s="121">
        <v>4.7942108000000004E-3</v>
      </c>
      <c r="CK41" s="121">
        <v>0.18240010000000001</v>
      </c>
      <c r="CL41" s="620"/>
      <c r="CM41" s="141"/>
      <c r="CN41" s="122">
        <v>3.2</v>
      </c>
      <c r="CO41" s="119">
        <v>0.222801</v>
      </c>
      <c r="CP41" s="120">
        <v>4.7216962000000002E-12</v>
      </c>
      <c r="CQ41" s="660">
        <v>1.1017136994330498E-8</v>
      </c>
      <c r="CR41" s="693">
        <v>2.5769806999999999E-2</v>
      </c>
      <c r="CS41" s="121">
        <v>1.4025865000000001E-3</v>
      </c>
      <c r="CT41" s="121">
        <v>4.7942108000000004E-3</v>
      </c>
      <c r="CU41" s="121">
        <v>0.18240010000000001</v>
      </c>
      <c r="CV41" s="141"/>
      <c r="CW41" s="141"/>
      <c r="CX41" s="141"/>
      <c r="CY41" s="141"/>
      <c r="CZ41" s="141"/>
      <c r="DA41" s="141"/>
      <c r="DB41" s="141"/>
      <c r="DC41" s="141"/>
      <c r="DD41" s="141"/>
      <c r="DE41" s="141"/>
      <c r="DF41" s="141"/>
      <c r="DG41" s="141"/>
      <c r="DH41" s="141"/>
      <c r="DI41" s="141"/>
      <c r="DJ41" s="622"/>
      <c r="DK41" s="615"/>
      <c r="DL41" s="615"/>
      <c r="DM41" s="615"/>
      <c r="DN41" s="615"/>
      <c r="DO41" s="615"/>
      <c r="DP41" s="615"/>
      <c r="DQ41" s="615"/>
      <c r="DR41" s="615"/>
    </row>
    <row r="42" spans="2:122">
      <c r="C42" s="36" t="s">
        <v>616</v>
      </c>
      <c r="D42"/>
      <c r="L42" s="36"/>
      <c r="M42" s="36"/>
      <c r="N42" s="36"/>
      <c r="O42" s="101"/>
      <c r="P42" s="102"/>
      <c r="Q42" s="103"/>
      <c r="R42" s="36"/>
      <c r="S42" s="36"/>
      <c r="T42" s="36"/>
      <c r="U42" s="642"/>
      <c r="W42" s="118">
        <v>4.8</v>
      </c>
      <c r="X42" s="119">
        <v>0.228798</v>
      </c>
      <c r="Y42" s="120">
        <v>1.7036882E-12</v>
      </c>
      <c r="Z42" s="639">
        <v>1.0000000000000001E-9</v>
      </c>
      <c r="AA42" s="640">
        <v>4.4862876000000003E-2</v>
      </c>
      <c r="AB42" s="121">
        <v>3.0266531999999999E-3</v>
      </c>
      <c r="AC42" s="121">
        <v>2.0556111999999998E-3</v>
      </c>
      <c r="AD42" s="121">
        <v>0.23128235999999999</v>
      </c>
      <c r="AF42" s="113"/>
      <c r="AG42" s="118">
        <v>4.8</v>
      </c>
      <c r="AH42" s="119">
        <v>0.228798</v>
      </c>
      <c r="AI42" s="120">
        <v>1.7036882E-12</v>
      </c>
      <c r="AJ42" s="533">
        <v>8.2251675413300056E-10</v>
      </c>
      <c r="AK42" s="534">
        <v>4.4862876000000003E-2</v>
      </c>
      <c r="AL42" s="121">
        <v>3.0266531999999999E-3</v>
      </c>
      <c r="AM42" s="121">
        <v>2.0556111999999998E-3</v>
      </c>
      <c r="AN42" s="121">
        <v>0.23128235999999999</v>
      </c>
      <c r="BD42" s="656"/>
      <c r="BF42" s="122">
        <v>3.4</v>
      </c>
      <c r="BG42" s="119">
        <v>0.23672599999999999</v>
      </c>
      <c r="BH42" s="120">
        <v>5.0607030000000002E-12</v>
      </c>
      <c r="BI42" s="660">
        <v>6.9999999999999998E-9</v>
      </c>
      <c r="BJ42" s="661">
        <v>5.8143052000000001E-2</v>
      </c>
      <c r="BK42" s="121">
        <v>1.5205151999999999E-3</v>
      </c>
      <c r="BL42" s="121">
        <v>4.9754214E-3</v>
      </c>
      <c r="BM42" s="121">
        <v>0.20576985</v>
      </c>
      <c r="BN42" s="675">
        <v>3.4999999999999999E-9</v>
      </c>
      <c r="BO42" s="676">
        <v>0.116286104</v>
      </c>
      <c r="BP42" s="676"/>
      <c r="BQ42" s="622"/>
      <c r="BR42" s="631">
        <v>3.4</v>
      </c>
      <c r="BS42" s="248">
        <v>0.23672599999999999</v>
      </c>
      <c r="BT42" s="632">
        <v>5.0607030000000002E-12</v>
      </c>
      <c r="BU42" s="638">
        <v>7.3864309629622593E-9</v>
      </c>
      <c r="BV42" s="664">
        <v>5.8143052000000001E-2</v>
      </c>
      <c r="BW42" s="633">
        <v>1.5205151999999999E-3</v>
      </c>
      <c r="BX42" s="633">
        <v>4.9754214E-3</v>
      </c>
      <c r="BY42" s="633">
        <v>0.20576985</v>
      </c>
      <c r="BZ42" s="620"/>
      <c r="CA42" s="697"/>
      <c r="CB42" s="620"/>
      <c r="CC42" s="676"/>
      <c r="CD42" s="122">
        <v>3.4</v>
      </c>
      <c r="CE42" s="119">
        <v>0.23672599999999999</v>
      </c>
      <c r="CF42" s="120">
        <v>5.0607030000000002E-12</v>
      </c>
      <c r="CG42" s="660">
        <v>1E-8</v>
      </c>
      <c r="CH42" s="693">
        <v>2.9071526E-2</v>
      </c>
      <c r="CI42" s="121">
        <v>1.5205151999999999E-3</v>
      </c>
      <c r="CJ42" s="121">
        <v>4.9754214E-3</v>
      </c>
      <c r="CK42" s="121">
        <v>0.20576985</v>
      </c>
      <c r="CL42" s="620"/>
      <c r="CM42" s="676"/>
      <c r="CN42" s="122">
        <v>3.4</v>
      </c>
      <c r="CO42" s="119">
        <v>0.23672599999999999</v>
      </c>
      <c r="CP42" s="120">
        <v>5.0607030000000002E-12</v>
      </c>
      <c r="CQ42" s="660">
        <v>1.060736863463928E-8</v>
      </c>
      <c r="CR42" s="693">
        <v>2.9071526E-2</v>
      </c>
      <c r="CS42" s="121">
        <v>1.5205151999999999E-3</v>
      </c>
      <c r="CT42" s="121">
        <v>4.9754214E-3</v>
      </c>
      <c r="CU42" s="121">
        <v>0.20576985</v>
      </c>
      <c r="CV42" s="141"/>
      <c r="CW42" s="141"/>
      <c r="CX42" s="141"/>
      <c r="CY42" s="141"/>
      <c r="CZ42" s="141"/>
      <c r="DA42" s="141"/>
      <c r="DB42" s="141"/>
      <c r="DC42" s="141"/>
      <c r="DD42" s="141"/>
      <c r="DE42" s="141"/>
      <c r="DF42" s="141"/>
      <c r="DG42" s="141"/>
      <c r="DH42" s="141"/>
      <c r="DI42" s="141"/>
    </row>
    <row r="43" spans="2:122">
      <c r="C43" s="115" t="s">
        <v>168</v>
      </c>
      <c r="D43" s="112"/>
      <c r="E43" s="112"/>
      <c r="F43" s="112"/>
      <c r="G43" s="112"/>
      <c r="H43" s="112"/>
      <c r="I43" s="112"/>
      <c r="J43" s="112"/>
      <c r="K43" s="621"/>
      <c r="L43" s="36"/>
      <c r="M43" s="36"/>
      <c r="N43" s="36"/>
      <c r="O43" s="101"/>
      <c r="P43" s="102"/>
      <c r="Q43" s="103"/>
      <c r="R43" s="36"/>
      <c r="S43" s="36"/>
      <c r="T43" s="36"/>
      <c r="U43" s="642"/>
      <c r="W43" s="118">
        <v>5.0999999999999996</v>
      </c>
      <c r="X43" s="119">
        <v>0.24309800000000001</v>
      </c>
      <c r="Y43" s="120">
        <v>1.6154852999999999E-12</v>
      </c>
      <c r="Z43" s="639">
        <v>1.0000000000000001E-9</v>
      </c>
      <c r="AA43" s="640">
        <v>4.5615004000000001E-2</v>
      </c>
      <c r="AB43" s="121">
        <v>3.0826342E-3</v>
      </c>
      <c r="AC43" s="121">
        <v>2.0481634000000001E-3</v>
      </c>
      <c r="AD43" s="121">
        <v>0.23103845000000001</v>
      </c>
      <c r="AF43" s="113"/>
      <c r="AG43" s="118">
        <v>5.0999999999999996</v>
      </c>
      <c r="AH43" s="119">
        <v>0.24309800000000001</v>
      </c>
      <c r="AI43" s="120">
        <v>1.6154852999999999E-12</v>
      </c>
      <c r="AJ43" s="533">
        <v>7.7618887436378875E-10</v>
      </c>
      <c r="AK43" s="534">
        <v>4.5615004000000001E-2</v>
      </c>
      <c r="AL43" s="121">
        <v>3.0826342E-3</v>
      </c>
      <c r="AM43" s="121">
        <v>2.0481634000000001E-3</v>
      </c>
      <c r="AN43" s="121">
        <v>0.23103845000000001</v>
      </c>
      <c r="BD43" s="656"/>
      <c r="BF43" s="122">
        <v>3.6</v>
      </c>
      <c r="BG43" s="119">
        <v>0.25065100000000001</v>
      </c>
      <c r="BH43" s="120">
        <v>3.5196561000000001E-12</v>
      </c>
      <c r="BI43" s="660">
        <v>6.9999999999999998E-9</v>
      </c>
      <c r="BJ43" s="661">
        <v>6.2181743999999997E-2</v>
      </c>
      <c r="BK43" s="121">
        <v>1.5961043E-3</v>
      </c>
      <c r="BL43" s="121">
        <v>5.0345119999999997E-3</v>
      </c>
      <c r="BM43" s="121">
        <v>0.22006289000000001</v>
      </c>
      <c r="BN43" s="675">
        <v>3.4999999999999999E-9</v>
      </c>
      <c r="BO43" s="676">
        <v>0.12436348799999999</v>
      </c>
      <c r="BP43" s="676"/>
      <c r="BQ43" s="622"/>
      <c r="BR43" s="631">
        <v>3.6</v>
      </c>
      <c r="BS43" s="248">
        <v>0.25065100000000001</v>
      </c>
      <c r="BT43" s="632">
        <v>3.5196561000000001E-12</v>
      </c>
      <c r="BU43" s="638">
        <v>6.0477259970668872E-9</v>
      </c>
      <c r="BV43" s="664">
        <v>6.2181743999999997E-2</v>
      </c>
      <c r="BW43" s="633">
        <v>1.5961043E-3</v>
      </c>
      <c r="BX43" s="633">
        <v>5.0345119999999997E-3</v>
      </c>
      <c r="BY43" s="633">
        <v>0.22006289000000001</v>
      </c>
      <c r="BZ43" s="620"/>
      <c r="CA43" s="697"/>
      <c r="CB43" s="620"/>
      <c r="CC43" s="676"/>
      <c r="CD43" s="122">
        <v>3.6</v>
      </c>
      <c r="CE43" s="119">
        <v>0.25065100000000001</v>
      </c>
      <c r="CF43" s="120">
        <v>3.5196561000000001E-12</v>
      </c>
      <c r="CG43" s="660">
        <v>1E-8</v>
      </c>
      <c r="CH43" s="693">
        <v>3.1090871999999999E-2</v>
      </c>
      <c r="CI43" s="121">
        <v>1.5961043E-3</v>
      </c>
      <c r="CJ43" s="121">
        <v>5.0345119999999997E-3</v>
      </c>
      <c r="CK43" s="121">
        <v>0.22006289000000001</v>
      </c>
      <c r="CL43" s="620"/>
      <c r="CM43" s="676"/>
      <c r="CN43" s="122">
        <v>3.6</v>
      </c>
      <c r="CO43" s="119">
        <v>0.25065100000000001</v>
      </c>
      <c r="CP43" s="120">
        <v>3.5196561000000001E-12</v>
      </c>
      <c r="CQ43" s="660">
        <v>9.1038103889415654E-9</v>
      </c>
      <c r="CR43" s="693">
        <v>3.1090871999999999E-2</v>
      </c>
      <c r="CS43" s="121">
        <v>1.5961043E-3</v>
      </c>
      <c r="CT43" s="121">
        <v>5.0345119999999997E-3</v>
      </c>
      <c r="CU43" s="121">
        <v>0.22006289000000001</v>
      </c>
      <c r="CV43" s="141"/>
      <c r="CW43" s="141"/>
      <c r="CX43" s="141"/>
      <c r="CY43" s="141"/>
      <c r="CZ43" s="141"/>
      <c r="DA43" s="141"/>
      <c r="DB43" s="141"/>
      <c r="DC43" s="141"/>
      <c r="DD43" s="141"/>
      <c r="DE43" s="141"/>
      <c r="DF43" s="141"/>
      <c r="DG43" s="141"/>
      <c r="DH43" s="141"/>
      <c r="DI43" s="141"/>
    </row>
    <row r="44" spans="2:122">
      <c r="C44" s="117" t="s">
        <v>169</v>
      </c>
      <c r="D44" s="117" t="s">
        <v>170</v>
      </c>
      <c r="E44" s="117" t="s">
        <v>58</v>
      </c>
      <c r="F44" s="117" t="s">
        <v>171</v>
      </c>
      <c r="G44" s="117" t="s">
        <v>172</v>
      </c>
      <c r="H44" s="117" t="s">
        <v>173</v>
      </c>
      <c r="I44" s="117" t="s">
        <v>174</v>
      </c>
      <c r="J44" s="117" t="s">
        <v>175</v>
      </c>
      <c r="K44" s="619"/>
      <c r="L44" s="36"/>
      <c r="M44" s="36"/>
      <c r="N44" s="36"/>
      <c r="O44" s="101"/>
      <c r="P44" s="102"/>
      <c r="Q44" s="103"/>
      <c r="R44" s="36"/>
      <c r="S44" s="36"/>
      <c r="T44" s="36"/>
      <c r="U44" s="642"/>
      <c r="W44" s="118">
        <v>5.4</v>
      </c>
      <c r="X44" s="119">
        <v>0.25739800000000002</v>
      </c>
      <c r="Y44" s="120">
        <v>1.9128573E-12</v>
      </c>
      <c r="Z44" s="639">
        <v>1.0000000000000001E-9</v>
      </c>
      <c r="AA44" s="640">
        <v>4.5700699999999997E-2</v>
      </c>
      <c r="AB44" s="121">
        <v>3.0785483000000001E-3</v>
      </c>
      <c r="AC44" s="121">
        <v>2.0556111999999998E-3</v>
      </c>
      <c r="AD44" s="121">
        <v>0.23285935999999999</v>
      </c>
      <c r="AF44" s="113"/>
      <c r="AG44" s="118">
        <v>5.4</v>
      </c>
      <c r="AH44" s="119">
        <v>0.25739800000000002</v>
      </c>
      <c r="AI44" s="120">
        <v>1.9128573E-12</v>
      </c>
      <c r="AJ44" s="533">
        <v>8.6581598721015041E-10</v>
      </c>
      <c r="AK44" s="534">
        <v>4.5700699999999997E-2</v>
      </c>
      <c r="AL44" s="121">
        <v>3.0785483000000001E-3</v>
      </c>
      <c r="AM44" s="121">
        <v>2.0556111999999998E-3</v>
      </c>
      <c r="AN44" s="121">
        <v>0.23285935999999999</v>
      </c>
      <c r="BD44" s="656"/>
      <c r="BF44" s="122">
        <v>3.8</v>
      </c>
      <c r="BG44" s="119">
        <v>0.26457599999999998</v>
      </c>
      <c r="BH44" s="120">
        <v>3.3005912000000001E-12</v>
      </c>
      <c r="BI44" s="660">
        <v>6.9999999999999998E-9</v>
      </c>
      <c r="BJ44" s="661">
        <v>6.5714702E-2</v>
      </c>
      <c r="BK44" s="121">
        <v>1.6612665E-3</v>
      </c>
      <c r="BL44" s="121">
        <v>5.0905721999999999E-3</v>
      </c>
      <c r="BM44" s="121">
        <v>0.23256613000000001</v>
      </c>
      <c r="BN44" s="675">
        <v>3.4999999999999999E-9</v>
      </c>
      <c r="BO44" s="676">
        <v>0.131429404</v>
      </c>
      <c r="BP44" s="676"/>
      <c r="BQ44" s="622"/>
      <c r="BR44" s="631">
        <v>3.8</v>
      </c>
      <c r="BS44" s="248">
        <v>0.26457599999999998</v>
      </c>
      <c r="BT44" s="632">
        <v>3.3005912000000001E-12</v>
      </c>
      <c r="BU44" s="638">
        <v>5.6111867103405225E-9</v>
      </c>
      <c r="BV44" s="664">
        <v>6.5714702E-2</v>
      </c>
      <c r="BW44" s="633">
        <v>1.6612665E-3</v>
      </c>
      <c r="BX44" s="633">
        <v>5.0905721999999999E-3</v>
      </c>
      <c r="BY44" s="633">
        <v>0.23256613000000001</v>
      </c>
      <c r="BZ44" s="620"/>
      <c r="CA44" s="697"/>
      <c r="CB44" s="620"/>
      <c r="CC44" s="676"/>
      <c r="CD44" s="122">
        <v>3.8</v>
      </c>
      <c r="CE44" s="119">
        <v>0.26457599999999998</v>
      </c>
      <c r="CF44" s="120">
        <v>3.3005912000000001E-12</v>
      </c>
      <c r="CG44" s="660">
        <v>1E-8</v>
      </c>
      <c r="CH44" s="693">
        <v>3.2857351E-2</v>
      </c>
      <c r="CI44" s="121">
        <v>1.6612665E-3</v>
      </c>
      <c r="CJ44" s="121">
        <v>5.0905721999999999E-3</v>
      </c>
      <c r="CK44" s="121">
        <v>0.23256613000000001</v>
      </c>
      <c r="CL44" s="620"/>
      <c r="CM44" s="676"/>
      <c r="CN44" s="122">
        <v>3.8</v>
      </c>
      <c r="CO44" s="119">
        <v>0.26457599999999998</v>
      </c>
      <c r="CP44" s="120">
        <v>3.3005912000000001E-12</v>
      </c>
      <c r="CQ44" s="660">
        <v>8.5004296476597461E-9</v>
      </c>
      <c r="CR44" s="693">
        <v>3.2857351E-2</v>
      </c>
      <c r="CS44" s="121">
        <v>1.6612665E-3</v>
      </c>
      <c r="CT44" s="121">
        <v>5.0905721999999999E-3</v>
      </c>
      <c r="CU44" s="121">
        <v>0.23256613000000001</v>
      </c>
      <c r="CV44" s="141"/>
      <c r="CW44" s="141"/>
      <c r="CX44" s="141"/>
      <c r="CY44" s="141"/>
      <c r="CZ44" s="141"/>
      <c r="DA44" s="141"/>
      <c r="DB44" s="141"/>
      <c r="DC44" s="141"/>
      <c r="DD44" s="141"/>
      <c r="DE44" s="141"/>
      <c r="DF44" s="141"/>
      <c r="DG44" s="141"/>
      <c r="DH44" s="141"/>
      <c r="DI44" s="141"/>
    </row>
    <row r="45" spans="2:122">
      <c r="C45" s="122">
        <v>2.6</v>
      </c>
      <c r="D45" s="119">
        <v>0.18102599999999999</v>
      </c>
      <c r="E45" s="120">
        <v>9.2359934999999993E-12</v>
      </c>
      <c r="F45" s="120">
        <v>1.3656531999999999E-8</v>
      </c>
      <c r="G45" s="121">
        <v>1.3935009999999999E-2</v>
      </c>
      <c r="H45" s="121">
        <v>6.7630594000000002E-4</v>
      </c>
      <c r="I45" s="121">
        <v>4.5854240000000003E-3</v>
      </c>
      <c r="J45" s="121">
        <v>9.8632760999999999E-2</v>
      </c>
      <c r="K45" s="620"/>
      <c r="L45" s="36"/>
      <c r="M45" s="36"/>
      <c r="N45" s="36"/>
      <c r="O45" s="101"/>
      <c r="P45" s="102"/>
      <c r="Q45" s="103"/>
      <c r="R45" s="36"/>
      <c r="S45" s="36"/>
      <c r="T45" s="36"/>
      <c r="U45" s="642"/>
      <c r="W45" s="118">
        <v>5.7</v>
      </c>
      <c r="X45" s="119">
        <v>0.271698</v>
      </c>
      <c r="Y45" s="120">
        <v>2.2035513000000002E-12</v>
      </c>
      <c r="Z45" s="639">
        <v>1.0000000000000001E-9</v>
      </c>
      <c r="AA45" s="640">
        <v>4.5761848000000001E-2</v>
      </c>
      <c r="AB45" s="121">
        <v>3.0827988000000001E-3</v>
      </c>
      <c r="AC45" s="121">
        <v>2.0556111999999998E-3</v>
      </c>
      <c r="AD45" s="121">
        <v>0.23450229</v>
      </c>
      <c r="AF45" s="113"/>
      <c r="AG45" s="118">
        <v>5.7</v>
      </c>
      <c r="AH45" s="119">
        <v>0.271698</v>
      </c>
      <c r="AI45" s="120">
        <v>2.2035513000000002E-12</v>
      </c>
      <c r="AJ45" s="533">
        <v>9.5153963293064157E-10</v>
      </c>
      <c r="AK45" s="534">
        <v>4.5761848000000001E-2</v>
      </c>
      <c r="AL45" s="121">
        <v>3.0827988000000001E-3</v>
      </c>
      <c r="AM45" s="121">
        <v>2.0556111999999998E-3</v>
      </c>
      <c r="AN45" s="121">
        <v>0.23450229</v>
      </c>
      <c r="BD45" s="656"/>
      <c r="BF45" s="122">
        <v>4</v>
      </c>
      <c r="BG45" s="119">
        <v>0.278501</v>
      </c>
      <c r="BH45" s="120">
        <v>2.9093909000000001E-12</v>
      </c>
      <c r="BI45" s="660">
        <v>5.0000000000000001E-9</v>
      </c>
      <c r="BJ45" s="661">
        <v>6.8741936000000003E-2</v>
      </c>
      <c r="BK45" s="121">
        <v>1.7160019000000001E-3</v>
      </c>
      <c r="BL45" s="121">
        <v>5.1436023000000003E-3</v>
      </c>
      <c r="BM45" s="121">
        <v>0.24327958999999999</v>
      </c>
      <c r="BN45" s="675">
        <v>2.5000000000000001E-9</v>
      </c>
      <c r="BO45" s="676">
        <v>0.13748387200000001</v>
      </c>
      <c r="BP45" s="676"/>
      <c r="BQ45" s="622"/>
      <c r="BR45" s="631">
        <v>4</v>
      </c>
      <c r="BS45" s="248">
        <v>0.278501</v>
      </c>
      <c r="BT45" s="632">
        <v>2.9093909000000001E-12</v>
      </c>
      <c r="BU45" s="638">
        <v>5.1013398061277081E-9</v>
      </c>
      <c r="BV45" s="664">
        <v>6.8741936000000003E-2</v>
      </c>
      <c r="BW45" s="633">
        <v>1.7160019000000001E-3</v>
      </c>
      <c r="BX45" s="633">
        <v>5.1436023000000003E-3</v>
      </c>
      <c r="BY45" s="633">
        <v>0.24327958999999999</v>
      </c>
      <c r="BZ45" s="620"/>
      <c r="CA45" s="697"/>
      <c r="CB45" s="620"/>
      <c r="CC45" s="676"/>
      <c r="CD45" s="122">
        <v>4</v>
      </c>
      <c r="CE45" s="119">
        <v>0.278501</v>
      </c>
      <c r="CF45" s="120">
        <v>2.9093909000000001E-12</v>
      </c>
      <c r="CG45" s="660">
        <v>8.0000000000000005E-9</v>
      </c>
      <c r="CH45" s="693">
        <v>3.4370968000000002E-2</v>
      </c>
      <c r="CI45" s="121">
        <v>1.7160019000000001E-3</v>
      </c>
      <c r="CJ45" s="121">
        <v>5.1436023000000003E-3</v>
      </c>
      <c r="CK45" s="121">
        <v>0.24327958999999999</v>
      </c>
      <c r="CL45" s="620"/>
      <c r="CM45" s="676"/>
      <c r="CN45" s="122">
        <v>4</v>
      </c>
      <c r="CO45" s="119">
        <v>0.278501</v>
      </c>
      <c r="CP45" s="120">
        <v>2.9093909000000001E-12</v>
      </c>
      <c r="CQ45" s="660">
        <v>7.8234928225783067E-9</v>
      </c>
      <c r="CR45" s="693">
        <v>3.4370968000000002E-2</v>
      </c>
      <c r="CS45" s="121">
        <v>1.7160019000000001E-3</v>
      </c>
      <c r="CT45" s="121">
        <v>5.1436023000000003E-3</v>
      </c>
      <c r="CU45" s="121">
        <v>0.24327958999999999</v>
      </c>
      <c r="CV45" s="141"/>
      <c r="CW45" s="141"/>
      <c r="CX45" s="141"/>
      <c r="CY45" s="141"/>
      <c r="CZ45" s="141"/>
      <c r="DA45" s="141"/>
      <c r="DB45" s="141"/>
      <c r="DC45" s="141"/>
      <c r="DD45" s="141"/>
      <c r="DE45" s="141"/>
      <c r="DF45" s="141"/>
      <c r="DG45" s="141"/>
      <c r="DH45" s="141"/>
      <c r="DI45" s="141"/>
    </row>
    <row r="46" spans="2:122">
      <c r="C46" s="122">
        <v>2.8</v>
      </c>
      <c r="D46" s="119">
        <v>0.19495100000000001</v>
      </c>
      <c r="E46" s="120">
        <v>7.9808018000000003E-12</v>
      </c>
      <c r="F46" s="120">
        <v>8.2937252999999998E-9</v>
      </c>
      <c r="G46" s="121">
        <v>1.8033635999999999E-2</v>
      </c>
      <c r="H46" s="121">
        <v>9.6226985000000004E-4</v>
      </c>
      <c r="I46" s="121">
        <v>4.5972419999999996E-3</v>
      </c>
      <c r="J46" s="121">
        <v>0.12764306</v>
      </c>
      <c r="K46" s="620"/>
      <c r="L46" s="36"/>
      <c r="M46" s="36"/>
      <c r="N46" s="36"/>
      <c r="O46" s="101"/>
      <c r="P46" s="102"/>
      <c r="Q46" s="103"/>
      <c r="R46" s="36"/>
      <c r="S46" s="36"/>
      <c r="T46" s="36"/>
      <c r="U46" s="642"/>
      <c r="W46" s="118">
        <v>6</v>
      </c>
      <c r="X46" s="119">
        <v>0.285997</v>
      </c>
      <c r="Y46" s="120">
        <v>2.4651674999999999E-12</v>
      </c>
      <c r="Z46" s="639">
        <v>1.0000000000000001E-9</v>
      </c>
      <c r="AA46" s="640">
        <v>4.5584486E-2</v>
      </c>
      <c r="AB46" s="121">
        <v>3.0725844999999999E-3</v>
      </c>
      <c r="AC46" s="121">
        <v>2.0556111999999998E-3</v>
      </c>
      <c r="AD46" s="121">
        <v>0.23428544000000001</v>
      </c>
      <c r="AF46" s="113"/>
      <c r="AG46" s="118">
        <v>6</v>
      </c>
      <c r="AH46" s="119">
        <v>0.285997</v>
      </c>
      <c r="AI46" s="120">
        <v>2.4651674999999999E-12</v>
      </c>
      <c r="AJ46" s="533">
        <v>1.0314045836064571E-9</v>
      </c>
      <c r="AK46" s="534">
        <v>4.5584486E-2</v>
      </c>
      <c r="AL46" s="121">
        <v>3.0725844999999999E-3</v>
      </c>
      <c r="AM46" s="121">
        <v>2.0556111999999998E-3</v>
      </c>
      <c r="AN46" s="121">
        <v>0.23428544000000001</v>
      </c>
      <c r="BD46" s="656"/>
      <c r="BF46" s="122">
        <v>4.2</v>
      </c>
      <c r="BG46" s="119">
        <v>0.29242600000000002</v>
      </c>
      <c r="BH46" s="120">
        <v>2.41178E-12</v>
      </c>
      <c r="BI46" s="660">
        <v>5.0000000000000001E-9</v>
      </c>
      <c r="BJ46" s="661">
        <v>7.1263439999999997E-2</v>
      </c>
      <c r="BK46" s="121">
        <v>1.7603104999999999E-3</v>
      </c>
      <c r="BL46" s="121">
        <v>5.1936020999999999E-3</v>
      </c>
      <c r="BM46" s="121">
        <v>0.25220326999999998</v>
      </c>
      <c r="BN46" s="675">
        <v>2.5000000000000001E-9</v>
      </c>
      <c r="BO46" s="676">
        <v>0.14252687999999999</v>
      </c>
      <c r="BP46" s="676"/>
      <c r="BQ46" s="622"/>
      <c r="BR46" s="631">
        <v>4.2</v>
      </c>
      <c r="BS46" s="248">
        <v>0.29242600000000002</v>
      </c>
      <c r="BT46" s="632">
        <v>2.41178E-12</v>
      </c>
      <c r="BU46" s="638">
        <v>4.5592792626195478E-9</v>
      </c>
      <c r="BV46" s="664">
        <v>7.1263439999999997E-2</v>
      </c>
      <c r="BW46" s="633">
        <v>1.7603104999999999E-3</v>
      </c>
      <c r="BX46" s="633">
        <v>5.1936020999999999E-3</v>
      </c>
      <c r="BY46" s="633">
        <v>0.25220326999999998</v>
      </c>
      <c r="BZ46" s="620"/>
      <c r="CA46" s="697"/>
      <c r="CB46" s="620"/>
      <c r="CC46" s="676"/>
      <c r="CD46" s="122">
        <v>4.2</v>
      </c>
      <c r="CE46" s="119">
        <v>0.29242600000000002</v>
      </c>
      <c r="CF46" s="120">
        <v>2.41178E-12</v>
      </c>
      <c r="CG46" s="660">
        <v>8.0000000000000005E-9</v>
      </c>
      <c r="CH46" s="693">
        <v>3.5631719999999999E-2</v>
      </c>
      <c r="CI46" s="121">
        <v>1.7603104999999999E-3</v>
      </c>
      <c r="CJ46" s="121">
        <v>5.1936020999999999E-3</v>
      </c>
      <c r="CK46" s="121">
        <v>0.25220326999999998</v>
      </c>
      <c r="CL46" s="620"/>
      <c r="CM46" s="676"/>
      <c r="CN46" s="122">
        <v>4.2</v>
      </c>
      <c r="CO46" s="119">
        <v>0.29242600000000002</v>
      </c>
      <c r="CP46" s="120">
        <v>2.41178E-12</v>
      </c>
      <c r="CQ46" s="660">
        <v>7.1157197163874354E-9</v>
      </c>
      <c r="CR46" s="693">
        <v>3.5631719999999999E-2</v>
      </c>
      <c r="CS46" s="121">
        <v>1.7603104999999999E-3</v>
      </c>
      <c r="CT46" s="121">
        <v>5.1936020999999999E-3</v>
      </c>
      <c r="CU46" s="121">
        <v>0.25220326999999998</v>
      </c>
      <c r="CV46" s="141"/>
      <c r="CW46" s="141"/>
      <c r="CX46" s="141"/>
      <c r="CY46" s="141"/>
      <c r="CZ46" s="141"/>
      <c r="DA46" s="141"/>
      <c r="DB46" s="141"/>
      <c r="DC46" s="141"/>
      <c r="DD46" s="141"/>
      <c r="DE46" s="141"/>
      <c r="DF46" s="141"/>
      <c r="DG46" s="141"/>
      <c r="DH46" s="141"/>
      <c r="DI46" s="141"/>
    </row>
    <row r="47" spans="2:122">
      <c r="C47" s="122">
        <v>3</v>
      </c>
      <c r="D47" s="119">
        <v>0.20887600000000001</v>
      </c>
      <c r="E47" s="120">
        <v>6.4727158000000003E-12</v>
      </c>
      <c r="F47" s="120">
        <v>5.3207487000000003E-9</v>
      </c>
      <c r="G47" s="121">
        <v>2.2090510000000001E-2</v>
      </c>
      <c r="H47" s="121">
        <v>1.2165047E-3</v>
      </c>
      <c r="I47" s="121">
        <v>4.6681509999999997E-3</v>
      </c>
      <c r="J47" s="121">
        <v>0.15635784</v>
      </c>
      <c r="K47" s="620"/>
      <c r="L47" s="36"/>
      <c r="M47" s="36"/>
      <c r="N47" s="36"/>
      <c r="O47" s="101"/>
      <c r="P47" s="102"/>
      <c r="Q47" s="103"/>
      <c r="R47" s="36"/>
      <c r="S47" s="36"/>
      <c r="T47" s="36"/>
      <c r="U47" s="642"/>
      <c r="W47" s="118">
        <v>6.3</v>
      </c>
      <c r="X47" s="119">
        <v>0.30029699999999998</v>
      </c>
      <c r="Y47" s="120">
        <v>2.7023055999999999E-12</v>
      </c>
      <c r="Z47" s="639">
        <v>1.0000000000000001E-9</v>
      </c>
      <c r="AA47" s="640">
        <v>4.5468995999999998E-2</v>
      </c>
      <c r="AB47" s="121">
        <v>3.0682315E-3</v>
      </c>
      <c r="AC47" s="121">
        <v>2.0528183000000002E-3</v>
      </c>
      <c r="AD47" s="121">
        <v>0.23311818000000001</v>
      </c>
      <c r="AF47" s="113"/>
      <c r="AG47" s="118">
        <v>6.3</v>
      </c>
      <c r="AH47" s="119">
        <v>0.30029699999999998</v>
      </c>
      <c r="AI47" s="120">
        <v>2.7023055999999999E-12</v>
      </c>
      <c r="AJ47" s="533">
        <v>1.1023328998892169E-9</v>
      </c>
      <c r="AK47" s="534">
        <v>4.5468995999999998E-2</v>
      </c>
      <c r="AL47" s="121">
        <v>3.0682315E-3</v>
      </c>
      <c r="AM47" s="121">
        <v>2.0528183000000002E-3</v>
      </c>
      <c r="AN47" s="121">
        <v>0.23311818000000001</v>
      </c>
      <c r="BD47" s="656"/>
      <c r="BF47" s="122">
        <v>4.4000000000000004</v>
      </c>
      <c r="BG47" s="119">
        <v>0.30635099999999998</v>
      </c>
      <c r="BH47" s="120">
        <v>1.9626469999999998E-12</v>
      </c>
      <c r="BI47" s="660">
        <v>5.0000000000000001E-9</v>
      </c>
      <c r="BJ47" s="661">
        <v>7.3279211999999996E-2</v>
      </c>
      <c r="BK47" s="121">
        <v>1.7941921E-3</v>
      </c>
      <c r="BL47" s="121">
        <v>5.2405715E-3</v>
      </c>
      <c r="BM47" s="121">
        <v>0.25933713000000003</v>
      </c>
      <c r="BN47" s="675">
        <v>2.5000000000000001E-9</v>
      </c>
      <c r="BO47" s="676">
        <v>0.14655842399999999</v>
      </c>
      <c r="BP47" s="676"/>
      <c r="BQ47" s="622"/>
      <c r="BR47" s="631">
        <v>4.4000000000000004</v>
      </c>
      <c r="BS47" s="248">
        <v>0.30635099999999998</v>
      </c>
      <c r="BT47" s="632">
        <v>1.9626469999999998E-12</v>
      </c>
      <c r="BU47" s="638">
        <v>4.0701271652858049E-9</v>
      </c>
      <c r="BV47" s="664">
        <v>7.3279211999999996E-2</v>
      </c>
      <c r="BW47" s="633">
        <v>1.7941921E-3</v>
      </c>
      <c r="BX47" s="633">
        <v>5.2405715E-3</v>
      </c>
      <c r="BY47" s="633">
        <v>0.25933713000000003</v>
      </c>
      <c r="BZ47" s="620"/>
      <c r="CA47" s="697"/>
      <c r="CB47" s="620"/>
      <c r="CC47" s="676"/>
      <c r="CD47" s="122">
        <v>4.4000000000000004</v>
      </c>
      <c r="CE47" s="119">
        <v>0.30635099999999998</v>
      </c>
      <c r="CF47" s="120">
        <v>1.9626469999999998E-12</v>
      </c>
      <c r="CG47" s="660">
        <v>8.0000000000000005E-9</v>
      </c>
      <c r="CH47" s="693">
        <v>3.6639605999999998E-2</v>
      </c>
      <c r="CI47" s="121">
        <v>1.7941921E-3</v>
      </c>
      <c r="CJ47" s="121">
        <v>5.2405715E-3</v>
      </c>
      <c r="CK47" s="121">
        <v>0.25933713000000003</v>
      </c>
      <c r="CL47" s="620"/>
      <c r="CM47" s="676"/>
      <c r="CN47" s="122">
        <v>4.4000000000000004</v>
      </c>
      <c r="CO47" s="119">
        <v>0.30635099999999998</v>
      </c>
      <c r="CP47" s="120">
        <v>1.9626469999999998E-12</v>
      </c>
      <c r="CQ47" s="660">
        <v>6.4637210563867132E-9</v>
      </c>
      <c r="CR47" s="693">
        <v>3.6639605999999998E-2</v>
      </c>
      <c r="CS47" s="121">
        <v>1.7941921E-3</v>
      </c>
      <c r="CT47" s="121">
        <v>5.2405715E-3</v>
      </c>
      <c r="CU47" s="121">
        <v>0.25933713000000003</v>
      </c>
      <c r="CV47" s="141"/>
      <c r="CW47" s="141"/>
      <c r="CX47" s="141"/>
      <c r="CY47" s="141"/>
      <c r="CZ47" s="141"/>
      <c r="DA47" s="141"/>
      <c r="DB47" s="141"/>
      <c r="DC47" s="141"/>
      <c r="DD47" s="141"/>
      <c r="DE47" s="141"/>
      <c r="DF47" s="141"/>
      <c r="DG47" s="141"/>
      <c r="DH47" s="141"/>
      <c r="DI47" s="141"/>
    </row>
    <row r="48" spans="2:122">
      <c r="C48" s="122">
        <v>3.2</v>
      </c>
      <c r="D48" s="119">
        <v>0.222801</v>
      </c>
      <c r="E48" s="120">
        <v>4.7216962000000002E-12</v>
      </c>
      <c r="F48" s="120">
        <v>3.3664205999999998E-9</v>
      </c>
      <c r="G48" s="121">
        <v>2.5769806999999999E-2</v>
      </c>
      <c r="H48" s="121">
        <v>1.4025865000000001E-3</v>
      </c>
      <c r="I48" s="121">
        <v>4.7942108000000004E-3</v>
      </c>
      <c r="J48" s="121">
        <v>0.18240010000000001</v>
      </c>
      <c r="K48" s="620"/>
      <c r="L48" s="36"/>
      <c r="M48" s="36"/>
      <c r="N48" s="36"/>
      <c r="O48" s="101"/>
      <c r="P48" s="102"/>
      <c r="Q48" s="103"/>
      <c r="R48" s="36"/>
      <c r="S48" s="36"/>
      <c r="T48" s="36"/>
      <c r="U48" s="642"/>
      <c r="W48" s="118">
        <v>6.6</v>
      </c>
      <c r="X48" s="119">
        <v>0.31459700000000002</v>
      </c>
      <c r="Y48" s="120">
        <v>2.7617551000000001E-12</v>
      </c>
      <c r="Z48" s="639">
        <v>1.0000000000000001E-9</v>
      </c>
      <c r="AA48" s="640">
        <v>4.5315246000000003E-2</v>
      </c>
      <c r="AB48" s="121">
        <v>3.0629644000000002E-3</v>
      </c>
      <c r="AC48" s="121">
        <v>2.0481634000000001E-3</v>
      </c>
      <c r="AD48" s="121">
        <v>0.23314329</v>
      </c>
      <c r="AF48" s="113"/>
      <c r="AG48" s="118">
        <v>6.6</v>
      </c>
      <c r="AH48" s="119">
        <v>0.31459700000000002</v>
      </c>
      <c r="AI48" s="120">
        <v>2.7617551000000001E-12</v>
      </c>
      <c r="AJ48" s="533">
        <v>1.1160043298018608E-9</v>
      </c>
      <c r="AK48" s="534">
        <v>4.5315246000000003E-2</v>
      </c>
      <c r="AL48" s="121">
        <v>3.0629644000000002E-3</v>
      </c>
      <c r="AM48" s="121">
        <v>2.0481634000000001E-3</v>
      </c>
      <c r="AN48" s="121">
        <v>0.23314329</v>
      </c>
      <c r="BD48" s="656"/>
      <c r="BF48" s="122">
        <v>4.5999999999999996</v>
      </c>
      <c r="BG48" s="119">
        <v>0.32027600000000001</v>
      </c>
      <c r="BH48" s="120">
        <v>2.0999273E-12</v>
      </c>
      <c r="BI48" s="660">
        <v>5.0000000000000001E-9</v>
      </c>
      <c r="BJ48" s="661">
        <v>7.4789253999999999E-2</v>
      </c>
      <c r="BK48" s="121">
        <v>1.8176468000000001E-3</v>
      </c>
      <c r="BL48" s="121">
        <v>5.2845106000000003E-3</v>
      </c>
      <c r="BM48" s="121">
        <v>0.26468121</v>
      </c>
      <c r="BN48" s="675">
        <v>2.5000000000000001E-9</v>
      </c>
      <c r="BO48" s="676">
        <v>0.149578508</v>
      </c>
      <c r="BP48" s="676"/>
      <c r="BQ48" s="622"/>
      <c r="BR48" s="631">
        <v>4.5999999999999996</v>
      </c>
      <c r="BS48" s="248">
        <v>0.32027600000000001</v>
      </c>
      <c r="BT48" s="632">
        <v>2.0999273E-12</v>
      </c>
      <c r="BU48" s="638">
        <v>3.9240761377370007E-9</v>
      </c>
      <c r="BV48" s="664">
        <v>7.4789253999999999E-2</v>
      </c>
      <c r="BW48" s="633">
        <v>1.8176468000000001E-3</v>
      </c>
      <c r="BX48" s="633">
        <v>5.2845106000000003E-3</v>
      </c>
      <c r="BY48" s="633">
        <v>0.26468121</v>
      </c>
      <c r="BZ48" s="620"/>
      <c r="CA48" s="697"/>
      <c r="CB48" s="620"/>
      <c r="CC48" s="676"/>
      <c r="CD48" s="122">
        <v>4.5999999999999996</v>
      </c>
      <c r="CE48" s="119">
        <v>0.32027600000000001</v>
      </c>
      <c r="CF48" s="120">
        <v>2.0999273E-12</v>
      </c>
      <c r="CG48" s="660">
        <v>8.0000000000000005E-9</v>
      </c>
      <c r="CH48" s="693">
        <v>3.7394627E-2</v>
      </c>
      <c r="CI48" s="121">
        <v>1.8176468000000001E-3</v>
      </c>
      <c r="CJ48" s="121">
        <v>5.2845106000000003E-3</v>
      </c>
      <c r="CK48" s="121">
        <v>0.26468121</v>
      </c>
      <c r="CL48" s="620"/>
      <c r="CM48" s="676"/>
      <c r="CN48" s="122">
        <v>4.5999999999999996</v>
      </c>
      <c r="CO48" s="119">
        <v>0.32027600000000001</v>
      </c>
      <c r="CP48" s="120">
        <v>2.0999273E-12</v>
      </c>
      <c r="CQ48" s="660">
        <v>6.159022596006471E-9</v>
      </c>
      <c r="CR48" s="693">
        <v>3.7394627E-2</v>
      </c>
      <c r="CS48" s="121">
        <v>1.8176468000000001E-3</v>
      </c>
      <c r="CT48" s="121">
        <v>5.2845106000000003E-3</v>
      </c>
      <c r="CU48" s="121">
        <v>0.26468121</v>
      </c>
      <c r="CV48" s="141"/>
      <c r="CW48" s="141"/>
      <c r="CX48" s="141"/>
      <c r="CY48" s="141"/>
      <c r="CZ48" s="141"/>
      <c r="DA48" s="141"/>
      <c r="DB48" s="141"/>
      <c r="DC48" s="141"/>
      <c r="DD48" s="141"/>
      <c r="DE48" s="141"/>
      <c r="DF48" s="141"/>
      <c r="DG48" s="141"/>
      <c r="DH48" s="141"/>
      <c r="DI48" s="141"/>
    </row>
    <row r="49" spans="3:113">
      <c r="C49" s="122">
        <v>3.4</v>
      </c>
      <c r="D49" s="119">
        <v>0.23672599999999999</v>
      </c>
      <c r="E49" s="120">
        <v>5.0607030000000002E-12</v>
      </c>
      <c r="F49" s="120">
        <v>3.3282817000000001E-9</v>
      </c>
      <c r="G49" s="121">
        <v>2.9071526E-2</v>
      </c>
      <c r="H49" s="121">
        <v>1.5205151999999999E-3</v>
      </c>
      <c r="I49" s="121">
        <v>4.9754214E-3</v>
      </c>
      <c r="J49" s="121">
        <v>0.20576985</v>
      </c>
      <c r="K49" s="620"/>
      <c r="L49" s="36"/>
      <c r="M49" s="36"/>
      <c r="N49" s="36"/>
      <c r="O49" s="101"/>
      <c r="P49" s="102"/>
      <c r="Q49" s="103"/>
      <c r="R49" s="36"/>
      <c r="S49" s="36"/>
      <c r="T49" s="36"/>
      <c r="U49" s="642"/>
      <c r="W49" s="118">
        <v>6.9</v>
      </c>
      <c r="X49" s="119">
        <v>0.32889699999999999</v>
      </c>
      <c r="Y49" s="120">
        <v>2.5268985E-12</v>
      </c>
      <c r="Z49" s="639">
        <v>1.0000000000000001E-9</v>
      </c>
      <c r="AA49" s="640">
        <v>4.5123242000000001E-2</v>
      </c>
      <c r="AB49" s="121">
        <v>3.0567832000000001E-3</v>
      </c>
      <c r="AC49" s="121">
        <v>2.0416465E-3</v>
      </c>
      <c r="AD49" s="121">
        <v>0.23396890000000001</v>
      </c>
      <c r="AF49" s="113"/>
      <c r="AG49" s="118">
        <v>6.9</v>
      </c>
      <c r="AH49" s="119">
        <v>0.32889699999999999</v>
      </c>
      <c r="AI49" s="120">
        <v>2.5268985E-12</v>
      </c>
      <c r="AJ49" s="533">
        <v>1.0340638139172104E-9</v>
      </c>
      <c r="AK49" s="534">
        <v>4.5123242000000001E-2</v>
      </c>
      <c r="AL49" s="121">
        <v>3.0567832000000001E-3</v>
      </c>
      <c r="AM49" s="121">
        <v>2.0416465E-3</v>
      </c>
      <c r="AN49" s="121">
        <v>0.23396890000000001</v>
      </c>
      <c r="BD49" s="656"/>
      <c r="BF49" s="122">
        <v>4.8</v>
      </c>
      <c r="BG49" s="119">
        <v>0.33420100000000003</v>
      </c>
      <c r="BH49" s="120">
        <v>2.6897384000000001E-12</v>
      </c>
      <c r="BI49" s="660">
        <v>5.0000000000000001E-9</v>
      </c>
      <c r="BJ49" s="661">
        <v>7.5793568000000006E-2</v>
      </c>
      <c r="BK49" s="121">
        <v>1.8306748000000001E-3</v>
      </c>
      <c r="BL49" s="121">
        <v>5.3254195000000002E-3</v>
      </c>
      <c r="BM49" s="121">
        <v>0.26823551000000001</v>
      </c>
      <c r="BN49" s="675">
        <v>2.5000000000000001E-9</v>
      </c>
      <c r="BO49" s="676">
        <v>0.15158713600000001</v>
      </c>
      <c r="BP49" s="676"/>
      <c r="BQ49" s="622"/>
      <c r="BR49" s="631">
        <v>4.8</v>
      </c>
      <c r="BS49" s="248">
        <v>0.33420100000000003</v>
      </c>
      <c r="BT49" s="632">
        <v>2.6897384000000001E-12</v>
      </c>
      <c r="BU49" s="638">
        <v>4.037588675822935E-9</v>
      </c>
      <c r="BV49" s="664">
        <v>7.5793568000000006E-2</v>
      </c>
      <c r="BW49" s="633">
        <v>1.8306748000000001E-3</v>
      </c>
      <c r="BX49" s="633">
        <v>5.3254195000000002E-3</v>
      </c>
      <c r="BY49" s="633">
        <v>0.26823551000000001</v>
      </c>
      <c r="BZ49" s="620"/>
      <c r="CA49" s="697"/>
      <c r="CB49" s="620"/>
      <c r="CC49" s="676"/>
      <c r="CD49" s="122">
        <v>4.8</v>
      </c>
      <c r="CE49" s="119">
        <v>0.33420100000000003</v>
      </c>
      <c r="CF49" s="120">
        <v>2.6897384000000001E-12</v>
      </c>
      <c r="CG49" s="660">
        <v>8.0000000000000005E-9</v>
      </c>
      <c r="CH49" s="693">
        <v>3.7896784000000003E-2</v>
      </c>
      <c r="CI49" s="121">
        <v>1.8306748000000001E-3</v>
      </c>
      <c r="CJ49" s="121">
        <v>5.3254195000000002E-3</v>
      </c>
      <c r="CK49" s="121">
        <v>0.26823551000000001</v>
      </c>
      <c r="CL49" s="620"/>
      <c r="CM49" s="676"/>
      <c r="CN49" s="122">
        <v>4.8</v>
      </c>
      <c r="CO49" s="119">
        <v>0.33420100000000003</v>
      </c>
      <c r="CP49" s="120">
        <v>2.6897384000000001E-12</v>
      </c>
      <c r="CQ49" s="660">
        <v>6.1192512455698844E-9</v>
      </c>
      <c r="CR49" s="693">
        <v>3.7896784000000003E-2</v>
      </c>
      <c r="CS49" s="121">
        <v>1.8306748000000001E-3</v>
      </c>
      <c r="CT49" s="121">
        <v>5.3254195000000002E-3</v>
      </c>
      <c r="CU49" s="121">
        <v>0.26823551000000001</v>
      </c>
      <c r="CV49" s="676"/>
      <c r="CW49" s="676"/>
      <c r="CX49" s="676"/>
      <c r="CY49" s="676"/>
      <c r="CZ49" s="676"/>
      <c r="DA49" s="676"/>
      <c r="DB49" s="676"/>
      <c r="DC49" s="676"/>
      <c r="DD49" s="676"/>
      <c r="DE49" s="676"/>
      <c r="DF49" s="676"/>
      <c r="DG49" s="676"/>
      <c r="DH49" s="676"/>
      <c r="DI49" s="676"/>
    </row>
    <row r="50" spans="3:113">
      <c r="C50" s="122">
        <v>3.6</v>
      </c>
      <c r="D50" s="119">
        <v>0.25065100000000001</v>
      </c>
      <c r="E50" s="120">
        <v>3.5196561000000001E-12</v>
      </c>
      <c r="F50" s="120">
        <v>2.2051541E-9</v>
      </c>
      <c r="G50" s="121">
        <v>3.1090871999999999E-2</v>
      </c>
      <c r="H50" s="121">
        <v>1.5961043E-3</v>
      </c>
      <c r="I50" s="121">
        <v>5.0345119999999997E-3</v>
      </c>
      <c r="J50" s="121">
        <v>0.22006289000000001</v>
      </c>
      <c r="K50" s="620"/>
      <c r="L50" s="36"/>
      <c r="M50" s="36"/>
      <c r="N50" s="36"/>
      <c r="O50" s="101"/>
      <c r="P50" s="102"/>
      <c r="Q50" s="103"/>
      <c r="R50" s="36"/>
      <c r="S50" s="36"/>
      <c r="T50" s="36"/>
      <c r="U50" s="642"/>
      <c r="W50" s="118">
        <v>7.2</v>
      </c>
      <c r="X50" s="119">
        <v>0.34319699999999997</v>
      </c>
      <c r="Y50" s="120">
        <v>2.4194534000000001E-12</v>
      </c>
      <c r="Z50" s="639">
        <v>1.0000000000000001E-9</v>
      </c>
      <c r="AA50" s="640">
        <v>4.4892979999999999E-2</v>
      </c>
      <c r="AB50" s="121">
        <v>3.0496879E-3</v>
      </c>
      <c r="AC50" s="121">
        <v>2.0332675999999998E-3</v>
      </c>
      <c r="AD50" s="121">
        <v>0.23446711000000001</v>
      </c>
      <c r="AF50" s="113"/>
      <c r="AG50" s="118">
        <v>7.2</v>
      </c>
      <c r="AH50" s="119">
        <v>0.34319699999999997</v>
      </c>
      <c r="AI50" s="120">
        <v>2.4194534000000001E-12</v>
      </c>
      <c r="AJ50" s="533">
        <v>9.942024910881663E-10</v>
      </c>
      <c r="AK50" s="534">
        <v>4.4892979999999999E-2</v>
      </c>
      <c r="AL50" s="121">
        <v>3.0496879E-3</v>
      </c>
      <c r="AM50" s="121">
        <v>2.0332675999999998E-3</v>
      </c>
      <c r="AN50" s="121">
        <v>0.23446711000000001</v>
      </c>
      <c r="BD50" s="656"/>
      <c r="BF50" s="122">
        <v>5</v>
      </c>
      <c r="BG50" s="119">
        <v>0.34812599999999999</v>
      </c>
      <c r="BH50" s="120">
        <v>3.3944247999999999E-12</v>
      </c>
      <c r="BI50" s="660">
        <v>4.0000000000000002E-9</v>
      </c>
      <c r="BJ50" s="661">
        <v>7.6292152000000002E-2</v>
      </c>
      <c r="BK50" s="121">
        <v>1.8332757999999999E-3</v>
      </c>
      <c r="BL50" s="121">
        <v>5.3632979999999999E-3</v>
      </c>
      <c r="BM50" s="121">
        <v>0.27000001000000001</v>
      </c>
      <c r="BN50" s="675">
        <v>2.0000000000000001E-9</v>
      </c>
      <c r="BO50" s="676">
        <v>0.152584304</v>
      </c>
      <c r="BP50" s="676"/>
      <c r="BQ50" s="622"/>
      <c r="BR50" s="631">
        <v>5</v>
      </c>
      <c r="BS50" s="248">
        <v>0.34812599999999999</v>
      </c>
      <c r="BT50" s="632">
        <v>3.3944247999999999E-12</v>
      </c>
      <c r="BU50" s="638">
        <v>4.2277477499743563E-9</v>
      </c>
      <c r="BV50" s="664">
        <v>7.6292152000000002E-2</v>
      </c>
      <c r="BW50" s="633">
        <v>1.8332757999999999E-3</v>
      </c>
      <c r="BX50" s="633">
        <v>5.3632979999999999E-3</v>
      </c>
      <c r="BY50" s="633">
        <v>0.27000001000000001</v>
      </c>
      <c r="BZ50" s="620"/>
      <c r="CA50" s="697"/>
      <c r="CB50" s="620"/>
      <c r="CC50" s="676"/>
      <c r="CD50" s="122">
        <v>5</v>
      </c>
      <c r="CE50" s="119">
        <v>0.34812599999999999</v>
      </c>
      <c r="CF50" s="120">
        <v>3.3944247999999999E-12</v>
      </c>
      <c r="CG50" s="660">
        <v>5.0000000000000001E-9</v>
      </c>
      <c r="CH50" s="693">
        <v>3.8146076000000001E-2</v>
      </c>
      <c r="CI50" s="121">
        <v>1.8332757999999999E-3</v>
      </c>
      <c r="CJ50" s="121">
        <v>5.3632979999999999E-3</v>
      </c>
      <c r="CK50" s="121">
        <v>0.27000001000000001</v>
      </c>
      <c r="CL50" s="620"/>
      <c r="CM50" s="676"/>
      <c r="CN50" s="122">
        <v>5</v>
      </c>
      <c r="CO50" s="119">
        <v>0.34812599999999999</v>
      </c>
      <c r="CP50" s="120">
        <v>3.3944247999999999E-12</v>
      </c>
      <c r="CQ50" s="660">
        <v>6.1624775705429809E-9</v>
      </c>
      <c r="CR50" s="693">
        <v>3.8146076000000001E-2</v>
      </c>
      <c r="CS50" s="121">
        <v>1.8332757999999999E-3</v>
      </c>
      <c r="CT50" s="121">
        <v>5.3632979999999999E-3</v>
      </c>
      <c r="CU50" s="121">
        <v>0.27000001000000001</v>
      </c>
      <c r="CV50" s="676"/>
      <c r="CW50" s="676"/>
      <c r="CX50" s="676"/>
      <c r="CY50" s="676"/>
      <c r="CZ50" s="676"/>
      <c r="DA50" s="676"/>
      <c r="DB50" s="676"/>
      <c r="DC50" s="676"/>
      <c r="DD50" s="676"/>
      <c r="DE50" s="676"/>
      <c r="DF50" s="676"/>
      <c r="DG50" s="676"/>
      <c r="DH50" s="676"/>
      <c r="DI50" s="676"/>
    </row>
    <row r="51" spans="3:113">
      <c r="C51" s="122">
        <v>3.8</v>
      </c>
      <c r="D51" s="119">
        <v>0.26457599999999998</v>
      </c>
      <c r="E51" s="120">
        <v>3.3005912000000001E-12</v>
      </c>
      <c r="F51" s="120">
        <v>1.9867921000000002E-9</v>
      </c>
      <c r="G51" s="121">
        <v>3.2857351E-2</v>
      </c>
      <c r="H51" s="121">
        <v>1.6612665E-3</v>
      </c>
      <c r="I51" s="121">
        <v>5.0905721999999999E-3</v>
      </c>
      <c r="J51" s="121">
        <v>0.23256613000000001</v>
      </c>
      <c r="K51" s="620"/>
      <c r="L51" s="36"/>
      <c r="M51" s="36"/>
      <c r="N51" s="36"/>
      <c r="O51" s="101"/>
      <c r="P51" s="102"/>
      <c r="Q51" s="103"/>
      <c r="R51" s="36"/>
      <c r="S51" s="36"/>
      <c r="T51" s="36"/>
      <c r="U51" s="642"/>
      <c r="W51" s="118">
        <v>7.5</v>
      </c>
      <c r="X51" s="119">
        <v>0.35749700000000001</v>
      </c>
      <c r="Y51" s="120">
        <v>2.6104838999999998E-12</v>
      </c>
      <c r="Z51" s="639">
        <v>1.0000000000000001E-9</v>
      </c>
      <c r="AA51" s="640">
        <v>4.4883246000000002E-2</v>
      </c>
      <c r="AB51" s="121">
        <v>3.0451227000000002E-3</v>
      </c>
      <c r="AC51" s="121">
        <v>2.0369915999999999E-3</v>
      </c>
      <c r="AD51" s="121">
        <v>0.23391036000000001</v>
      </c>
      <c r="AF51" s="113"/>
      <c r="AG51" s="118">
        <v>7.5</v>
      </c>
      <c r="AH51" s="119">
        <v>0.35749700000000001</v>
      </c>
      <c r="AI51" s="120">
        <v>2.6104838999999998E-12</v>
      </c>
      <c r="AJ51" s="533">
        <v>1.0519968119144832E-9</v>
      </c>
      <c r="AK51" s="534">
        <v>4.4883246000000002E-2</v>
      </c>
      <c r="AL51" s="121">
        <v>3.0451227000000002E-3</v>
      </c>
      <c r="AM51" s="121">
        <v>2.0369915999999999E-3</v>
      </c>
      <c r="AN51" s="121">
        <v>0.23391036000000001</v>
      </c>
      <c r="BD51" s="656"/>
      <c r="BF51" s="122">
        <v>5.2</v>
      </c>
      <c r="BG51" s="119">
        <v>0.36205100000000001</v>
      </c>
      <c r="BH51" s="120">
        <v>4.3269864999999999E-12</v>
      </c>
      <c r="BI51" s="660">
        <v>4.0000000000000002E-9</v>
      </c>
      <c r="BJ51" s="661">
        <v>7.6285006000000002E-2</v>
      </c>
      <c r="BK51" s="121">
        <v>1.8254499999999999E-3</v>
      </c>
      <c r="BL51" s="121">
        <v>5.3981463E-3</v>
      </c>
      <c r="BM51" s="121">
        <v>0.26997472</v>
      </c>
      <c r="BN51" s="675">
        <v>2.0000000000000001E-9</v>
      </c>
      <c r="BO51" s="676">
        <v>0.152570012</v>
      </c>
      <c r="BP51" s="676"/>
      <c r="BQ51" s="622"/>
      <c r="BR51" s="631">
        <v>5.2</v>
      </c>
      <c r="BS51" s="248">
        <v>0.36205100000000001</v>
      </c>
      <c r="BT51" s="632">
        <v>4.3269864999999999E-12</v>
      </c>
      <c r="BU51" s="638">
        <v>4.5637708212577693E-9</v>
      </c>
      <c r="BV51" s="664">
        <v>7.6285006000000002E-2</v>
      </c>
      <c r="BW51" s="633">
        <v>1.8254499999999999E-3</v>
      </c>
      <c r="BX51" s="633">
        <v>5.3981463E-3</v>
      </c>
      <c r="BY51" s="633">
        <v>0.26997472</v>
      </c>
      <c r="BZ51" s="620"/>
      <c r="CA51" s="697"/>
      <c r="CB51" s="620"/>
      <c r="CC51" s="676"/>
      <c r="CD51" s="122">
        <v>5.2</v>
      </c>
      <c r="CE51" s="119">
        <v>0.36205100000000001</v>
      </c>
      <c r="CF51" s="120">
        <v>4.3269864999999999E-12</v>
      </c>
      <c r="CG51" s="660">
        <v>5.0000000000000001E-9</v>
      </c>
      <c r="CH51" s="693">
        <v>3.8142503000000001E-2</v>
      </c>
      <c r="CI51" s="121">
        <v>1.8254499999999999E-3</v>
      </c>
      <c r="CJ51" s="121">
        <v>5.3981463E-3</v>
      </c>
      <c r="CK51" s="121">
        <v>0.26997472</v>
      </c>
      <c r="CL51" s="620"/>
      <c r="CM51" s="676"/>
      <c r="CN51" s="122">
        <v>5.2</v>
      </c>
      <c r="CO51" s="119">
        <v>0.36205100000000001</v>
      </c>
      <c r="CP51" s="120">
        <v>4.3269864999999999E-12</v>
      </c>
      <c r="CQ51" s="660">
        <v>6.3587266081019452E-9</v>
      </c>
      <c r="CR51" s="693">
        <v>3.8142503000000001E-2</v>
      </c>
      <c r="CS51" s="121">
        <v>1.8254499999999999E-3</v>
      </c>
      <c r="CT51" s="121">
        <v>5.3981463E-3</v>
      </c>
      <c r="CU51" s="121">
        <v>0.26997472</v>
      </c>
      <c r="CV51" s="676"/>
      <c r="CW51" s="676"/>
      <c r="CX51" s="676"/>
      <c r="CY51" s="676"/>
      <c r="CZ51" s="676"/>
      <c r="DA51" s="676"/>
      <c r="DB51" s="676"/>
      <c r="DC51" s="676"/>
      <c r="DD51" s="676"/>
      <c r="DE51" s="676"/>
      <c r="DF51" s="676"/>
      <c r="DG51" s="676"/>
      <c r="DH51" s="676"/>
      <c r="DI51" s="676"/>
    </row>
    <row r="52" spans="3:113">
      <c r="C52" s="122">
        <v>4</v>
      </c>
      <c r="D52" s="119">
        <v>0.278501</v>
      </c>
      <c r="E52" s="120">
        <v>2.9093909000000001E-12</v>
      </c>
      <c r="F52" s="120">
        <v>1.6954474E-9</v>
      </c>
      <c r="G52" s="121">
        <v>3.4370968000000002E-2</v>
      </c>
      <c r="H52" s="121">
        <v>1.7160019000000001E-3</v>
      </c>
      <c r="I52" s="121">
        <v>5.1436023000000003E-3</v>
      </c>
      <c r="J52" s="121">
        <v>0.24327958999999999</v>
      </c>
      <c r="K52" s="620"/>
      <c r="L52" s="36"/>
      <c r="M52" s="36"/>
      <c r="N52" s="36"/>
      <c r="O52" s="101"/>
      <c r="P52" s="102"/>
      <c r="Q52" s="103"/>
      <c r="R52" s="36"/>
      <c r="S52" s="36"/>
      <c r="T52" s="36"/>
      <c r="U52" s="642"/>
      <c r="W52" s="118">
        <v>7.8</v>
      </c>
      <c r="X52" s="119">
        <v>0.37179699999999999</v>
      </c>
      <c r="Y52" s="120">
        <v>2.7052620000000001E-12</v>
      </c>
      <c r="Z52" s="639">
        <v>1.0000000000000001E-9</v>
      </c>
      <c r="AA52" s="640">
        <v>4.4938772000000002E-2</v>
      </c>
      <c r="AB52" s="121">
        <v>3.0410210000000001E-3</v>
      </c>
      <c r="AC52" s="121">
        <v>2.0444394E-3</v>
      </c>
      <c r="AD52" s="121">
        <v>0.23296341000000001</v>
      </c>
      <c r="AF52" s="113"/>
      <c r="AG52" s="118">
        <v>7.8</v>
      </c>
      <c r="AH52" s="119">
        <v>0.37179699999999999</v>
      </c>
      <c r="AI52" s="120">
        <v>2.7052620000000001E-12</v>
      </c>
      <c r="AJ52" s="533">
        <v>1.0786475346384543E-9</v>
      </c>
      <c r="AK52" s="534">
        <v>4.4938772000000002E-2</v>
      </c>
      <c r="AL52" s="121">
        <v>3.0410210000000001E-3</v>
      </c>
      <c r="AM52" s="121">
        <v>2.0444394E-3</v>
      </c>
      <c r="AN52" s="121">
        <v>0.23296341000000001</v>
      </c>
      <c r="BD52" s="656"/>
      <c r="BF52" s="122">
        <v>5.4</v>
      </c>
      <c r="BG52" s="119">
        <v>0.37597599999999998</v>
      </c>
      <c r="BH52" s="120">
        <v>4.0161170000000003E-12</v>
      </c>
      <c r="BI52" s="660">
        <v>4.0000000000000002E-9</v>
      </c>
      <c r="BJ52" s="661">
        <v>7.5772129999999993E-2</v>
      </c>
      <c r="BK52" s="121">
        <v>1.8071973000000001E-3</v>
      </c>
      <c r="BL52" s="121">
        <v>5.4299641999999999E-3</v>
      </c>
      <c r="BM52" s="121">
        <v>0.26815963999999998</v>
      </c>
      <c r="BN52" s="675">
        <v>2.0000000000000001E-9</v>
      </c>
      <c r="BO52" s="676">
        <v>0.15154425999999999</v>
      </c>
      <c r="BP52" s="676"/>
      <c r="BQ52" s="622"/>
      <c r="BR52" s="631">
        <v>5.4</v>
      </c>
      <c r="BS52" s="248">
        <v>0.37597599999999998</v>
      </c>
      <c r="BT52" s="632">
        <v>4.0161170000000003E-12</v>
      </c>
      <c r="BU52" s="638">
        <v>4.2430964250924259E-9</v>
      </c>
      <c r="BV52" s="664">
        <v>7.5772129999999993E-2</v>
      </c>
      <c r="BW52" s="633">
        <v>1.8071973000000001E-3</v>
      </c>
      <c r="BX52" s="633">
        <v>5.4299641999999999E-3</v>
      </c>
      <c r="BY52" s="633">
        <v>0.26815963999999998</v>
      </c>
      <c r="BZ52" s="620"/>
      <c r="CA52" s="697"/>
      <c r="CB52" s="620"/>
      <c r="CC52" s="676"/>
      <c r="CD52" s="122">
        <v>5.4</v>
      </c>
      <c r="CE52" s="119">
        <v>0.37597599999999998</v>
      </c>
      <c r="CF52" s="120">
        <v>4.0161170000000003E-12</v>
      </c>
      <c r="CG52" s="660">
        <v>5.0000000000000001E-9</v>
      </c>
      <c r="CH52" s="693">
        <v>3.7886064999999997E-2</v>
      </c>
      <c r="CI52" s="121">
        <v>1.8071973000000001E-3</v>
      </c>
      <c r="CJ52" s="121">
        <v>5.4299641999999999E-3</v>
      </c>
      <c r="CK52" s="121">
        <v>0.26815963999999998</v>
      </c>
      <c r="CL52" s="620"/>
      <c r="CM52" s="676"/>
      <c r="CN52" s="122">
        <v>5.4</v>
      </c>
      <c r="CO52" s="119">
        <v>0.37597599999999998</v>
      </c>
      <c r="CP52" s="120">
        <v>4.0161170000000003E-12</v>
      </c>
      <c r="CQ52" s="660">
        <v>5.9060658148689855E-9</v>
      </c>
      <c r="CR52" s="693">
        <v>3.7886064999999997E-2</v>
      </c>
      <c r="CS52" s="121">
        <v>1.8071973000000001E-3</v>
      </c>
      <c r="CT52" s="121">
        <v>5.4299641999999999E-3</v>
      </c>
      <c r="CU52" s="121">
        <v>0.26815963999999998</v>
      </c>
      <c r="CV52" s="676"/>
      <c r="CW52" s="676"/>
      <c r="CX52" s="676"/>
      <c r="CY52" s="676"/>
      <c r="CZ52" s="676"/>
      <c r="DA52" s="676"/>
      <c r="DB52" s="676"/>
      <c r="DC52" s="676"/>
      <c r="DD52" s="676"/>
      <c r="DE52" s="676"/>
      <c r="DF52" s="676"/>
      <c r="DG52" s="676"/>
      <c r="DH52" s="676"/>
      <c r="DI52" s="676"/>
    </row>
    <row r="53" spans="3:113">
      <c r="C53" s="122">
        <v>4.2</v>
      </c>
      <c r="D53" s="119">
        <v>0.29242600000000002</v>
      </c>
      <c r="E53" s="120">
        <v>2.41178E-12</v>
      </c>
      <c r="F53" s="120">
        <v>1.3700878999999999E-9</v>
      </c>
      <c r="G53" s="121">
        <v>3.5631719999999999E-2</v>
      </c>
      <c r="H53" s="121">
        <v>1.7603104999999999E-3</v>
      </c>
      <c r="I53" s="121">
        <v>5.1936020999999999E-3</v>
      </c>
      <c r="J53" s="121">
        <v>0.25220326999999998</v>
      </c>
      <c r="K53" s="620"/>
      <c r="L53" s="36"/>
      <c r="M53" s="36"/>
      <c r="N53" s="36"/>
      <c r="O53" s="101"/>
      <c r="P53" s="102"/>
      <c r="Q53" s="103"/>
      <c r="R53" s="36"/>
      <c r="S53" s="36"/>
      <c r="T53" s="36"/>
      <c r="U53" s="642"/>
      <c r="W53" s="118">
        <v>8.1</v>
      </c>
      <c r="X53" s="119">
        <v>0.38609700000000002</v>
      </c>
      <c r="Y53" s="120">
        <v>2.6360607E-12</v>
      </c>
      <c r="Z53" s="639">
        <v>1.0000000000000001E-9</v>
      </c>
      <c r="AA53" s="640">
        <v>4.5059554000000002E-2</v>
      </c>
      <c r="AB53" s="121">
        <v>3.0373830999999999E-3</v>
      </c>
      <c r="AC53" s="121">
        <v>2.0556111999999998E-3</v>
      </c>
      <c r="AD53" s="121">
        <v>0.23301899000000001</v>
      </c>
      <c r="AF53" s="113"/>
      <c r="AG53" s="118">
        <v>8.1</v>
      </c>
      <c r="AH53" s="119">
        <v>0.38609700000000002</v>
      </c>
      <c r="AI53" s="120">
        <v>2.6360607E-12</v>
      </c>
      <c r="AJ53" s="533">
        <v>1.0517323410628826E-9</v>
      </c>
      <c r="AK53" s="534">
        <v>4.5059554000000002E-2</v>
      </c>
      <c r="AL53" s="121">
        <v>3.0373830999999999E-3</v>
      </c>
      <c r="AM53" s="121">
        <v>2.0556111999999998E-3</v>
      </c>
      <c r="AN53" s="121">
        <v>0.23301899000000001</v>
      </c>
      <c r="BD53" s="656"/>
      <c r="BF53" s="122">
        <v>5.6</v>
      </c>
      <c r="BG53" s="119">
        <v>0.389901</v>
      </c>
      <c r="BH53" s="120">
        <v>4.1078711999999998E-12</v>
      </c>
      <c r="BI53" s="660">
        <v>4.0000000000000002E-9</v>
      </c>
      <c r="BJ53" s="661">
        <v>7.4753526000000001E-2</v>
      </c>
      <c r="BK53" s="121">
        <v>1.7785177999999999E-3</v>
      </c>
      <c r="BL53" s="121">
        <v>5.4587519000000003E-3</v>
      </c>
      <c r="BM53" s="121">
        <v>0.26455476999999999</v>
      </c>
      <c r="BN53" s="675">
        <v>2.0000000000000001E-9</v>
      </c>
      <c r="BO53" s="676">
        <v>0.149507052</v>
      </c>
      <c r="BP53" s="676"/>
      <c r="BQ53" s="622"/>
      <c r="BR53" s="631">
        <v>5.6</v>
      </c>
      <c r="BS53" s="248">
        <v>0.389901</v>
      </c>
      <c r="BT53" s="632">
        <v>4.1078711999999998E-12</v>
      </c>
      <c r="BU53" s="638">
        <v>4.1687044188489738E-9</v>
      </c>
      <c r="BV53" s="664">
        <v>7.4753526000000001E-2</v>
      </c>
      <c r="BW53" s="633">
        <v>1.7785177999999999E-3</v>
      </c>
      <c r="BX53" s="633">
        <v>5.4587519000000003E-3</v>
      </c>
      <c r="BY53" s="633">
        <v>0.26455476999999999</v>
      </c>
      <c r="BZ53" s="620"/>
      <c r="CA53" s="697"/>
      <c r="CB53" s="620"/>
      <c r="CC53" s="676"/>
      <c r="CD53" s="122">
        <v>5.6</v>
      </c>
      <c r="CE53" s="119">
        <v>0.389901</v>
      </c>
      <c r="CF53" s="120">
        <v>4.1078711999999998E-12</v>
      </c>
      <c r="CG53" s="660">
        <v>5.0000000000000001E-9</v>
      </c>
      <c r="CH53" s="693">
        <v>3.7376763E-2</v>
      </c>
      <c r="CI53" s="121">
        <v>1.7785177999999999E-3</v>
      </c>
      <c r="CJ53" s="121">
        <v>5.4587519000000003E-3</v>
      </c>
      <c r="CK53" s="121">
        <v>0.26455476999999999</v>
      </c>
      <c r="CL53" s="620"/>
      <c r="CM53" s="676"/>
      <c r="CN53" s="122">
        <v>5.6</v>
      </c>
      <c r="CO53" s="119">
        <v>0.389901</v>
      </c>
      <c r="CP53" s="120">
        <v>4.1078711999999998E-12</v>
      </c>
      <c r="CQ53" s="660">
        <v>5.7079307803217173E-9</v>
      </c>
      <c r="CR53" s="693">
        <v>3.7376763E-2</v>
      </c>
      <c r="CS53" s="121">
        <v>1.7785177999999999E-3</v>
      </c>
      <c r="CT53" s="121">
        <v>5.4587519000000003E-3</v>
      </c>
      <c r="CU53" s="121">
        <v>0.26455476999999999</v>
      </c>
      <c r="CV53" s="676"/>
      <c r="CW53" s="676"/>
      <c r="CX53" s="676"/>
      <c r="CY53" s="676"/>
      <c r="CZ53" s="676"/>
      <c r="DA53" s="676"/>
      <c r="DB53" s="676"/>
      <c r="DC53" s="676"/>
      <c r="DD53" s="676"/>
      <c r="DE53" s="676"/>
      <c r="DF53" s="676"/>
      <c r="DG53" s="676"/>
      <c r="DH53" s="676"/>
      <c r="DI53" s="676"/>
    </row>
    <row r="54" spans="3:113">
      <c r="C54" s="122">
        <v>4.4000000000000004</v>
      </c>
      <c r="D54" s="119">
        <v>0.30635099999999998</v>
      </c>
      <c r="E54" s="120">
        <v>1.9626469999999998E-12</v>
      </c>
      <c r="F54" s="120">
        <v>1.0938889999999999E-9</v>
      </c>
      <c r="G54" s="121">
        <v>3.6639605999999998E-2</v>
      </c>
      <c r="H54" s="121">
        <v>1.7941921E-3</v>
      </c>
      <c r="I54" s="121">
        <v>5.2405715E-3</v>
      </c>
      <c r="J54" s="121">
        <v>0.25933713000000003</v>
      </c>
      <c r="K54" s="620"/>
      <c r="L54" s="36"/>
      <c r="M54" s="36"/>
      <c r="N54" s="36"/>
      <c r="O54" s="101"/>
      <c r="P54" s="102"/>
      <c r="Q54" s="103"/>
      <c r="R54" s="36"/>
      <c r="S54" s="36"/>
      <c r="T54" s="36"/>
      <c r="U54" s="642"/>
      <c r="W54" s="118">
        <v>8.4</v>
      </c>
      <c r="X54" s="119">
        <v>0.40039599999999997</v>
      </c>
      <c r="Y54" s="120">
        <v>2.8009274E-12</v>
      </c>
      <c r="Z54" s="639">
        <v>1.0000000000000001E-9</v>
      </c>
      <c r="AA54" s="640">
        <v>4.388653E-2</v>
      </c>
      <c r="AB54" s="121">
        <v>3.0368172999999999E-3</v>
      </c>
      <c r="AC54" s="121">
        <v>1.9885794E-3</v>
      </c>
      <c r="AD54" s="121">
        <v>0.23387306999999999</v>
      </c>
      <c r="AF54" s="113"/>
      <c r="AG54" s="118">
        <v>8.4</v>
      </c>
      <c r="AH54" s="119">
        <v>0.40039599999999997</v>
      </c>
      <c r="AI54" s="120">
        <v>2.8009274E-12</v>
      </c>
      <c r="AJ54" s="533">
        <v>1.1014669088178233E-9</v>
      </c>
      <c r="AK54" s="534">
        <v>4.388653E-2</v>
      </c>
      <c r="AL54" s="121">
        <v>3.0368172999999999E-3</v>
      </c>
      <c r="AM54" s="121">
        <v>1.9885794E-3</v>
      </c>
      <c r="AN54" s="121">
        <v>0.23387306999999999</v>
      </c>
      <c r="BD54" s="656"/>
      <c r="BF54" s="122">
        <v>5.8</v>
      </c>
      <c r="BG54" s="119">
        <v>0.40382600000000002</v>
      </c>
      <c r="BH54" s="120">
        <v>4.1775061000000002E-12</v>
      </c>
      <c r="BI54" s="660">
        <v>4.0000000000000002E-9</v>
      </c>
      <c r="BJ54" s="661">
        <v>7.3229188000000001E-2</v>
      </c>
      <c r="BK54" s="121">
        <v>1.7394113000000001E-3</v>
      </c>
      <c r="BL54" s="121">
        <v>5.4845092999999999E-3</v>
      </c>
      <c r="BM54" s="121">
        <v>0.2591601</v>
      </c>
      <c r="BN54" s="675">
        <v>2.0000000000000001E-9</v>
      </c>
      <c r="BO54" s="676">
        <v>0.146458376</v>
      </c>
      <c r="BP54" s="676"/>
      <c r="BQ54" s="622"/>
      <c r="BR54" s="631">
        <v>5.8</v>
      </c>
      <c r="BS54" s="248">
        <v>0.40382600000000002</v>
      </c>
      <c r="BT54" s="632">
        <v>4.1775061000000002E-12</v>
      </c>
      <c r="BU54" s="638">
        <v>4.1100096692788213E-9</v>
      </c>
      <c r="BV54" s="664">
        <v>7.3229188000000001E-2</v>
      </c>
      <c r="BW54" s="633">
        <v>1.7394113000000001E-3</v>
      </c>
      <c r="BX54" s="633">
        <v>5.4845092999999999E-3</v>
      </c>
      <c r="BY54" s="633">
        <v>0.2591601</v>
      </c>
      <c r="BZ54" s="620"/>
      <c r="CA54" s="697"/>
      <c r="CB54" s="620"/>
      <c r="CC54" s="676"/>
      <c r="CD54" s="122">
        <v>5.8</v>
      </c>
      <c r="CE54" s="119">
        <v>0.40382600000000002</v>
      </c>
      <c r="CF54" s="120">
        <v>4.1775061000000002E-12</v>
      </c>
      <c r="CG54" s="660">
        <v>5.0000000000000001E-9</v>
      </c>
      <c r="CH54" s="693">
        <v>3.6614594E-2</v>
      </c>
      <c r="CI54" s="121">
        <v>1.7394113000000001E-3</v>
      </c>
      <c r="CJ54" s="121">
        <v>5.4845092999999999E-3</v>
      </c>
      <c r="CK54" s="121">
        <v>0.2591601</v>
      </c>
      <c r="CL54" s="620"/>
      <c r="CM54" s="676"/>
      <c r="CN54" s="122">
        <v>5.8</v>
      </c>
      <c r="CO54" s="119">
        <v>0.40382600000000002</v>
      </c>
      <c r="CP54" s="120">
        <v>4.1775061000000002E-12</v>
      </c>
      <c r="CQ54" s="660">
        <v>5.5340279281390962E-9</v>
      </c>
      <c r="CR54" s="693">
        <v>3.6614594E-2</v>
      </c>
      <c r="CS54" s="121">
        <v>1.7394113000000001E-3</v>
      </c>
      <c r="CT54" s="121">
        <v>5.4845092999999999E-3</v>
      </c>
      <c r="CU54" s="121">
        <v>0.2591601</v>
      </c>
      <c r="CV54" s="676"/>
      <c r="CW54" s="676"/>
      <c r="CX54" s="676"/>
      <c r="CY54" s="676"/>
      <c r="CZ54" s="676"/>
      <c r="DA54" s="676"/>
      <c r="DB54" s="676"/>
      <c r="DC54" s="676"/>
      <c r="DD54" s="676"/>
      <c r="DE54" s="676"/>
      <c r="DF54" s="676"/>
      <c r="DG54" s="676"/>
      <c r="DH54" s="676"/>
      <c r="DI54" s="676"/>
    </row>
    <row r="55" spans="3:113">
      <c r="C55" s="122">
        <v>4.5999999999999996</v>
      </c>
      <c r="D55" s="119">
        <v>0.32027600000000001</v>
      </c>
      <c r="E55" s="120">
        <v>2.0999273E-12</v>
      </c>
      <c r="F55" s="120">
        <v>1.1552999999999999E-9</v>
      </c>
      <c r="G55" s="121">
        <v>3.7394627E-2</v>
      </c>
      <c r="H55" s="121">
        <v>1.8176468000000001E-3</v>
      </c>
      <c r="I55" s="121">
        <v>5.2845106000000003E-3</v>
      </c>
      <c r="J55" s="121">
        <v>0.26468121</v>
      </c>
      <c r="K55" s="620"/>
      <c r="L55" s="36"/>
      <c r="M55" s="36"/>
      <c r="N55" s="36"/>
      <c r="O55" s="101"/>
      <c r="P55" s="102"/>
      <c r="Q55" s="103"/>
      <c r="R55" s="36"/>
      <c r="S55" s="36"/>
      <c r="T55" s="36"/>
      <c r="U55" s="642"/>
      <c r="W55" s="118">
        <v>8.6999999999999993</v>
      </c>
      <c r="X55" s="119">
        <v>0.41469600000000001</v>
      </c>
      <c r="Y55" s="120">
        <v>4.2215078999999999E-12</v>
      </c>
      <c r="Z55" s="639">
        <v>1.0000000000000001E-9</v>
      </c>
      <c r="AA55" s="640">
        <v>3.1232851999999998E-2</v>
      </c>
      <c r="AB55" s="121">
        <v>3.0471131000000002E-3</v>
      </c>
      <c r="AC55" s="121">
        <v>1.3853015E-3</v>
      </c>
      <c r="AD55" s="121">
        <v>0.23462332999999999</v>
      </c>
      <c r="AF55" s="113"/>
      <c r="AG55" s="118">
        <v>8.6999999999999993</v>
      </c>
      <c r="AH55" s="119">
        <v>0.41469600000000001</v>
      </c>
      <c r="AI55" s="120">
        <v>4.2215078999999999E-12</v>
      </c>
      <c r="AJ55" s="533">
        <v>1.560316470865858E-9</v>
      </c>
      <c r="AK55" s="534">
        <v>3.1232851999999998E-2</v>
      </c>
      <c r="AL55" s="121">
        <v>3.0471131000000002E-3</v>
      </c>
      <c r="AM55" s="121">
        <v>1.3853015E-3</v>
      </c>
      <c r="AN55" s="121">
        <v>0.23462332999999999</v>
      </c>
      <c r="BD55" s="656"/>
      <c r="BF55" s="122">
        <v>6</v>
      </c>
      <c r="BG55" s="119">
        <v>0.41775099999999998</v>
      </c>
      <c r="BH55" s="120">
        <v>4.5605815000000004E-12</v>
      </c>
      <c r="BI55" s="660">
        <v>4.0000000000000002E-9</v>
      </c>
      <c r="BJ55" s="661">
        <v>7.1199126000000001E-2</v>
      </c>
      <c r="BK55" s="121">
        <v>1.6898780999999999E-3</v>
      </c>
      <c r="BL55" s="121">
        <v>5.5072363000000001E-3</v>
      </c>
      <c r="BM55" s="121">
        <v>0.25197565</v>
      </c>
      <c r="BN55" s="675">
        <v>2.0000000000000001E-9</v>
      </c>
      <c r="BO55" s="676">
        <v>0.142398252</v>
      </c>
      <c r="BP55" s="676"/>
      <c r="BQ55" s="622"/>
      <c r="BR55" s="631">
        <v>6</v>
      </c>
      <c r="BS55" s="248">
        <v>0.41775099999999998</v>
      </c>
      <c r="BT55" s="632">
        <v>4.5605815000000004E-12</v>
      </c>
      <c r="BU55" s="638">
        <v>4.2677815744705995E-9</v>
      </c>
      <c r="BV55" s="664">
        <v>7.1199126000000001E-2</v>
      </c>
      <c r="BW55" s="633">
        <v>1.6898780999999999E-3</v>
      </c>
      <c r="BX55" s="633">
        <v>5.5072363000000001E-3</v>
      </c>
      <c r="BY55" s="633">
        <v>0.25197565</v>
      </c>
      <c r="BZ55" s="620"/>
      <c r="CA55" s="697"/>
      <c r="CB55" s="620"/>
      <c r="CC55" s="676"/>
      <c r="CD55" s="122">
        <v>6</v>
      </c>
      <c r="CE55" s="119">
        <v>0.41775099999999998</v>
      </c>
      <c r="CF55" s="120">
        <v>4.5605815000000004E-12</v>
      </c>
      <c r="CG55" s="660">
        <v>5.0000000000000001E-9</v>
      </c>
      <c r="CH55" s="693">
        <v>3.5599563000000001E-2</v>
      </c>
      <c r="CI55" s="121">
        <v>1.6898780999999999E-3</v>
      </c>
      <c r="CJ55" s="121">
        <v>5.5072363000000001E-3</v>
      </c>
      <c r="CK55" s="121">
        <v>0.25197565</v>
      </c>
      <c r="CL55" s="620"/>
      <c r="CM55" s="676"/>
      <c r="CN55" s="122">
        <v>6</v>
      </c>
      <c r="CO55" s="119">
        <v>0.41775099999999998</v>
      </c>
      <c r="CP55" s="120">
        <v>4.5605815000000004E-12</v>
      </c>
      <c r="CQ55" s="660">
        <v>5.5852659843598804E-9</v>
      </c>
      <c r="CR55" s="693">
        <v>3.5599563000000001E-2</v>
      </c>
      <c r="CS55" s="121">
        <v>1.6898780999999999E-3</v>
      </c>
      <c r="CT55" s="121">
        <v>5.5072363000000001E-3</v>
      </c>
      <c r="CU55" s="121">
        <v>0.25197565</v>
      </c>
      <c r="CV55" s="676"/>
      <c r="CW55" s="676"/>
      <c r="CX55" s="676"/>
      <c r="CY55" s="676"/>
      <c r="CZ55" s="676"/>
      <c r="DA55" s="676"/>
      <c r="DB55" s="676"/>
      <c r="DC55" s="676"/>
      <c r="DD55" s="676"/>
      <c r="DE55" s="676"/>
      <c r="DF55" s="676"/>
      <c r="DG55" s="676"/>
      <c r="DH55" s="676"/>
      <c r="DI55" s="676"/>
    </row>
    <row r="56" spans="3:113">
      <c r="C56" s="122">
        <v>4.8</v>
      </c>
      <c r="D56" s="119">
        <v>0.33420100000000003</v>
      </c>
      <c r="E56" s="120">
        <v>2.6897384000000001E-12</v>
      </c>
      <c r="F56" s="120">
        <v>1.4692607E-9</v>
      </c>
      <c r="G56" s="121">
        <v>3.7896784000000003E-2</v>
      </c>
      <c r="H56" s="121">
        <v>1.8306748000000001E-3</v>
      </c>
      <c r="I56" s="121">
        <v>5.3254195000000002E-3</v>
      </c>
      <c r="J56" s="121">
        <v>0.26823551000000001</v>
      </c>
      <c r="K56" s="620"/>
      <c r="L56" s="36"/>
      <c r="M56" s="36"/>
      <c r="N56" s="36"/>
      <c r="O56" s="101"/>
      <c r="P56" s="102"/>
      <c r="Q56" s="103"/>
      <c r="R56" s="36"/>
      <c r="S56" s="36"/>
      <c r="T56" s="36"/>
      <c r="U56" s="642"/>
      <c r="W56" s="118">
        <v>9</v>
      </c>
      <c r="X56" s="119">
        <v>0.42899599999999999</v>
      </c>
      <c r="Y56" s="120">
        <v>3.2181705000000001E-12</v>
      </c>
      <c r="Z56" s="639">
        <v>1.0000000000000001E-9</v>
      </c>
      <c r="AA56" s="640">
        <v>1.74128266E-2</v>
      </c>
      <c r="AB56" s="121">
        <v>2.5971239000000001E-3</v>
      </c>
      <c r="AC56" s="121">
        <v>9.3843118999999999E-4</v>
      </c>
      <c r="AD56" s="121">
        <v>0.23397018</v>
      </c>
      <c r="AG56" s="118">
        <v>9</v>
      </c>
      <c r="AH56" s="119">
        <v>0.42899599999999999</v>
      </c>
      <c r="AI56" s="120">
        <v>3.2181705000000001E-12</v>
      </c>
      <c r="AJ56" s="533">
        <v>1.4102573631381569E-9</v>
      </c>
      <c r="AK56" s="534">
        <v>1.74128266E-2</v>
      </c>
      <c r="AL56" s="121">
        <v>2.5971239000000001E-3</v>
      </c>
      <c r="AM56" s="121">
        <v>9.3843118999999999E-4</v>
      </c>
      <c r="AN56" s="121">
        <v>0.23397018</v>
      </c>
      <c r="BD56" s="656"/>
      <c r="BF56" s="122">
        <v>6.2</v>
      </c>
      <c r="BG56" s="119">
        <v>0.43167699999999998</v>
      </c>
      <c r="BH56" s="120">
        <v>5.1237215000000004E-12</v>
      </c>
      <c r="BI56" s="660">
        <v>4.0000000000000002E-9</v>
      </c>
      <c r="BJ56" s="661">
        <v>7.1005682000000001E-2</v>
      </c>
      <c r="BK56" s="121">
        <v>1.6868432E-3</v>
      </c>
      <c r="BL56" s="121">
        <v>5.5010049999999998E-3</v>
      </c>
      <c r="BM56" s="121">
        <v>0.25129105000000002</v>
      </c>
      <c r="BN56" s="675">
        <v>2.0000000000000001E-9</v>
      </c>
      <c r="BO56" s="676">
        <v>0.142011364</v>
      </c>
      <c r="BP56" s="676"/>
      <c r="BQ56" s="622"/>
      <c r="BR56" s="631">
        <v>6.2</v>
      </c>
      <c r="BS56" s="248">
        <v>0.43167699999999998</v>
      </c>
      <c r="BT56" s="632">
        <v>5.1237215000000004E-12</v>
      </c>
      <c r="BU56" s="638">
        <v>4.4785111723642453E-9</v>
      </c>
      <c r="BV56" s="664">
        <v>7.1005682000000001E-2</v>
      </c>
      <c r="BW56" s="633">
        <v>1.6868432E-3</v>
      </c>
      <c r="BX56" s="633">
        <v>5.5010049999999998E-3</v>
      </c>
      <c r="BY56" s="633">
        <v>0.25129105000000002</v>
      </c>
      <c r="BZ56" s="620"/>
      <c r="CA56" s="697"/>
      <c r="CB56" s="620"/>
      <c r="CC56" s="676"/>
      <c r="CD56" s="122">
        <v>6.2</v>
      </c>
      <c r="CE56" s="119">
        <v>0.43167699999999998</v>
      </c>
      <c r="CF56" s="120">
        <v>5.1237215000000004E-12</v>
      </c>
      <c r="CG56" s="660">
        <v>5.0000000000000001E-9</v>
      </c>
      <c r="CH56" s="693">
        <v>3.5502841E-2</v>
      </c>
      <c r="CI56" s="121">
        <v>1.6868432E-3</v>
      </c>
      <c r="CJ56" s="121">
        <v>5.5010049999999998E-3</v>
      </c>
      <c r="CK56" s="121">
        <v>0.25129105000000002</v>
      </c>
      <c r="CL56" s="620"/>
      <c r="CM56" s="676"/>
      <c r="CN56" s="122">
        <v>6.2</v>
      </c>
      <c r="CO56" s="119">
        <v>0.43167699999999998</v>
      </c>
      <c r="CP56" s="120">
        <v>5.1237215000000004E-12</v>
      </c>
      <c r="CQ56" s="660">
        <v>5.6981373159369025E-9</v>
      </c>
      <c r="CR56" s="693">
        <v>3.5502841E-2</v>
      </c>
      <c r="CS56" s="121">
        <v>1.6868432E-3</v>
      </c>
      <c r="CT56" s="121">
        <v>5.5010049999999998E-3</v>
      </c>
      <c r="CU56" s="121">
        <v>0.25129105000000002</v>
      </c>
      <c r="CV56" s="676"/>
      <c r="CW56" s="676"/>
      <c r="CX56" s="676"/>
      <c r="CY56" s="676"/>
      <c r="CZ56" s="676"/>
      <c r="DA56" s="676"/>
      <c r="DB56" s="676"/>
      <c r="DC56" s="676"/>
      <c r="DD56" s="676"/>
      <c r="DE56" s="676"/>
      <c r="DF56" s="676"/>
      <c r="DG56" s="676"/>
      <c r="DH56" s="676"/>
      <c r="DI56" s="676"/>
    </row>
    <row r="57" spans="3:113">
      <c r="C57" s="122">
        <v>5</v>
      </c>
      <c r="D57" s="119">
        <v>0.34812599999999999</v>
      </c>
      <c r="E57" s="120">
        <v>3.3944247999999999E-12</v>
      </c>
      <c r="F57" s="120">
        <v>1.8515626E-9</v>
      </c>
      <c r="G57" s="121">
        <v>3.8146076000000001E-2</v>
      </c>
      <c r="H57" s="121">
        <v>1.8332757999999999E-3</v>
      </c>
      <c r="I57" s="121">
        <v>5.3632979999999999E-3</v>
      </c>
      <c r="J57" s="121">
        <v>0.27000001000000001</v>
      </c>
      <c r="K57" s="620"/>
      <c r="L57" s="36"/>
      <c r="M57" s="36"/>
      <c r="N57" s="36"/>
      <c r="O57" s="101"/>
      <c r="P57" s="102"/>
      <c r="Q57" s="103"/>
      <c r="R57" s="36"/>
      <c r="S57" s="36"/>
      <c r="T57" s="36"/>
      <c r="U57" s="642"/>
      <c r="W57" s="113"/>
      <c r="X57" s="36"/>
      <c r="Y57" s="36"/>
      <c r="Z57" s="36"/>
      <c r="AA57" s="36"/>
      <c r="BD57" s="656"/>
      <c r="BF57" s="122">
        <v>6.4</v>
      </c>
      <c r="BG57" s="119">
        <v>0.445602</v>
      </c>
      <c r="BH57" s="120">
        <v>4.5031251E-12</v>
      </c>
      <c r="BI57" s="660">
        <v>4.0000000000000002E-9</v>
      </c>
      <c r="BJ57" s="661">
        <v>7.0666870000000007E-2</v>
      </c>
      <c r="BK57" s="121">
        <v>1.6821392000000001E-3</v>
      </c>
      <c r="BL57" s="121">
        <v>5.4877544000000002E-3</v>
      </c>
      <c r="BM57" s="121">
        <v>0.25009198999999999</v>
      </c>
      <c r="BN57" s="675">
        <v>2.0000000000000001E-9</v>
      </c>
      <c r="BO57" s="676">
        <v>0.14133374000000001</v>
      </c>
      <c r="BP57" s="676"/>
      <c r="BQ57" s="622"/>
      <c r="BR57" s="631">
        <v>6.4</v>
      </c>
      <c r="BS57" s="248">
        <v>0.445602</v>
      </c>
      <c r="BT57" s="632">
        <v>4.5031251E-12</v>
      </c>
      <c r="BU57" s="638">
        <v>4.0012910815732307E-9</v>
      </c>
      <c r="BV57" s="664">
        <v>7.0666870000000007E-2</v>
      </c>
      <c r="BW57" s="633">
        <v>1.6821392000000001E-3</v>
      </c>
      <c r="BX57" s="633">
        <v>5.4877544000000002E-3</v>
      </c>
      <c r="BY57" s="633">
        <v>0.25009198999999999</v>
      </c>
      <c r="BZ57" s="620"/>
      <c r="CA57" s="697"/>
      <c r="CB57" s="620"/>
      <c r="CC57" s="676"/>
      <c r="CD57" s="122">
        <v>6.4</v>
      </c>
      <c r="CE57" s="119">
        <v>0.445602</v>
      </c>
      <c r="CF57" s="120">
        <v>4.5031251E-12</v>
      </c>
      <c r="CG57" s="660">
        <v>5.0000000000000001E-9</v>
      </c>
      <c r="CH57" s="693">
        <v>3.5333435000000003E-2</v>
      </c>
      <c r="CI57" s="121">
        <v>1.6821392000000001E-3</v>
      </c>
      <c r="CJ57" s="121">
        <v>5.4877544000000002E-3</v>
      </c>
      <c r="CK57" s="121">
        <v>0.25009198999999999</v>
      </c>
      <c r="CL57" s="620"/>
      <c r="CM57" s="676"/>
      <c r="CN57" s="122">
        <v>6.4</v>
      </c>
      <c r="CO57" s="119">
        <v>0.445602</v>
      </c>
      <c r="CP57" s="120">
        <v>4.5031251E-12</v>
      </c>
      <c r="CQ57" s="660">
        <v>5.1316137321880529E-9</v>
      </c>
      <c r="CR57" s="693">
        <v>3.5333435000000003E-2</v>
      </c>
      <c r="CS57" s="121">
        <v>1.6821392000000001E-3</v>
      </c>
      <c r="CT57" s="121">
        <v>5.4877544000000002E-3</v>
      </c>
      <c r="CU57" s="121">
        <v>0.25009198999999999</v>
      </c>
      <c r="CV57" s="676"/>
      <c r="CW57" s="676"/>
      <c r="CX57" s="676"/>
      <c r="CY57" s="676"/>
      <c r="CZ57" s="676"/>
      <c r="DA57" s="676"/>
      <c r="DB57" s="676"/>
      <c r="DC57" s="676"/>
      <c r="DD57" s="676"/>
      <c r="DE57" s="676"/>
      <c r="DF57" s="676"/>
      <c r="DG57" s="676"/>
      <c r="DH57" s="676"/>
      <c r="DI57" s="676"/>
    </row>
    <row r="58" spans="3:113">
      <c r="C58" s="122">
        <v>5.2</v>
      </c>
      <c r="D58" s="119">
        <v>0.36205100000000001</v>
      </c>
      <c r="E58" s="120">
        <v>4.3269864999999999E-12</v>
      </c>
      <c r="F58" s="120">
        <v>2.3703670999999999E-9</v>
      </c>
      <c r="G58" s="121">
        <v>3.8142503000000001E-2</v>
      </c>
      <c r="H58" s="121">
        <v>1.8254499999999999E-3</v>
      </c>
      <c r="I58" s="121">
        <v>5.3981463E-3</v>
      </c>
      <c r="J58" s="121">
        <v>0.26997472</v>
      </c>
      <c r="K58" s="620"/>
      <c r="L58" s="36"/>
      <c r="M58" s="36"/>
      <c r="N58" s="36"/>
      <c r="O58" s="101"/>
      <c r="P58" s="102"/>
      <c r="Q58" s="103"/>
      <c r="R58" s="36"/>
      <c r="S58" s="36"/>
      <c r="T58" s="36"/>
      <c r="U58" s="36"/>
      <c r="W58" s="113"/>
      <c r="X58" s="36"/>
      <c r="Y58" s="36"/>
      <c r="Z58" s="36"/>
      <c r="AA58" s="36"/>
      <c r="BD58" s="656"/>
      <c r="BF58" s="122">
        <v>6.6</v>
      </c>
      <c r="BG58" s="119">
        <v>0.45952700000000002</v>
      </c>
      <c r="BH58" s="120">
        <v>4.4082158E-12</v>
      </c>
      <c r="BI58" s="660">
        <v>4.0000000000000002E-9</v>
      </c>
      <c r="BJ58" s="661">
        <v>7.0182692000000005E-2</v>
      </c>
      <c r="BK58" s="121">
        <v>1.675766E-3</v>
      </c>
      <c r="BL58" s="121">
        <v>5.4674846000000001E-3</v>
      </c>
      <c r="BM58" s="121">
        <v>0.24837846</v>
      </c>
      <c r="BN58" s="675">
        <v>2.0000000000000001E-9</v>
      </c>
      <c r="BO58" s="676">
        <v>0.14036538400000001</v>
      </c>
      <c r="BP58" s="676"/>
      <c r="BQ58" s="622"/>
      <c r="BR58" s="631">
        <v>6.6</v>
      </c>
      <c r="BS58" s="248">
        <v>0.45952700000000002</v>
      </c>
      <c r="BT58" s="632">
        <v>4.4082158E-12</v>
      </c>
      <c r="BU58" s="638">
        <v>3.8489456466973295E-9</v>
      </c>
      <c r="BV58" s="664">
        <v>7.0182692000000005E-2</v>
      </c>
      <c r="BW58" s="633">
        <v>1.675766E-3</v>
      </c>
      <c r="BX58" s="633">
        <v>5.4674846000000001E-3</v>
      </c>
      <c r="BY58" s="633">
        <v>0.24837846</v>
      </c>
      <c r="BZ58" s="620"/>
      <c r="CA58" s="697"/>
      <c r="CB58" s="620"/>
      <c r="CC58" s="676"/>
      <c r="CD58" s="122">
        <v>6.6</v>
      </c>
      <c r="CE58" s="119">
        <v>0.45952700000000002</v>
      </c>
      <c r="CF58" s="120">
        <v>4.4082158E-12</v>
      </c>
      <c r="CG58" s="660">
        <v>5.0000000000000001E-9</v>
      </c>
      <c r="CH58" s="693">
        <v>3.5091346000000002E-2</v>
      </c>
      <c r="CI58" s="121">
        <v>1.675766E-3</v>
      </c>
      <c r="CJ58" s="121">
        <v>5.4674846000000001E-3</v>
      </c>
      <c r="CK58" s="121">
        <v>0.24837846</v>
      </c>
      <c r="CL58" s="620"/>
      <c r="CM58" s="676"/>
      <c r="CN58" s="122">
        <v>6.6</v>
      </c>
      <c r="CO58" s="119">
        <v>0.45952700000000002</v>
      </c>
      <c r="CP58" s="120">
        <v>4.4082158E-12</v>
      </c>
      <c r="CQ58" s="660">
        <v>4.8982934882894051E-9</v>
      </c>
      <c r="CR58" s="693">
        <v>3.5091346000000002E-2</v>
      </c>
      <c r="CS58" s="121">
        <v>1.675766E-3</v>
      </c>
      <c r="CT58" s="121">
        <v>5.4674846000000001E-3</v>
      </c>
      <c r="CU58" s="121">
        <v>0.24837846</v>
      </c>
      <c r="CV58" s="676"/>
      <c r="CW58" s="676"/>
      <c r="CX58" s="676"/>
      <c r="CY58" s="676"/>
      <c r="CZ58" s="676"/>
      <c r="DA58" s="676"/>
      <c r="DB58" s="676"/>
      <c r="DC58" s="676"/>
      <c r="DD58" s="676"/>
      <c r="DE58" s="676"/>
      <c r="DF58" s="676"/>
      <c r="DG58" s="676"/>
      <c r="DH58" s="676"/>
      <c r="DI58" s="676"/>
    </row>
    <row r="59" spans="3:113">
      <c r="C59" s="122">
        <v>5.4</v>
      </c>
      <c r="D59" s="119">
        <v>0.37597599999999998</v>
      </c>
      <c r="E59" s="120">
        <v>4.0161170000000003E-12</v>
      </c>
      <c r="F59" s="120">
        <v>2.2222902999999999E-9</v>
      </c>
      <c r="G59" s="121">
        <v>3.7886064999999997E-2</v>
      </c>
      <c r="H59" s="121">
        <v>1.8071973000000001E-3</v>
      </c>
      <c r="I59" s="121">
        <v>5.4299641999999999E-3</v>
      </c>
      <c r="J59" s="121">
        <v>0.26815963999999998</v>
      </c>
      <c r="K59" s="620"/>
      <c r="L59" s="36"/>
      <c r="M59" s="36"/>
      <c r="N59" s="36"/>
      <c r="O59" s="101"/>
      <c r="P59" s="102"/>
      <c r="Q59" s="103"/>
      <c r="R59" s="36"/>
      <c r="S59" s="36"/>
      <c r="T59" s="36"/>
      <c r="U59" s="36"/>
      <c r="W59" s="113"/>
      <c r="X59" s="36"/>
      <c r="Y59" s="36"/>
      <c r="Z59" s="36"/>
      <c r="AA59" s="36"/>
      <c r="BD59" s="656"/>
      <c r="BF59" s="122">
        <v>6.8</v>
      </c>
      <c r="BG59" s="119">
        <v>0.47345199999999998</v>
      </c>
      <c r="BH59" s="120">
        <v>4.2487639999999996E-12</v>
      </c>
      <c r="BI59" s="660">
        <v>4.0000000000000002E-9</v>
      </c>
      <c r="BJ59" s="661">
        <v>6.9553141999999998E-2</v>
      </c>
      <c r="BK59" s="121">
        <v>1.6677236000000001E-3</v>
      </c>
      <c r="BL59" s="121">
        <v>5.4401954000000002E-3</v>
      </c>
      <c r="BM59" s="121">
        <v>0.24615048</v>
      </c>
      <c r="BN59" s="675">
        <v>2.0000000000000001E-9</v>
      </c>
      <c r="BO59" s="676">
        <v>0.139106284</v>
      </c>
      <c r="BP59" s="676"/>
      <c r="BQ59" s="622"/>
      <c r="BR59" s="631">
        <v>6.8</v>
      </c>
      <c r="BS59" s="248">
        <v>0.47345199999999998</v>
      </c>
      <c r="BT59" s="632">
        <v>4.2487639999999996E-12</v>
      </c>
      <c r="BU59" s="638">
        <v>3.6706112146539491E-9</v>
      </c>
      <c r="BV59" s="664">
        <v>6.9553141999999998E-2</v>
      </c>
      <c r="BW59" s="633">
        <v>1.6677236000000001E-3</v>
      </c>
      <c r="BX59" s="633">
        <v>5.4401954000000002E-3</v>
      </c>
      <c r="BY59" s="633">
        <v>0.24615048</v>
      </c>
      <c r="BZ59" s="620"/>
      <c r="CA59" s="697"/>
      <c r="CB59" s="620"/>
      <c r="CC59" s="676"/>
      <c r="CD59" s="122">
        <v>6.8</v>
      </c>
      <c r="CE59" s="119">
        <v>0.47345199999999998</v>
      </c>
      <c r="CF59" s="120">
        <v>4.2487639999999996E-12</v>
      </c>
      <c r="CG59" s="660">
        <v>5.0000000000000001E-9</v>
      </c>
      <c r="CH59" s="693">
        <v>3.4776570999999999E-2</v>
      </c>
      <c r="CI59" s="121">
        <v>1.6677236000000001E-3</v>
      </c>
      <c r="CJ59" s="121">
        <v>5.4401954000000002E-3</v>
      </c>
      <c r="CK59" s="121">
        <v>0.24615048</v>
      </c>
      <c r="CL59" s="620"/>
      <c r="CM59" s="676"/>
      <c r="CN59" s="122">
        <v>6.8</v>
      </c>
      <c r="CO59" s="119">
        <v>0.47345199999999998</v>
      </c>
      <c r="CP59" s="120">
        <v>4.2487639999999996E-12</v>
      </c>
      <c r="CQ59" s="660">
        <v>4.6469988258599099E-9</v>
      </c>
      <c r="CR59" s="693">
        <v>3.4776570999999999E-2</v>
      </c>
      <c r="CS59" s="121">
        <v>1.6677236000000001E-3</v>
      </c>
      <c r="CT59" s="121">
        <v>5.4401954000000002E-3</v>
      </c>
      <c r="CU59" s="121">
        <v>0.24615048</v>
      </c>
      <c r="CV59" s="676"/>
      <c r="CW59" s="676"/>
      <c r="CX59" s="676"/>
      <c r="CY59" s="676"/>
      <c r="CZ59" s="676"/>
      <c r="DA59" s="676"/>
      <c r="DB59" s="676"/>
      <c r="DC59" s="676"/>
      <c r="DD59" s="676"/>
      <c r="DE59" s="676"/>
      <c r="DF59" s="676"/>
      <c r="DG59" s="676"/>
      <c r="DH59" s="676"/>
      <c r="DI59" s="676"/>
    </row>
    <row r="60" spans="3:113">
      <c r="C60" s="122">
        <v>5.6</v>
      </c>
      <c r="D60" s="119">
        <v>0.389901</v>
      </c>
      <c r="E60" s="120">
        <v>4.1078711999999998E-12</v>
      </c>
      <c r="F60" s="120">
        <v>2.3097161000000002E-9</v>
      </c>
      <c r="G60" s="121">
        <v>3.7376763E-2</v>
      </c>
      <c r="H60" s="121">
        <v>1.7785177999999999E-3</v>
      </c>
      <c r="I60" s="121">
        <v>5.4587519000000003E-3</v>
      </c>
      <c r="J60" s="121">
        <v>0.26455476999999999</v>
      </c>
      <c r="K60" s="620"/>
      <c r="L60" s="36"/>
      <c r="M60" s="36"/>
      <c r="N60" s="36"/>
      <c r="O60" s="101"/>
      <c r="P60" s="102"/>
      <c r="Q60" s="103"/>
      <c r="R60" s="36"/>
      <c r="S60" s="36"/>
      <c r="T60" s="36"/>
      <c r="U60" s="36"/>
      <c r="W60" s="113"/>
      <c r="X60" s="36"/>
      <c r="Y60" s="36"/>
      <c r="Z60" s="36"/>
      <c r="AA60" s="36"/>
      <c r="BD60" s="656"/>
      <c r="BF60" s="122">
        <v>7</v>
      </c>
      <c r="BG60" s="119">
        <v>0.487377</v>
      </c>
      <c r="BH60" s="120">
        <v>4.6538338999999996E-12</v>
      </c>
      <c r="BI60" s="660">
        <v>4.0000000000000002E-9</v>
      </c>
      <c r="BJ60" s="661">
        <v>6.8778227999999997E-2</v>
      </c>
      <c r="BK60" s="121">
        <v>1.6580121E-3</v>
      </c>
      <c r="BL60" s="121">
        <v>5.4058871999999999E-3</v>
      </c>
      <c r="BM60" s="121">
        <v>0.24340803</v>
      </c>
      <c r="BN60" s="675">
        <v>2.0000000000000001E-9</v>
      </c>
      <c r="BO60" s="676">
        <v>0.13755645599999999</v>
      </c>
      <c r="BP60" s="676"/>
      <c r="BQ60" s="622"/>
      <c r="BR60" s="631">
        <v>7</v>
      </c>
      <c r="BS60" s="248">
        <v>0.487377</v>
      </c>
      <c r="BT60" s="632">
        <v>4.6538338999999996E-12</v>
      </c>
      <c r="BU60" s="638">
        <v>3.8444117452655086E-9</v>
      </c>
      <c r="BV60" s="664">
        <v>6.8778227999999997E-2</v>
      </c>
      <c r="BW60" s="633">
        <v>1.6580121E-3</v>
      </c>
      <c r="BX60" s="633">
        <v>5.4058871999999999E-3</v>
      </c>
      <c r="BY60" s="633">
        <v>0.24340803</v>
      </c>
      <c r="BZ60" s="620"/>
      <c r="CA60" s="697"/>
      <c r="CB60" s="620"/>
      <c r="CC60" s="676"/>
      <c r="CD60" s="122">
        <v>7</v>
      </c>
      <c r="CE60" s="119">
        <v>0.487377</v>
      </c>
      <c r="CF60" s="120">
        <v>4.6538338999999996E-12</v>
      </c>
      <c r="CG60" s="660">
        <v>5.0000000000000001E-9</v>
      </c>
      <c r="CH60" s="693">
        <v>3.4389113999999998E-2</v>
      </c>
      <c r="CI60" s="121">
        <v>1.6580121E-3</v>
      </c>
      <c r="CJ60" s="121">
        <v>5.4058871999999999E-3</v>
      </c>
      <c r="CK60" s="121">
        <v>0.24340803</v>
      </c>
      <c r="CL60" s="620"/>
      <c r="CM60" s="676"/>
      <c r="CN60" s="122">
        <v>7</v>
      </c>
      <c r="CO60" s="119">
        <v>0.487377</v>
      </c>
      <c r="CP60" s="120">
        <v>4.6538338999999996E-12</v>
      </c>
      <c r="CQ60" s="660">
        <v>4.7554687210567791E-9</v>
      </c>
      <c r="CR60" s="693">
        <v>3.4389113999999998E-2</v>
      </c>
      <c r="CS60" s="121">
        <v>1.6580121E-3</v>
      </c>
      <c r="CT60" s="121">
        <v>5.4058871999999999E-3</v>
      </c>
      <c r="CU60" s="121">
        <v>0.24340803</v>
      </c>
      <c r="CV60" s="676"/>
      <c r="CW60" s="676"/>
      <c r="CX60" s="676"/>
      <c r="CY60" s="676"/>
      <c r="CZ60" s="676"/>
      <c r="DA60" s="676"/>
      <c r="DB60" s="676"/>
      <c r="DC60" s="676"/>
      <c r="DD60" s="676"/>
      <c r="DE60" s="676"/>
      <c r="DF60" s="676"/>
      <c r="DG60" s="676"/>
      <c r="DH60" s="676"/>
      <c r="DI60" s="676"/>
    </row>
    <row r="61" spans="3:113">
      <c r="C61" s="122">
        <v>5.8</v>
      </c>
      <c r="D61" s="119">
        <v>0.40382600000000002</v>
      </c>
      <c r="E61" s="120">
        <v>4.1775061000000002E-12</v>
      </c>
      <c r="F61" s="120">
        <v>2.4016781000000001E-9</v>
      </c>
      <c r="G61" s="121">
        <v>3.6614594E-2</v>
      </c>
      <c r="H61" s="121">
        <v>1.7394113000000001E-3</v>
      </c>
      <c r="I61" s="121">
        <v>5.4845092999999999E-3</v>
      </c>
      <c r="J61" s="121">
        <v>0.2591601</v>
      </c>
      <c r="K61" s="620"/>
      <c r="L61" s="36"/>
      <c r="M61" s="36"/>
      <c r="N61" s="36"/>
      <c r="O61" s="101"/>
      <c r="P61" s="102"/>
      <c r="Q61" s="103"/>
      <c r="R61" s="36"/>
      <c r="S61" s="36"/>
      <c r="T61" s="36"/>
      <c r="U61" s="36"/>
      <c r="W61" s="113"/>
      <c r="X61" s="36"/>
      <c r="Y61" s="36"/>
      <c r="Z61" s="36"/>
      <c r="AA61" s="36"/>
      <c r="BD61" s="656"/>
      <c r="BF61" s="122">
        <v>7.2</v>
      </c>
      <c r="BG61" s="119">
        <v>0.50130200000000003</v>
      </c>
      <c r="BH61" s="120">
        <v>5.2174673E-12</v>
      </c>
      <c r="BI61" s="660">
        <v>4.0000000000000002E-9</v>
      </c>
      <c r="BJ61" s="661">
        <v>6.7857942000000004E-2</v>
      </c>
      <c r="BK61" s="121">
        <v>1.6466314999999999E-3</v>
      </c>
      <c r="BL61" s="121">
        <v>5.3645595000000003E-3</v>
      </c>
      <c r="BM61" s="121">
        <v>0.24015112</v>
      </c>
      <c r="BN61" s="675">
        <v>2.0000000000000001E-9</v>
      </c>
      <c r="BO61" s="676">
        <v>0.13571588400000001</v>
      </c>
      <c r="BP61" s="676"/>
      <c r="BQ61" s="622"/>
      <c r="BR61" s="631">
        <v>7.2</v>
      </c>
      <c r="BS61" s="248">
        <v>0.50130200000000003</v>
      </c>
      <c r="BT61" s="632">
        <v>5.2174673E-12</v>
      </c>
      <c r="BU61" s="638">
        <v>4.1300764524848489E-9</v>
      </c>
      <c r="BV61" s="664">
        <v>6.7857942000000004E-2</v>
      </c>
      <c r="BW61" s="633">
        <v>1.6466314999999999E-3</v>
      </c>
      <c r="BX61" s="633">
        <v>5.3645595000000003E-3</v>
      </c>
      <c r="BY61" s="633">
        <v>0.24015112</v>
      </c>
      <c r="BZ61" s="620"/>
      <c r="CA61" s="697"/>
      <c r="CB61" s="620"/>
      <c r="CC61" s="676"/>
      <c r="CD61" s="122">
        <v>7.2</v>
      </c>
      <c r="CE61" s="119">
        <v>0.50130200000000003</v>
      </c>
      <c r="CF61" s="120">
        <v>5.2174673E-12</v>
      </c>
      <c r="CG61" s="660">
        <v>5.0000000000000001E-9</v>
      </c>
      <c r="CH61" s="693">
        <v>3.3928971000000002E-2</v>
      </c>
      <c r="CI61" s="121">
        <v>1.6466314999999999E-3</v>
      </c>
      <c r="CJ61" s="121">
        <v>5.3645595000000003E-3</v>
      </c>
      <c r="CK61" s="121">
        <v>0.24015112</v>
      </c>
      <c r="CL61" s="620"/>
      <c r="CM61" s="676"/>
      <c r="CN61" s="122">
        <v>7.2</v>
      </c>
      <c r="CO61" s="119">
        <v>0.50130200000000003</v>
      </c>
      <c r="CP61" s="120">
        <v>5.2174673E-12</v>
      </c>
      <c r="CQ61" s="660">
        <v>4.9829930749732628E-9</v>
      </c>
      <c r="CR61" s="693">
        <v>3.3928971000000002E-2</v>
      </c>
      <c r="CS61" s="121">
        <v>1.6466314999999999E-3</v>
      </c>
      <c r="CT61" s="121">
        <v>5.3645595000000003E-3</v>
      </c>
      <c r="CU61" s="121">
        <v>0.24015112</v>
      </c>
      <c r="CV61" s="676"/>
      <c r="CW61" s="676"/>
      <c r="CX61" s="676"/>
      <c r="CY61" s="676"/>
      <c r="CZ61" s="676"/>
      <c r="DA61" s="676"/>
      <c r="DB61" s="676"/>
      <c r="DC61" s="676"/>
      <c r="DD61" s="676"/>
      <c r="DE61" s="676"/>
      <c r="DF61" s="676"/>
      <c r="DG61" s="676"/>
      <c r="DH61" s="676"/>
      <c r="DI61" s="676"/>
    </row>
    <row r="62" spans="3:113">
      <c r="C62" s="122">
        <v>6</v>
      </c>
      <c r="D62" s="119">
        <v>0.41775099999999998</v>
      </c>
      <c r="E62" s="120">
        <v>4.5605815000000004E-12</v>
      </c>
      <c r="F62" s="120">
        <v>2.6987635000000002E-9</v>
      </c>
      <c r="G62" s="121">
        <v>3.5599563000000001E-2</v>
      </c>
      <c r="H62" s="121">
        <v>1.6898780999999999E-3</v>
      </c>
      <c r="I62" s="121">
        <v>5.5072363000000001E-3</v>
      </c>
      <c r="J62" s="121">
        <v>0.25197565</v>
      </c>
      <c r="K62" s="620"/>
      <c r="L62" s="36"/>
      <c r="M62" s="36"/>
      <c r="N62" s="36"/>
      <c r="O62" s="101"/>
      <c r="P62" s="102"/>
      <c r="Q62" s="103"/>
      <c r="R62" s="36"/>
      <c r="S62" s="36"/>
      <c r="T62" s="36"/>
      <c r="U62" s="36"/>
      <c r="W62" s="113"/>
      <c r="X62" s="36"/>
      <c r="Y62" s="36"/>
      <c r="Z62" s="36"/>
      <c r="AA62" s="36"/>
      <c r="BD62" s="656"/>
      <c r="BF62" s="122">
        <v>7.4</v>
      </c>
      <c r="BG62" s="119">
        <v>0.51522699999999999</v>
      </c>
      <c r="BH62" s="120">
        <v>5.4110696000000001E-12</v>
      </c>
      <c r="BI62" s="660">
        <v>4.0000000000000002E-9</v>
      </c>
      <c r="BJ62" s="661">
        <v>6.6792292000000003E-2</v>
      </c>
      <c r="BK62" s="121">
        <v>1.6335817000000001E-3</v>
      </c>
      <c r="BL62" s="121">
        <v>5.3162128000000001E-3</v>
      </c>
      <c r="BM62" s="121">
        <v>0.23637975</v>
      </c>
      <c r="BN62" s="675">
        <v>2.0000000000000001E-9</v>
      </c>
      <c r="BO62" s="676">
        <v>0.13358458400000001</v>
      </c>
      <c r="BP62" s="676"/>
      <c r="BQ62" s="622"/>
      <c r="BR62" s="631">
        <v>7.4</v>
      </c>
      <c r="BS62" s="248">
        <v>0.51522699999999999</v>
      </c>
      <c r="BT62" s="632">
        <v>5.4110696000000001E-12</v>
      </c>
      <c r="BU62" s="638">
        <v>4.2066501762608282E-9</v>
      </c>
      <c r="BV62" s="664">
        <v>6.6792292000000003E-2</v>
      </c>
      <c r="BW62" s="633">
        <v>1.6335817000000001E-3</v>
      </c>
      <c r="BX62" s="633">
        <v>5.3162128000000001E-3</v>
      </c>
      <c r="BY62" s="633">
        <v>0.23637975</v>
      </c>
      <c r="BZ62" s="620"/>
      <c r="CA62" s="697"/>
      <c r="CB62" s="620"/>
      <c r="CC62" s="676"/>
      <c r="CD62" s="122">
        <v>7.4</v>
      </c>
      <c r="CE62" s="119">
        <v>0.51522699999999999</v>
      </c>
      <c r="CF62" s="120">
        <v>5.4110696000000001E-12</v>
      </c>
      <c r="CG62" s="660">
        <v>5.0000000000000001E-9</v>
      </c>
      <c r="CH62" s="693">
        <v>3.3396146000000002E-2</v>
      </c>
      <c r="CI62" s="121">
        <v>1.6335817000000001E-3</v>
      </c>
      <c r="CJ62" s="121">
        <v>5.3162128000000001E-3</v>
      </c>
      <c r="CK62" s="121">
        <v>0.23637975</v>
      </c>
      <c r="CL62" s="620"/>
      <c r="CM62" s="676"/>
      <c r="CN62" s="122">
        <v>7.4</v>
      </c>
      <c r="CO62" s="119">
        <v>0.51522699999999999</v>
      </c>
      <c r="CP62" s="120">
        <v>5.4110696000000001E-12</v>
      </c>
      <c r="CQ62" s="660">
        <v>5.0081386639896967E-9</v>
      </c>
      <c r="CR62" s="693">
        <v>3.3396146000000002E-2</v>
      </c>
      <c r="CS62" s="121">
        <v>1.6335817000000001E-3</v>
      </c>
      <c r="CT62" s="121">
        <v>5.3162128000000001E-3</v>
      </c>
      <c r="CU62" s="121">
        <v>0.23637975</v>
      </c>
      <c r="CV62" s="676"/>
      <c r="CW62" s="676"/>
      <c r="CX62" s="676"/>
      <c r="CY62" s="676"/>
      <c r="CZ62" s="676"/>
      <c r="DA62" s="676"/>
      <c r="DB62" s="676"/>
      <c r="DC62" s="676"/>
      <c r="DD62" s="676"/>
      <c r="DE62" s="676"/>
      <c r="DF62" s="676"/>
      <c r="DG62" s="676"/>
      <c r="DH62" s="676"/>
      <c r="DI62" s="676"/>
    </row>
    <row r="63" spans="3:113">
      <c r="C63" s="122">
        <v>6.2</v>
      </c>
      <c r="D63" s="119">
        <v>0.43167699999999998</v>
      </c>
      <c r="E63" s="120">
        <v>5.1237215000000004E-12</v>
      </c>
      <c r="F63" s="120">
        <v>3.0374616000000001E-9</v>
      </c>
      <c r="G63" s="121">
        <v>3.5502841E-2</v>
      </c>
      <c r="H63" s="121">
        <v>1.6868432E-3</v>
      </c>
      <c r="I63" s="121">
        <v>5.5010049999999998E-3</v>
      </c>
      <c r="J63" s="121">
        <v>0.25129105000000002</v>
      </c>
      <c r="K63" s="620"/>
      <c r="L63" s="36"/>
      <c r="M63" s="36"/>
      <c r="N63" s="36"/>
      <c r="O63" s="101"/>
      <c r="P63" s="102"/>
      <c r="Q63" s="103"/>
      <c r="R63" s="36"/>
      <c r="S63" s="36"/>
      <c r="T63" s="36"/>
      <c r="U63" s="36"/>
      <c r="W63" s="113"/>
      <c r="X63" s="36"/>
      <c r="Y63" s="36"/>
      <c r="Z63" s="36"/>
      <c r="AA63" s="36"/>
      <c r="BD63" s="656"/>
      <c r="BF63" s="122">
        <v>7.6</v>
      </c>
      <c r="BG63" s="119">
        <v>0.52915199999999996</v>
      </c>
      <c r="BH63" s="120">
        <v>4.9947449000000002E-12</v>
      </c>
      <c r="BI63" s="660">
        <v>4.0000000000000002E-9</v>
      </c>
      <c r="BJ63" s="661">
        <v>6.5581273999999995E-2</v>
      </c>
      <c r="BK63" s="121">
        <v>1.6188628E-3</v>
      </c>
      <c r="BL63" s="121">
        <v>5.2608467999999999E-3</v>
      </c>
      <c r="BM63" s="121">
        <v>0.23209392000000001</v>
      </c>
      <c r="BN63" s="675">
        <v>2.0000000000000001E-9</v>
      </c>
      <c r="BO63" s="676">
        <v>0.13116254799999999</v>
      </c>
      <c r="BP63" s="676"/>
      <c r="BQ63" s="622"/>
      <c r="BR63" s="631">
        <v>7.6</v>
      </c>
      <c r="BS63" s="248">
        <v>0.52915199999999996</v>
      </c>
      <c r="BT63" s="632">
        <v>4.9947449000000002E-12</v>
      </c>
      <c r="BU63" s="638">
        <v>3.920464093460265E-9</v>
      </c>
      <c r="BV63" s="664">
        <v>6.5581273999999995E-2</v>
      </c>
      <c r="BW63" s="633">
        <v>1.6188628E-3</v>
      </c>
      <c r="BX63" s="633">
        <v>5.2608467999999999E-3</v>
      </c>
      <c r="BY63" s="633">
        <v>0.23209392000000001</v>
      </c>
      <c r="BZ63" s="620"/>
      <c r="CA63" s="697"/>
      <c r="CB63" s="620"/>
      <c r="CC63" s="676"/>
      <c r="CD63" s="122">
        <v>7.6</v>
      </c>
      <c r="CE63" s="119">
        <v>0.52915199999999996</v>
      </c>
      <c r="CF63" s="120">
        <v>4.9947449000000002E-12</v>
      </c>
      <c r="CG63" s="660">
        <v>5.0000000000000001E-9</v>
      </c>
      <c r="CH63" s="693">
        <v>3.2790636999999997E-2</v>
      </c>
      <c r="CI63" s="121">
        <v>1.6188628E-3</v>
      </c>
      <c r="CJ63" s="121">
        <v>5.2608467999999999E-3</v>
      </c>
      <c r="CK63" s="121">
        <v>0.23209392000000001</v>
      </c>
      <c r="CL63" s="620"/>
      <c r="CM63" s="676"/>
      <c r="CN63" s="122">
        <v>7.6</v>
      </c>
      <c r="CO63" s="119">
        <v>0.52915199999999996</v>
      </c>
      <c r="CP63" s="120">
        <v>4.9947449000000002E-12</v>
      </c>
      <c r="CQ63" s="660">
        <v>4.6767341590475261E-9</v>
      </c>
      <c r="CR63" s="693">
        <v>3.2790636999999997E-2</v>
      </c>
      <c r="CS63" s="121">
        <v>1.6188628E-3</v>
      </c>
      <c r="CT63" s="121">
        <v>5.2608467999999999E-3</v>
      </c>
      <c r="CU63" s="121">
        <v>0.23209392000000001</v>
      </c>
      <c r="CV63" s="676"/>
      <c r="CW63" s="676"/>
      <c r="CX63" s="676"/>
      <c r="CY63" s="676"/>
      <c r="CZ63" s="676"/>
      <c r="DA63" s="676"/>
      <c r="DB63" s="676"/>
      <c r="DC63" s="676"/>
      <c r="DD63" s="676"/>
      <c r="DE63" s="676"/>
      <c r="DF63" s="676"/>
      <c r="DG63" s="676"/>
      <c r="DH63" s="676"/>
      <c r="DI63" s="676"/>
    </row>
    <row r="64" spans="3:113">
      <c r="C64" s="122">
        <v>6.4</v>
      </c>
      <c r="D64" s="119">
        <v>0.445602</v>
      </c>
      <c r="E64" s="120">
        <v>4.5031251E-12</v>
      </c>
      <c r="F64" s="120">
        <v>2.6770230000000001E-9</v>
      </c>
      <c r="G64" s="121">
        <v>3.5333435000000003E-2</v>
      </c>
      <c r="H64" s="121">
        <v>1.6821392000000001E-3</v>
      </c>
      <c r="I64" s="121">
        <v>5.4877544000000002E-3</v>
      </c>
      <c r="J64" s="121">
        <v>0.25009198999999999</v>
      </c>
      <c r="K64" s="620"/>
      <c r="L64" s="36"/>
      <c r="M64" s="36"/>
      <c r="N64" s="36"/>
      <c r="O64" s="101"/>
      <c r="P64" s="102"/>
      <c r="Q64" s="103"/>
      <c r="R64" s="36"/>
      <c r="S64" s="36"/>
      <c r="T64" s="36"/>
      <c r="U64" s="36"/>
      <c r="W64" s="113"/>
      <c r="X64" s="36"/>
      <c r="Y64" s="36"/>
      <c r="Z64" s="36"/>
      <c r="AA64" s="36"/>
      <c r="BD64" s="656"/>
      <c r="BF64" s="122">
        <v>7.8</v>
      </c>
      <c r="BG64" s="119">
        <v>0.54307700000000003</v>
      </c>
      <c r="BH64" s="120">
        <v>4.6694647999999997E-12</v>
      </c>
      <c r="BI64" s="660">
        <v>4.0000000000000002E-9</v>
      </c>
      <c r="BJ64" s="661">
        <v>6.4224883999999996E-2</v>
      </c>
      <c r="BK64" s="121">
        <v>1.6024748000000001E-3</v>
      </c>
      <c r="BL64" s="121">
        <v>5.1984613999999998E-3</v>
      </c>
      <c r="BM64" s="121">
        <v>0.22729362</v>
      </c>
      <c r="BN64" s="675">
        <v>2.0000000000000001E-9</v>
      </c>
      <c r="BO64" s="676">
        <v>0.12844976799999999</v>
      </c>
      <c r="BP64" s="676"/>
      <c r="BQ64" s="622"/>
      <c r="BR64" s="631">
        <v>7.8</v>
      </c>
      <c r="BS64" s="248">
        <v>0.54307700000000003</v>
      </c>
      <c r="BT64" s="632">
        <v>4.6694647999999997E-12</v>
      </c>
      <c r="BU64" s="638">
        <v>3.6973471843185637E-9</v>
      </c>
      <c r="BV64" s="664">
        <v>6.4224883999999996E-2</v>
      </c>
      <c r="BW64" s="633">
        <v>1.6024748000000001E-3</v>
      </c>
      <c r="BX64" s="633">
        <v>5.1984613999999998E-3</v>
      </c>
      <c r="BY64" s="633">
        <v>0.22729362</v>
      </c>
      <c r="BZ64" s="620"/>
      <c r="CA64" s="697"/>
      <c r="CB64" s="620"/>
      <c r="CC64" s="676"/>
      <c r="CD64" s="122">
        <v>7.8</v>
      </c>
      <c r="CE64" s="119">
        <v>0.54307700000000003</v>
      </c>
      <c r="CF64" s="120">
        <v>4.6694647999999997E-12</v>
      </c>
      <c r="CG64" s="660">
        <v>5.0000000000000001E-9</v>
      </c>
      <c r="CH64" s="693">
        <v>3.2112441999999998E-2</v>
      </c>
      <c r="CI64" s="121">
        <v>1.6024748000000001E-3</v>
      </c>
      <c r="CJ64" s="121">
        <v>5.1984613999999998E-3</v>
      </c>
      <c r="CK64" s="121">
        <v>0.22729362</v>
      </c>
      <c r="CL64" s="620"/>
      <c r="CM64" s="676"/>
      <c r="CN64" s="122">
        <v>7.8</v>
      </c>
      <c r="CO64" s="119">
        <v>0.54307700000000003</v>
      </c>
      <c r="CP64" s="120">
        <v>4.6694647999999997E-12</v>
      </c>
      <c r="CQ64" s="660">
        <v>4.4140944135033473E-9</v>
      </c>
      <c r="CR64" s="693">
        <v>3.2112441999999998E-2</v>
      </c>
      <c r="CS64" s="121">
        <v>1.6024748000000001E-3</v>
      </c>
      <c r="CT64" s="121">
        <v>5.1984613999999998E-3</v>
      </c>
      <c r="CU64" s="121">
        <v>0.22729362</v>
      </c>
      <c r="CV64" s="676"/>
      <c r="CW64" s="676"/>
      <c r="CX64" s="676"/>
      <c r="CY64" s="676"/>
      <c r="CZ64" s="676"/>
      <c r="DA64" s="676"/>
      <c r="DB64" s="676"/>
      <c r="DC64" s="676"/>
      <c r="DD64" s="676"/>
      <c r="DE64" s="676"/>
      <c r="DF64" s="676"/>
      <c r="DG64" s="676"/>
      <c r="DH64" s="676"/>
      <c r="DI64" s="676"/>
    </row>
    <row r="65" spans="3:113">
      <c r="C65" s="122">
        <v>6.6</v>
      </c>
      <c r="D65" s="119">
        <v>0.45952700000000002</v>
      </c>
      <c r="E65" s="120">
        <v>4.4082158E-12</v>
      </c>
      <c r="F65" s="120">
        <v>2.6305677E-9</v>
      </c>
      <c r="G65" s="121">
        <v>3.5091346000000002E-2</v>
      </c>
      <c r="H65" s="121">
        <v>1.675766E-3</v>
      </c>
      <c r="I65" s="121">
        <v>5.4674846000000001E-3</v>
      </c>
      <c r="J65" s="121">
        <v>0.24837846</v>
      </c>
      <c r="K65" s="620"/>
      <c r="L65" s="36"/>
      <c r="M65" s="36"/>
      <c r="N65" s="36"/>
      <c r="O65" s="101"/>
      <c r="P65" s="102"/>
      <c r="Q65" s="103"/>
      <c r="R65" s="36"/>
      <c r="S65" s="36"/>
      <c r="T65" s="36"/>
      <c r="U65" s="36"/>
      <c r="W65" s="113"/>
      <c r="X65" s="36"/>
      <c r="Y65" s="36"/>
      <c r="Z65" s="36"/>
      <c r="AA65" s="36"/>
      <c r="BD65" s="656"/>
      <c r="BF65" s="122">
        <v>8</v>
      </c>
      <c r="BG65" s="119">
        <v>0.557002</v>
      </c>
      <c r="BH65" s="120">
        <v>4.2744007E-12</v>
      </c>
      <c r="BI65" s="660">
        <v>4.0000000000000002E-9</v>
      </c>
      <c r="BJ65" s="661">
        <v>6.2723130000000002E-2</v>
      </c>
      <c r="BK65" s="121">
        <v>1.5844176000000001E-3</v>
      </c>
      <c r="BL65" s="121">
        <v>5.1290570000000002E-3</v>
      </c>
      <c r="BM65" s="121">
        <v>0.22197886999999999</v>
      </c>
      <c r="BN65" s="675">
        <v>2.0000000000000001E-9</v>
      </c>
      <c r="BO65" s="676">
        <v>0.12544626</v>
      </c>
      <c r="BP65" s="676"/>
      <c r="BQ65" s="622"/>
      <c r="BR65" s="631">
        <v>8</v>
      </c>
      <c r="BS65" s="248">
        <v>0.557002</v>
      </c>
      <c r="BT65" s="632">
        <v>4.2744007E-12</v>
      </c>
      <c r="BU65" s="638">
        <v>3.4363041741581906E-9</v>
      </c>
      <c r="BV65" s="664">
        <v>6.2723130000000002E-2</v>
      </c>
      <c r="BW65" s="633">
        <v>1.5844176000000001E-3</v>
      </c>
      <c r="BX65" s="633">
        <v>5.1290570000000002E-3</v>
      </c>
      <c r="BY65" s="633">
        <v>0.22197886999999999</v>
      </c>
      <c r="BZ65" s="620"/>
      <c r="CA65" s="697"/>
      <c r="CB65" s="620"/>
      <c r="CC65" s="676"/>
      <c r="CD65" s="122">
        <v>8</v>
      </c>
      <c r="CE65" s="119">
        <v>0.557002</v>
      </c>
      <c r="CF65" s="120">
        <v>4.2744007E-12</v>
      </c>
      <c r="CG65" s="660">
        <v>5.0000000000000001E-9</v>
      </c>
      <c r="CH65" s="693">
        <v>3.1361565000000001E-2</v>
      </c>
      <c r="CI65" s="121">
        <v>1.5844176000000001E-3</v>
      </c>
      <c r="CJ65" s="121">
        <v>5.1290570000000002E-3</v>
      </c>
      <c r="CK65" s="121">
        <v>0.22197886999999999</v>
      </c>
      <c r="CL65" s="620"/>
      <c r="CM65" s="676"/>
      <c r="CN65" s="122">
        <v>8</v>
      </c>
      <c r="CO65" s="119">
        <v>0.557002</v>
      </c>
      <c r="CP65" s="120">
        <v>4.2744007E-12</v>
      </c>
      <c r="CQ65" s="660">
        <v>4.1187096014556307E-9</v>
      </c>
      <c r="CR65" s="693">
        <v>3.1361565000000001E-2</v>
      </c>
      <c r="CS65" s="121">
        <v>1.5844176000000001E-3</v>
      </c>
      <c r="CT65" s="121">
        <v>5.1290570000000002E-3</v>
      </c>
      <c r="CU65" s="121">
        <v>0.22197886999999999</v>
      </c>
      <c r="CV65" s="676"/>
      <c r="CW65" s="676"/>
      <c r="CX65" s="676"/>
      <c r="CY65" s="676"/>
      <c r="CZ65" s="676"/>
      <c r="DA65" s="676"/>
      <c r="DB65" s="676"/>
      <c r="DC65" s="676"/>
      <c r="DD65" s="676"/>
      <c r="DE65" s="676"/>
      <c r="DF65" s="676"/>
      <c r="DG65" s="676"/>
      <c r="DH65" s="676"/>
      <c r="DI65" s="676"/>
    </row>
    <row r="66" spans="3:113">
      <c r="C66" s="122">
        <v>6.8</v>
      </c>
      <c r="D66" s="119">
        <v>0.47345199999999998</v>
      </c>
      <c r="E66" s="120">
        <v>4.2487639999999996E-12</v>
      </c>
      <c r="F66" s="120">
        <v>2.5476428000000002E-9</v>
      </c>
      <c r="G66" s="121">
        <v>3.4776570999999999E-2</v>
      </c>
      <c r="H66" s="121">
        <v>1.6677236000000001E-3</v>
      </c>
      <c r="I66" s="121">
        <v>5.4401954000000002E-3</v>
      </c>
      <c r="J66" s="121">
        <v>0.24615048</v>
      </c>
      <c r="K66" s="620"/>
      <c r="L66" s="36"/>
      <c r="M66" s="36"/>
      <c r="N66" s="36"/>
      <c r="O66" s="101"/>
      <c r="P66" s="102"/>
      <c r="Q66" s="103"/>
      <c r="R66" s="36"/>
      <c r="S66" s="36"/>
      <c r="T66" s="36"/>
      <c r="U66" s="36"/>
      <c r="W66" s="113"/>
      <c r="X66" s="36"/>
      <c r="BD66" s="656"/>
      <c r="BN66" s="673"/>
      <c r="BO66" s="141"/>
      <c r="BP66" s="141"/>
      <c r="BQ66" s="622"/>
      <c r="BR66" s="615"/>
      <c r="BS66" s="615"/>
      <c r="BT66" s="615"/>
      <c r="BU66" s="625">
        <f>(2*PI()*0.2*SUMPRODUCT($BR40:$BR65,BU40:BU65))/(2*PI()*0.2*SUM($BR40:$BR65))</f>
        <v>4.4414361248496933E-9</v>
      </c>
      <c r="BV66" s="630">
        <f>(2*PI()*0.2*SUMPRODUCT($BR40:$BR65,BV40:BV65))/(2*PI()*0.2*SUM($BR40:$BR65))</f>
        <v>6.8707970198601392E-2</v>
      </c>
      <c r="BW66" s="615"/>
      <c r="BX66" s="615"/>
      <c r="BY66" s="615"/>
      <c r="BZ66" s="615"/>
      <c r="CA66" s="695"/>
      <c r="CB66" s="615"/>
      <c r="CC66" s="615"/>
      <c r="CD66" s="615"/>
      <c r="CE66" s="615"/>
      <c r="CF66" s="615"/>
      <c r="CG66" s="615"/>
      <c r="CH66" s="615"/>
      <c r="CI66" s="615"/>
      <c r="CJ66" s="615"/>
      <c r="CK66" s="615"/>
      <c r="CL66" s="615"/>
      <c r="CM66" s="141"/>
      <c r="CN66" s="141"/>
      <c r="CO66" s="141"/>
      <c r="CP66" s="141"/>
      <c r="CQ66" s="141"/>
      <c r="CR66" s="141"/>
      <c r="CS66" s="141"/>
      <c r="CT66" s="141"/>
      <c r="CU66" s="141"/>
      <c r="CV66" s="141"/>
      <c r="CW66" s="141"/>
      <c r="CX66" s="141"/>
      <c r="CY66" s="141"/>
      <c r="CZ66" s="141"/>
      <c r="DA66" s="141"/>
      <c r="DB66" s="141"/>
      <c r="DC66" s="141"/>
      <c r="DD66" s="141"/>
      <c r="DE66" s="141"/>
      <c r="DF66" s="141"/>
      <c r="DG66" s="141"/>
      <c r="DH66" s="141"/>
      <c r="DI66" s="141"/>
    </row>
    <row r="67" spans="3:113">
      <c r="C67" s="122">
        <v>7</v>
      </c>
      <c r="D67" s="119">
        <v>0.487377</v>
      </c>
      <c r="E67" s="120">
        <v>4.6538338999999996E-12</v>
      </c>
      <c r="F67" s="120">
        <v>2.8068757E-9</v>
      </c>
      <c r="G67" s="121">
        <v>3.4389113999999998E-2</v>
      </c>
      <c r="H67" s="121">
        <v>1.6580121E-3</v>
      </c>
      <c r="I67" s="121">
        <v>5.4058871999999999E-3</v>
      </c>
      <c r="J67" s="121">
        <v>0.24340803</v>
      </c>
      <c r="K67" s="620"/>
      <c r="L67" s="36"/>
      <c r="M67" s="36"/>
      <c r="N67" s="36"/>
      <c r="O67" s="101"/>
      <c r="P67" s="102"/>
      <c r="Q67" s="103"/>
      <c r="R67" s="36"/>
      <c r="S67" s="36"/>
      <c r="T67" s="36"/>
      <c r="U67" s="36"/>
      <c r="BD67" s="656"/>
      <c r="BN67" s="141"/>
      <c r="BQ67" s="141"/>
      <c r="BR67" s="141"/>
      <c r="BS67" s="141"/>
      <c r="BT67" s="141"/>
      <c r="BU67" s="141"/>
      <c r="BV67" s="141"/>
      <c r="BW67" s="141"/>
      <c r="BX67" s="141"/>
      <c r="BY67" s="141"/>
      <c r="BZ67" s="141"/>
      <c r="CA67" s="141"/>
      <c r="CB67" s="141"/>
      <c r="CC67" s="141"/>
      <c r="CD67" s="141"/>
      <c r="CE67" s="141"/>
      <c r="CF67" s="141"/>
      <c r="CG67" s="141"/>
      <c r="CH67" s="141"/>
      <c r="CI67" s="141"/>
      <c r="CJ67" s="141"/>
      <c r="CK67" s="141"/>
      <c r="CL67" s="141"/>
    </row>
    <row r="68" spans="3:113">
      <c r="C68" s="122">
        <v>7.2</v>
      </c>
      <c r="D68" s="119">
        <v>0.50130200000000003</v>
      </c>
      <c r="E68" s="120">
        <v>5.2174673E-12</v>
      </c>
      <c r="F68" s="120">
        <v>3.1685701E-9</v>
      </c>
      <c r="G68" s="121">
        <v>3.3928971000000002E-2</v>
      </c>
      <c r="H68" s="121">
        <v>1.6466314999999999E-3</v>
      </c>
      <c r="I68" s="121">
        <v>5.3645595000000003E-3</v>
      </c>
      <c r="J68" s="121">
        <v>0.24015112</v>
      </c>
      <c r="K68" s="620"/>
      <c r="L68" s="36"/>
      <c r="M68" s="36"/>
      <c r="N68" s="36"/>
      <c r="O68" s="101"/>
      <c r="P68" s="102"/>
      <c r="Q68" s="103"/>
      <c r="R68" s="36"/>
      <c r="S68" s="36"/>
      <c r="T68" s="36"/>
      <c r="U68" s="36"/>
      <c r="BD68" s="656"/>
      <c r="BN68" s="141"/>
    </row>
    <row r="69" spans="3:113">
      <c r="C69" s="122">
        <v>7.4</v>
      </c>
      <c r="D69" s="119">
        <v>0.51522699999999999</v>
      </c>
      <c r="E69" s="120">
        <v>5.4110696000000001E-12</v>
      </c>
      <c r="F69" s="120">
        <v>3.3123959999999998E-9</v>
      </c>
      <c r="G69" s="121">
        <v>3.3396146000000002E-2</v>
      </c>
      <c r="H69" s="121">
        <v>1.6335817000000001E-3</v>
      </c>
      <c r="I69" s="121">
        <v>5.3162128000000001E-3</v>
      </c>
      <c r="J69" s="121">
        <v>0.23637975</v>
      </c>
      <c r="K69" s="620"/>
      <c r="L69" s="36"/>
      <c r="M69" s="36"/>
      <c r="N69" s="36"/>
      <c r="O69" s="101"/>
      <c r="P69" s="102"/>
      <c r="Q69" s="103"/>
      <c r="R69" s="36"/>
      <c r="S69" s="36"/>
      <c r="T69" s="36"/>
      <c r="U69" s="36"/>
      <c r="BD69" s="656"/>
      <c r="BN69" s="141"/>
    </row>
    <row r="70" spans="3:113">
      <c r="C70" s="122">
        <v>7.6</v>
      </c>
      <c r="D70" s="119">
        <v>0.52915199999999996</v>
      </c>
      <c r="E70" s="120">
        <v>4.9947449000000002E-12</v>
      </c>
      <c r="F70" s="120">
        <v>3.0853417000000001E-9</v>
      </c>
      <c r="G70" s="121">
        <v>3.2790636999999997E-2</v>
      </c>
      <c r="H70" s="121">
        <v>1.6188628E-3</v>
      </c>
      <c r="I70" s="121">
        <v>5.2608467999999999E-3</v>
      </c>
      <c r="J70" s="121">
        <v>0.23209392000000001</v>
      </c>
      <c r="K70" s="620"/>
      <c r="L70" s="36"/>
      <c r="M70" s="36"/>
      <c r="N70" s="36"/>
      <c r="O70" s="101"/>
      <c r="P70" s="102"/>
      <c r="Q70" s="103"/>
      <c r="R70" s="36"/>
      <c r="S70" s="36"/>
      <c r="T70" s="36"/>
      <c r="U70" s="36"/>
      <c r="BD70" s="656"/>
      <c r="BN70" s="141"/>
    </row>
    <row r="71" spans="3:113">
      <c r="C71" s="122">
        <v>7.8</v>
      </c>
      <c r="D71" s="119">
        <v>0.54307700000000003</v>
      </c>
      <c r="E71" s="120">
        <v>4.6694647999999997E-12</v>
      </c>
      <c r="F71" s="120">
        <v>2.9139084999999999E-9</v>
      </c>
      <c r="G71" s="121">
        <v>3.2112441999999998E-2</v>
      </c>
      <c r="H71" s="121">
        <v>1.6024748000000001E-3</v>
      </c>
      <c r="I71" s="121">
        <v>5.1984613999999998E-3</v>
      </c>
      <c r="J71" s="121">
        <v>0.22729362</v>
      </c>
      <c r="K71" s="620"/>
      <c r="L71" s="36"/>
      <c r="M71" s="36"/>
      <c r="N71" s="36"/>
      <c r="O71" s="101"/>
      <c r="P71" s="102"/>
      <c r="Q71" s="103"/>
      <c r="R71" s="36"/>
      <c r="S71" s="36"/>
      <c r="T71" s="36"/>
      <c r="U71" s="36"/>
      <c r="BD71" s="656"/>
      <c r="BN71" s="141"/>
    </row>
    <row r="72" spans="3:113">
      <c r="C72" s="122">
        <v>8</v>
      </c>
      <c r="D72" s="119">
        <v>0.557002</v>
      </c>
      <c r="E72" s="120">
        <v>4.2744007E-12</v>
      </c>
      <c r="F72" s="120">
        <v>2.6977739999999999E-9</v>
      </c>
      <c r="G72" s="121">
        <v>3.1361565000000001E-2</v>
      </c>
      <c r="H72" s="121">
        <v>1.5844176000000001E-3</v>
      </c>
      <c r="I72" s="121">
        <v>5.1290570000000002E-3</v>
      </c>
      <c r="J72" s="121">
        <v>0.22197886999999999</v>
      </c>
      <c r="K72" s="620"/>
      <c r="L72" s="36"/>
      <c r="M72" s="36"/>
      <c r="N72" s="36"/>
      <c r="O72" s="101"/>
      <c r="P72" s="102"/>
      <c r="Q72" s="103"/>
      <c r="R72" s="36"/>
      <c r="S72" s="36"/>
      <c r="T72" s="36"/>
      <c r="U72" s="36"/>
      <c r="BD72" s="656"/>
      <c r="BN72" s="141"/>
    </row>
    <row r="73" spans="3:113">
      <c r="C73" s="122">
        <v>8.1999999999999993</v>
      </c>
      <c r="D73" s="119">
        <v>0.57092699999999996</v>
      </c>
      <c r="E73" s="120">
        <v>4.5633865E-12</v>
      </c>
      <c r="F73" s="120">
        <v>3.1020396000000001E-9</v>
      </c>
      <c r="G73" s="121">
        <v>2.8432188000000001E-2</v>
      </c>
      <c r="H73" s="121">
        <v>1.4710922999999999E-3</v>
      </c>
      <c r="I73" s="121">
        <v>5.0067395999999998E-3</v>
      </c>
      <c r="J73" s="121">
        <v>0.20124458000000001</v>
      </c>
      <c r="K73" s="620"/>
      <c r="L73" s="36"/>
      <c r="M73" s="36"/>
      <c r="N73" s="36"/>
      <c r="O73" s="101"/>
      <c r="P73" s="102"/>
      <c r="Q73" s="103"/>
      <c r="R73" s="36"/>
      <c r="S73" s="36"/>
      <c r="T73" s="36"/>
      <c r="U73" s="36"/>
      <c r="BD73" s="656"/>
      <c r="BN73" s="141"/>
    </row>
    <row r="74" spans="3:113">
      <c r="C74" s="122">
        <v>8.4</v>
      </c>
      <c r="D74" s="119">
        <v>0.58485200000000004</v>
      </c>
      <c r="E74" s="120">
        <v>6.1716808999999999E-12</v>
      </c>
      <c r="F74" s="120">
        <v>4.6088999999999997E-9</v>
      </c>
      <c r="G74" s="121">
        <v>2.5047234000000002E-2</v>
      </c>
      <c r="H74" s="121">
        <v>1.3390788999999999E-3</v>
      </c>
      <c r="I74" s="121">
        <v>4.8690581000000004E-3</v>
      </c>
      <c r="J74" s="121">
        <v>0.17728569</v>
      </c>
      <c r="K74" s="620"/>
      <c r="L74" s="36"/>
      <c r="M74" s="36"/>
      <c r="N74" s="36"/>
      <c r="O74" s="101"/>
      <c r="P74" s="102"/>
      <c r="Q74" s="103"/>
      <c r="R74" s="36"/>
      <c r="S74" s="36"/>
      <c r="T74" s="36"/>
      <c r="U74" s="36"/>
      <c r="BD74" s="656"/>
      <c r="BN74" s="141"/>
    </row>
    <row r="75" spans="3:113">
      <c r="C75" s="122">
        <v>8.6</v>
      </c>
      <c r="D75" s="119">
        <v>0.598777</v>
      </c>
      <c r="E75" s="120">
        <v>9.2761410999999995E-12</v>
      </c>
      <c r="F75" s="120">
        <v>8.3426315000000007E-9</v>
      </c>
      <c r="G75" s="121">
        <v>2.0952740000000001E-2</v>
      </c>
      <c r="H75" s="121">
        <v>1.1118962999999999E-3</v>
      </c>
      <c r="I75" s="121">
        <v>4.7479228000000002E-3</v>
      </c>
      <c r="J75" s="121">
        <v>0.14830463999999999</v>
      </c>
      <c r="K75" s="620"/>
      <c r="L75" s="36"/>
      <c r="M75" s="36"/>
      <c r="N75" s="36"/>
      <c r="O75" s="101"/>
      <c r="P75" s="102"/>
      <c r="Q75" s="103"/>
      <c r="R75" s="36"/>
      <c r="S75" s="36"/>
      <c r="T75" s="36"/>
      <c r="U75" s="36"/>
      <c r="BD75" s="656"/>
      <c r="BN75" s="141"/>
    </row>
    <row r="76" spans="3:113">
      <c r="C76" s="122">
        <v>8.8000000000000007</v>
      </c>
      <c r="D76" s="119">
        <v>0.61270199999999997</v>
      </c>
      <c r="E76" s="120">
        <v>1.2595295E-11</v>
      </c>
      <c r="F76" s="120">
        <v>1.5453628000000001E-8</v>
      </c>
      <c r="G76" s="121">
        <v>1.6233356000000001E-2</v>
      </c>
      <c r="H76" s="121">
        <v>8.1503806999999996E-4</v>
      </c>
      <c r="I76" s="121">
        <v>4.6326965000000001E-3</v>
      </c>
      <c r="J76" s="121">
        <v>0.11490058</v>
      </c>
      <c r="K76" s="620"/>
      <c r="L76" s="36"/>
      <c r="M76" s="36"/>
      <c r="N76" s="36"/>
      <c r="O76" s="101"/>
      <c r="P76" s="102"/>
      <c r="Q76" s="103"/>
      <c r="R76" s="36"/>
      <c r="S76" s="36"/>
      <c r="T76" s="36"/>
      <c r="U76" s="36"/>
      <c r="BD76" s="656"/>
      <c r="BN76" s="141"/>
    </row>
    <row r="77" spans="3:113">
      <c r="C77" s="122">
        <v>9</v>
      </c>
      <c r="D77" s="119">
        <v>0.62662700000000005</v>
      </c>
      <c r="E77" s="120">
        <v>1.5781341999999999E-11</v>
      </c>
      <c r="F77" s="120">
        <v>3.0038766E-8</v>
      </c>
      <c r="G77" s="121">
        <v>1.1962502999999999E-2</v>
      </c>
      <c r="H77" s="121">
        <v>5.2536586E-4</v>
      </c>
      <c r="I77" s="121">
        <v>4.6090604999999996E-3</v>
      </c>
      <c r="J77" s="121">
        <v>8.4671251000000003E-2</v>
      </c>
      <c r="K77" s="620"/>
      <c r="L77" s="36"/>
      <c r="M77" s="36"/>
      <c r="N77" s="36"/>
      <c r="O77" s="101"/>
      <c r="P77" s="102"/>
      <c r="Q77" s="103"/>
      <c r="R77" s="36"/>
      <c r="S77" s="36"/>
      <c r="T77" s="36"/>
      <c r="U77" s="36"/>
      <c r="BD77" s="656"/>
      <c r="BN77" s="141"/>
    </row>
    <row r="78" spans="3:113">
      <c r="C78"/>
      <c r="D78"/>
      <c r="E78"/>
      <c r="F78"/>
      <c r="G78"/>
      <c r="H78"/>
      <c r="I78"/>
      <c r="J78"/>
      <c r="K78" s="141"/>
      <c r="L78" s="36"/>
      <c r="M78" s="36"/>
      <c r="N78" s="36"/>
      <c r="O78" s="101"/>
      <c r="P78" s="102"/>
      <c r="Q78" s="103"/>
      <c r="R78" s="36"/>
      <c r="S78" s="36"/>
      <c r="T78" s="36"/>
      <c r="U78" s="36"/>
      <c r="BD78" s="656"/>
      <c r="BN78" s="141"/>
    </row>
    <row r="79" spans="3:113">
      <c r="C79"/>
      <c r="D79"/>
      <c r="E79"/>
      <c r="F79"/>
      <c r="G79"/>
      <c r="H79"/>
      <c r="I79"/>
      <c r="J79"/>
      <c r="K79" s="141"/>
      <c r="L79" s="36"/>
      <c r="M79" s="36"/>
      <c r="N79" s="36"/>
      <c r="O79" s="101"/>
      <c r="P79" s="102"/>
      <c r="Q79" s="103"/>
      <c r="R79" s="36"/>
      <c r="S79" s="36"/>
      <c r="T79" s="36"/>
      <c r="U79" s="36"/>
      <c r="BD79" s="656"/>
      <c r="BN79" s="141"/>
    </row>
    <row r="80" spans="3:113">
      <c r="C80"/>
      <c r="D80"/>
      <c r="E80"/>
      <c r="F80"/>
      <c r="G80"/>
      <c r="H80"/>
      <c r="I80"/>
      <c r="J80"/>
      <c r="K80" s="141"/>
      <c r="L80" s="36"/>
      <c r="M80" s="36"/>
      <c r="N80" s="36"/>
      <c r="O80" s="101"/>
      <c r="P80" s="102"/>
      <c r="Q80" s="103"/>
      <c r="R80" s="36"/>
      <c r="S80" s="36"/>
      <c r="T80" s="36"/>
      <c r="U80" s="36"/>
      <c r="BD80" s="656"/>
      <c r="BN80" s="141"/>
    </row>
    <row r="81" spans="12:66">
      <c r="L81" s="36"/>
      <c r="M81" s="36"/>
      <c r="N81" s="36"/>
      <c r="O81" s="101"/>
      <c r="P81" s="102"/>
      <c r="Q81" s="103"/>
      <c r="R81" s="36"/>
      <c r="S81" s="36"/>
      <c r="T81" s="36"/>
      <c r="U81" s="36"/>
      <c r="BD81" s="656"/>
      <c r="BN81" s="141"/>
    </row>
    <row r="82" spans="12:66">
      <c r="L82" s="36"/>
      <c r="M82" s="36"/>
      <c r="N82" s="36"/>
      <c r="O82" s="101"/>
      <c r="P82" s="102"/>
      <c r="Q82" s="103"/>
      <c r="R82" s="36"/>
      <c r="S82" s="36"/>
      <c r="T82" s="36"/>
      <c r="U82" s="36"/>
      <c r="BD82" s="656"/>
      <c r="BN82" s="141"/>
    </row>
    <row r="83" spans="12:66">
      <c r="L83" s="36"/>
      <c r="M83" s="36"/>
      <c r="N83" s="36"/>
      <c r="O83" s="101"/>
      <c r="P83" s="102"/>
      <c r="Q83" s="103"/>
      <c r="R83" s="36"/>
      <c r="S83" s="36"/>
      <c r="T83" s="36"/>
      <c r="U83" s="36"/>
      <c r="BD83" s="656"/>
      <c r="BN83" s="141"/>
    </row>
    <row r="84" spans="12:66">
      <c r="L84" s="36"/>
      <c r="M84" s="36"/>
      <c r="N84" s="36"/>
      <c r="O84" s="101"/>
      <c r="P84" s="102"/>
      <c r="Q84" s="103"/>
      <c r="R84" s="36"/>
      <c r="S84" s="36"/>
      <c r="T84" s="36"/>
      <c r="U84" s="36"/>
      <c r="BD84" s="656"/>
      <c r="BN84" s="141"/>
    </row>
    <row r="85" spans="12:66">
      <c r="BD85" s="656"/>
      <c r="BN85" s="141"/>
    </row>
    <row r="86" spans="12:66">
      <c r="BD86" s="656"/>
      <c r="BN86" s="141"/>
    </row>
    <row r="87" spans="12:66">
      <c r="BD87" s="656"/>
      <c r="BN87" s="141"/>
    </row>
    <row r="88" spans="12:66">
      <c r="BD88" s="656"/>
      <c r="BN88" s="141"/>
    </row>
    <row r="89" spans="12:66">
      <c r="BD89" s="656"/>
      <c r="BN89" s="141"/>
    </row>
    <row r="90" spans="12:66">
      <c r="BD90" s="656"/>
    </row>
    <row r="91" spans="12:66">
      <c r="BD91" s="656"/>
    </row>
    <row r="92" spans="12:66">
      <c r="BD92" s="656"/>
    </row>
    <row r="93" spans="12:66">
      <c r="BD93" s="656"/>
    </row>
    <row r="94" spans="12:66">
      <c r="BD94" s="141"/>
    </row>
    <row r="95" spans="12:66">
      <c r="BD95" s="141"/>
    </row>
    <row r="96" spans="12:66">
      <c r="BD96" s="141"/>
    </row>
    <row r="97" spans="56:56">
      <c r="BD97" s="141"/>
    </row>
    <row r="98" spans="56:56">
      <c r="BD98" s="141"/>
    </row>
    <row r="99" spans="56:56">
      <c r="BD99" s="141"/>
    </row>
    <row r="100" spans="56:56">
      <c r="BD100" s="141"/>
    </row>
    <row r="101" spans="56:56">
      <c r="BD101" s="141"/>
    </row>
    <row r="117" spans="33:33">
      <c r="AG117" s="113"/>
    </row>
    <row r="148" spans="23:31">
      <c r="W148" s="113"/>
      <c r="X148" s="36"/>
      <c r="Y148" s="36"/>
      <c r="Z148" s="36"/>
      <c r="AA148" s="36"/>
      <c r="AB148" s="36"/>
      <c r="AC148" s="36"/>
      <c r="AD148" s="36"/>
      <c r="AE148" s="3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Y71"/>
  <sheetViews>
    <sheetView zoomScale="115" zoomScaleNormal="115" workbookViewId="0">
      <selection activeCell="H41" sqref="H41"/>
    </sheetView>
  </sheetViews>
  <sheetFormatPr defaultColWidth="8.85546875" defaultRowHeight="15"/>
  <cols>
    <col min="1" max="1" width="2.7109375" style="171" customWidth="1"/>
    <col min="2" max="2" width="9.28515625" style="171" bestFit="1" customWidth="1"/>
    <col min="3" max="3" width="16.140625" style="171" customWidth="1"/>
    <col min="4" max="5" width="9.28515625" style="171" customWidth="1"/>
    <col min="6" max="6" width="8.85546875" style="171" customWidth="1"/>
    <col min="7" max="7" width="9.7109375" style="171" customWidth="1"/>
    <col min="8" max="12" width="9.28515625" style="171" customWidth="1"/>
    <col min="13" max="13" width="9.42578125" style="171" customWidth="1"/>
    <col min="14" max="14" width="12.42578125" style="171" customWidth="1"/>
    <col min="15" max="16" width="13.140625" style="171" customWidth="1"/>
    <col min="17" max="17" width="16.42578125" style="171" customWidth="1"/>
    <col min="18" max="18" width="15.28515625" style="712" customWidth="1"/>
    <col min="19" max="20" width="18.28515625" style="171" customWidth="1"/>
    <col min="21" max="21" width="9.28515625" style="171" bestFit="1" customWidth="1"/>
    <col min="22" max="22" width="12.85546875" style="171" customWidth="1"/>
    <col min="23" max="23" width="8.85546875" style="171"/>
    <col min="24" max="24" width="27.7109375" style="172" customWidth="1"/>
    <col min="25" max="26" width="10.85546875" style="171" customWidth="1"/>
    <col min="27" max="27" width="8.85546875" style="171"/>
    <col min="28" max="28" width="2.85546875" style="173" customWidth="1"/>
    <col min="29" max="31" width="8.85546875" style="171"/>
    <col min="32" max="36" width="11.28515625" style="171" customWidth="1"/>
    <col min="37" max="40" width="8.85546875" style="171"/>
    <col min="41" max="41" width="2.85546875" style="173" customWidth="1"/>
    <col min="42" max="42" width="8.85546875" style="171"/>
    <col min="43" max="43" width="14" style="171" customWidth="1"/>
    <col min="44" max="45" width="10.7109375" style="171" customWidth="1"/>
    <col min="46" max="46" width="8.7109375" style="171" bestFit="1" customWidth="1"/>
    <col min="47" max="47" width="14.140625" style="171" bestFit="1" customWidth="1"/>
    <col min="48" max="48" width="13.42578125" style="206" customWidth="1"/>
    <col min="49" max="49" width="14" style="171" customWidth="1"/>
    <col min="50" max="51" width="10.7109375" style="171" customWidth="1"/>
    <col min="52" max="16384" width="8.85546875" style="171"/>
  </cols>
  <sheetData>
    <row r="1" spans="1:51" s="163" customFormat="1" ht="18.75">
      <c r="A1" s="162" t="s">
        <v>240</v>
      </c>
      <c r="R1" s="711"/>
      <c r="AV1" s="164"/>
    </row>
    <row r="2" spans="1:51" s="165" customFormat="1" ht="15.75">
      <c r="B2" s="165">
        <v>1</v>
      </c>
      <c r="C2" s="165">
        <v>2</v>
      </c>
      <c r="D2" s="165">
        <v>3</v>
      </c>
      <c r="E2" s="165">
        <v>4</v>
      </c>
      <c r="F2" s="165">
        <v>5</v>
      </c>
      <c r="G2" s="165">
        <v>6</v>
      </c>
      <c r="H2" s="165">
        <v>7</v>
      </c>
      <c r="I2" s="165">
        <v>8</v>
      </c>
      <c r="J2" s="165">
        <v>9</v>
      </c>
      <c r="K2" s="165">
        <v>10</v>
      </c>
      <c r="L2" s="165">
        <v>11</v>
      </c>
      <c r="M2" s="165">
        <v>12</v>
      </c>
      <c r="N2" s="165">
        <v>13</v>
      </c>
      <c r="O2" s="165">
        <v>14</v>
      </c>
      <c r="P2" s="165">
        <v>15</v>
      </c>
      <c r="Q2" s="165">
        <v>16</v>
      </c>
      <c r="R2" s="712">
        <v>17</v>
      </c>
      <c r="S2" s="165">
        <v>18</v>
      </c>
      <c r="T2" s="165">
        <v>19</v>
      </c>
      <c r="U2" s="165">
        <v>20</v>
      </c>
      <c r="V2" s="165">
        <v>21</v>
      </c>
      <c r="W2" s="165">
        <v>22</v>
      </c>
      <c r="X2" s="165">
        <v>23</v>
      </c>
      <c r="Y2" s="165">
        <v>24</v>
      </c>
      <c r="Z2" s="165">
        <v>25</v>
      </c>
      <c r="AB2" s="166"/>
      <c r="AC2" s="167"/>
      <c r="AD2" s="167"/>
      <c r="AE2" s="167"/>
      <c r="AF2" s="167"/>
      <c r="AG2" s="167"/>
      <c r="AH2" s="167"/>
      <c r="AI2" s="167"/>
      <c r="AJ2" s="167"/>
      <c r="AK2" s="167"/>
      <c r="AL2" s="167"/>
      <c r="AM2" s="167"/>
      <c r="AN2" s="167"/>
      <c r="AO2" s="166"/>
      <c r="AQ2" s="168"/>
      <c r="AR2" s="169"/>
      <c r="AS2" s="169"/>
      <c r="AT2" s="169"/>
      <c r="AU2" s="169"/>
      <c r="AV2" s="170"/>
      <c r="AW2" s="168"/>
      <c r="AX2" s="169"/>
      <c r="AY2" s="169"/>
    </row>
    <row r="3" spans="1:51" ht="15.75">
      <c r="E3" s="171" t="s">
        <v>122</v>
      </c>
      <c r="G3" s="171" t="s">
        <v>241</v>
      </c>
      <c r="H3" s="171" t="s">
        <v>242</v>
      </c>
      <c r="I3" s="171" t="s">
        <v>243</v>
      </c>
      <c r="K3" s="171" t="s">
        <v>244</v>
      </c>
      <c r="L3" s="171" t="s">
        <v>245</v>
      </c>
      <c r="M3" s="171" t="s">
        <v>128</v>
      </c>
      <c r="N3" s="171" t="s">
        <v>246</v>
      </c>
      <c r="O3" s="171" t="s">
        <v>247</v>
      </c>
      <c r="Q3" s="171" t="s">
        <v>248</v>
      </c>
      <c r="R3" s="712" t="s">
        <v>248</v>
      </c>
      <c r="S3" s="171" t="s">
        <v>249</v>
      </c>
      <c r="T3" s="171" t="s">
        <v>249</v>
      </c>
      <c r="Y3" s="171" t="s">
        <v>250</v>
      </c>
      <c r="Z3" s="171" t="s">
        <v>251</v>
      </c>
      <c r="AD3" s="174" t="s">
        <v>252</v>
      </c>
      <c r="AF3" s="175"/>
      <c r="AG3" s="128"/>
      <c r="AH3" s="175" t="s">
        <v>253</v>
      </c>
      <c r="AJ3" s="128"/>
      <c r="AK3" s="128"/>
      <c r="AL3" s="128"/>
      <c r="AM3" s="128"/>
      <c r="AN3" s="128"/>
      <c r="AQ3" s="176" t="s">
        <v>254</v>
      </c>
      <c r="AR3"/>
      <c r="AS3"/>
      <c r="AT3"/>
      <c r="AU3"/>
      <c r="AV3"/>
      <c r="AW3" s="176" t="s">
        <v>254</v>
      </c>
      <c r="AX3"/>
      <c r="AY3"/>
    </row>
    <row r="4" spans="1:51" s="167" customFormat="1" ht="15.75">
      <c r="B4" s="167" t="s">
        <v>255</v>
      </c>
      <c r="C4" s="167" t="s">
        <v>256</v>
      </c>
      <c r="D4" s="167" t="s">
        <v>20</v>
      </c>
      <c r="E4" s="167" t="s">
        <v>257</v>
      </c>
      <c r="F4" s="167" t="s">
        <v>258</v>
      </c>
      <c r="G4" s="167" t="s">
        <v>259</v>
      </c>
      <c r="H4" s="167" t="s">
        <v>260</v>
      </c>
      <c r="I4" s="167" t="s">
        <v>261</v>
      </c>
      <c r="J4" s="167" t="s">
        <v>262</v>
      </c>
      <c r="K4" s="167" t="s">
        <v>263</v>
      </c>
      <c r="L4" s="167" t="s">
        <v>264</v>
      </c>
      <c r="M4" s="167" t="s">
        <v>265</v>
      </c>
      <c r="N4" s="167" t="s">
        <v>266</v>
      </c>
      <c r="O4" s="167" t="s">
        <v>267</v>
      </c>
      <c r="P4" s="167" t="s">
        <v>268</v>
      </c>
      <c r="Q4" s="167" t="s">
        <v>269</v>
      </c>
      <c r="R4" s="713" t="s">
        <v>249</v>
      </c>
      <c r="S4" s="167" t="s">
        <v>267</v>
      </c>
      <c r="T4" s="167" t="s">
        <v>268</v>
      </c>
      <c r="U4" s="167" t="s">
        <v>270</v>
      </c>
      <c r="V4" s="167" t="s">
        <v>271</v>
      </c>
      <c r="W4" s="167" t="s">
        <v>272</v>
      </c>
      <c r="X4" s="177" t="s">
        <v>273</v>
      </c>
      <c r="Y4" s="167" t="s">
        <v>274</v>
      </c>
      <c r="Z4" s="167" t="s">
        <v>275</v>
      </c>
      <c r="AA4" s="167" t="s">
        <v>276</v>
      </c>
      <c r="AB4" s="178"/>
      <c r="AC4" s="171"/>
      <c r="AD4" s="179" t="s">
        <v>277</v>
      </c>
      <c r="AE4" s="128"/>
      <c r="AF4" s="128"/>
      <c r="AG4" s="128"/>
      <c r="AH4" s="128"/>
      <c r="AI4" s="128"/>
      <c r="AJ4" s="128"/>
      <c r="AK4" s="128"/>
      <c r="AL4" s="128"/>
      <c r="AM4" s="128"/>
      <c r="AN4" s="128"/>
      <c r="AO4" s="178"/>
      <c r="AQ4" s="176" t="s">
        <v>278</v>
      </c>
      <c r="AR4"/>
      <c r="AS4"/>
      <c r="AT4"/>
      <c r="AU4"/>
      <c r="AV4"/>
      <c r="AW4" s="176" t="s">
        <v>279</v>
      </c>
      <c r="AX4"/>
      <c r="AY4"/>
    </row>
    <row r="5" spans="1:51" ht="15.75">
      <c r="B5" s="171">
        <v>1</v>
      </c>
      <c r="C5" s="171" t="s">
        <v>280</v>
      </c>
      <c r="D5" s="171">
        <v>1.1499999999999999</v>
      </c>
      <c r="E5" s="180">
        <v>10.3584</v>
      </c>
      <c r="F5" s="171" t="s">
        <v>281</v>
      </c>
      <c r="G5" s="181">
        <v>2.7582200000000001</v>
      </c>
      <c r="H5" s="181">
        <v>1.75739</v>
      </c>
      <c r="I5" s="180">
        <v>589.64000999999996</v>
      </c>
      <c r="J5" s="181">
        <v>0.02</v>
      </c>
      <c r="K5" s="180">
        <v>354.58</v>
      </c>
      <c r="L5" s="171">
        <v>2447739.02</v>
      </c>
      <c r="M5" s="182">
        <f t="shared" ref="M5:M38" si="0">H5/E5</f>
        <v>0.16965844145814027</v>
      </c>
      <c r="N5" s="171">
        <v>1.2621221356472152</v>
      </c>
      <c r="O5" s="171">
        <v>4.666638428336564E-8</v>
      </c>
      <c r="P5" s="171">
        <v>3.6974539123691984E-8</v>
      </c>
      <c r="Q5" s="171">
        <v>0.21</v>
      </c>
      <c r="R5" s="712">
        <v>0.1</v>
      </c>
      <c r="S5" s="171">
        <v>9.3332768566731287E-9</v>
      </c>
      <c r="T5" s="171">
        <v>7.3949078247383977E-9</v>
      </c>
      <c r="U5" s="171">
        <v>24</v>
      </c>
      <c r="V5" s="171" t="s">
        <v>282</v>
      </c>
      <c r="W5" s="171" t="s">
        <v>283</v>
      </c>
      <c r="X5" s="172" t="s">
        <v>284</v>
      </c>
      <c r="Y5" s="180">
        <v>13.029</v>
      </c>
      <c r="Z5" s="183">
        <v>1.18</v>
      </c>
      <c r="AA5" s="184">
        <v>1.0062158812572595</v>
      </c>
      <c r="AB5" s="185"/>
      <c r="AD5" s="128"/>
      <c r="AE5" s="128"/>
      <c r="AF5" s="128"/>
      <c r="AG5" s="128"/>
      <c r="AH5" s="128"/>
      <c r="AI5" s="128"/>
      <c r="AJ5" s="128"/>
      <c r="AK5" s="128"/>
      <c r="AL5" s="128"/>
      <c r="AM5" s="128"/>
      <c r="AN5" s="128"/>
      <c r="AO5" s="185"/>
      <c r="AP5" s="128"/>
      <c r="AQ5" s="186" t="s">
        <v>285</v>
      </c>
      <c r="AR5" s="186" t="s">
        <v>286</v>
      </c>
      <c r="AS5" s="186" t="s">
        <v>287</v>
      </c>
      <c r="AT5" s="186" t="s">
        <v>288</v>
      </c>
      <c r="AU5" s="186" t="s">
        <v>289</v>
      </c>
      <c r="AV5"/>
      <c r="AW5" s="186" t="s">
        <v>285</v>
      </c>
      <c r="AX5" s="186" t="s">
        <v>286</v>
      </c>
      <c r="AY5" s="186" t="s">
        <v>287</v>
      </c>
    </row>
    <row r="6" spans="1:51" ht="15.75">
      <c r="B6" s="171">
        <v>2</v>
      </c>
      <c r="C6" s="171" t="s">
        <v>290</v>
      </c>
      <c r="D6" s="171">
        <v>3.21</v>
      </c>
      <c r="E6" s="180">
        <v>14.102399999999999</v>
      </c>
      <c r="F6" s="171" t="s">
        <v>291</v>
      </c>
      <c r="G6" s="181">
        <v>1.51728</v>
      </c>
      <c r="H6" s="181">
        <v>1.9793000000000001</v>
      </c>
      <c r="I6" s="180">
        <v>905.57399999999996</v>
      </c>
      <c r="J6" s="181">
        <v>0.12</v>
      </c>
      <c r="K6" s="180">
        <v>49.6</v>
      </c>
      <c r="L6" s="171">
        <v>2453121.9249999998</v>
      </c>
      <c r="M6" s="182">
        <f t="shared" si="0"/>
        <v>0.14035199682323576</v>
      </c>
      <c r="N6" s="171">
        <v>0.18927854273819977</v>
      </c>
      <c r="O6" s="171">
        <v>5.5171806622212234E-9</v>
      </c>
      <c r="P6" s="171">
        <v>2.9148473896760186E-8</v>
      </c>
      <c r="Q6" s="171">
        <v>0.12</v>
      </c>
      <c r="R6" s="712">
        <v>0.05</v>
      </c>
      <c r="S6" s="171">
        <v>5.5171806622212234E-10</v>
      </c>
      <c r="T6" s="171">
        <v>2.9148473896760185E-9</v>
      </c>
      <c r="U6" s="171">
        <v>28</v>
      </c>
      <c r="V6" s="171" t="s">
        <v>292</v>
      </c>
      <c r="W6" s="171" t="s">
        <v>283</v>
      </c>
      <c r="Y6" s="180">
        <v>12.933999999999999</v>
      </c>
      <c r="Z6" s="183">
        <v>1.22</v>
      </c>
      <c r="AA6" s="184">
        <v>0.96612899632811833</v>
      </c>
      <c r="AB6" s="185"/>
      <c r="AD6" s="187" t="s">
        <v>293</v>
      </c>
      <c r="AE6" s="175" t="s">
        <v>294</v>
      </c>
      <c r="AF6" s="128"/>
      <c r="AG6" s="128"/>
      <c r="AH6" s="128"/>
      <c r="AI6" s="128"/>
      <c r="AJ6" s="128"/>
      <c r="AK6" s="128"/>
      <c r="AL6" s="128"/>
      <c r="AM6" s="128"/>
      <c r="AN6" s="128"/>
      <c r="AO6" s="185"/>
      <c r="AP6" s="128"/>
      <c r="AQ6">
        <v>0.5</v>
      </c>
      <c r="AR6" s="188">
        <f>((1*$AU$69^4*$AU$71^2)/(AQ6*$AU$70)^2*0.25*(1-0.3))^0.25</f>
        <v>360.36110391906709</v>
      </c>
      <c r="AS6" s="188">
        <f>(AR6^4+100^4)^0.25</f>
        <v>360.89414759294107</v>
      </c>
      <c r="AT6" s="188">
        <f>-0.0008-0.0266*AQ6+0.528*AQ6^2-0.2811*AQ6^3+0.05824*AQ6^4-0.00534*AQ6^5+0.00018*AQ6^6</f>
        <v>8.6238437500000015E-2</v>
      </c>
      <c r="AU6" s="188">
        <f>(1.01-0.0072*65-0.0000561*65^2+0.000000587*65^3-0.00000000074*65^4-0.00000000000286*65^5)*AT6</f>
        <v>3.8777499883262956E-2</v>
      </c>
      <c r="AV6"/>
      <c r="AW6">
        <v>0.5</v>
      </c>
      <c r="AX6" s="188">
        <f>((1*$AU$69^4*$AU$71^2)/(AW6*$AU$70)^2*0.25*(1-0.3))^0.25</f>
        <v>360.36110391906709</v>
      </c>
      <c r="AY6" s="188">
        <f>(AX6^4+50^4)^0.25</f>
        <v>360.39448850158465</v>
      </c>
    </row>
    <row r="7" spans="1:51" ht="15.75">
      <c r="B7" s="171">
        <v>3</v>
      </c>
      <c r="C7" s="171" t="s">
        <v>295</v>
      </c>
      <c r="D7" s="171">
        <v>5.37</v>
      </c>
      <c r="E7" s="180">
        <v>12.777900000000001</v>
      </c>
      <c r="F7" s="171" t="s">
        <v>296</v>
      </c>
      <c r="G7" s="181">
        <v>1.1796500000000001</v>
      </c>
      <c r="H7" s="181">
        <v>1.30958</v>
      </c>
      <c r="I7" s="180">
        <v>528.40002000000004</v>
      </c>
      <c r="J7" s="181">
        <v>0.26</v>
      </c>
      <c r="K7" s="180">
        <v>282</v>
      </c>
      <c r="L7" s="171">
        <v>2451123</v>
      </c>
      <c r="M7" s="182">
        <f t="shared" si="0"/>
        <v>0.10248788924627676</v>
      </c>
      <c r="N7" s="171">
        <v>2.5888171896981147E-2</v>
      </c>
      <c r="O7" s="171">
        <v>1.7237583657106694E-9</v>
      </c>
      <c r="P7" s="171">
        <v>6.6584785228179014E-8</v>
      </c>
      <c r="Q7" s="171">
        <v>0.31</v>
      </c>
      <c r="R7" s="712">
        <v>0.14000000000000001</v>
      </c>
      <c r="S7" s="171">
        <v>4.8265234239898742E-10</v>
      </c>
      <c r="T7" s="171">
        <v>1.8643739863890125E-8</v>
      </c>
      <c r="U7" s="171">
        <v>43</v>
      </c>
      <c r="V7" s="171" t="s">
        <v>297</v>
      </c>
      <c r="W7" s="171" t="s">
        <v>298</v>
      </c>
      <c r="Y7" s="180">
        <v>12.872999999999999</v>
      </c>
      <c r="Z7" s="183">
        <v>1.91</v>
      </c>
      <c r="AA7" s="184">
        <v>0.61419813418721381</v>
      </c>
      <c r="AB7" s="185"/>
      <c r="AD7" s="128"/>
      <c r="AE7" s="128"/>
      <c r="AF7" s="128"/>
      <c r="AG7" s="128"/>
      <c r="AH7" s="128"/>
      <c r="AI7" s="128"/>
      <c r="AJ7" s="128"/>
      <c r="AK7" s="128"/>
      <c r="AL7" s="128"/>
      <c r="AM7" s="128"/>
      <c r="AN7" s="128"/>
      <c r="AO7" s="185"/>
      <c r="AP7" s="128"/>
      <c r="AQ7">
        <v>0.6</v>
      </c>
      <c r="AR7" s="188">
        <f t="shared" ref="AR7:AR66" si="1">((1*$AU$69^4*$AU$71^2)/(AQ7*$AU$70)^2*0.25*(1-0.3))^0.25</f>
        <v>328.96317577322725</v>
      </c>
      <c r="AS7" s="188">
        <f t="shared" ref="AS7:AS66" si="2">(AR7^4+100^4)^0.25</f>
        <v>329.66319851896992</v>
      </c>
      <c r="AT7" s="188">
        <f t="shared" ref="AT7:AT66" si="3">-0.0008-0.0266*AQ7+0.528*AQ7^2-0.2811*AQ7^3+0.05824*AQ7^4-0.00534*AQ7^5+0.00018*AQ7^6</f>
        <v>0.11974346367999998</v>
      </c>
      <c r="AU7" s="188">
        <f t="shared" ref="AU7:AU66" si="4">(1.01-0.0072*65-0.0000561*65^2+0.000000587*65^3-0.00000000074*65^4-0.00000000000286*65^5)*AT7</f>
        <v>5.3843185051592579E-2</v>
      </c>
      <c r="AV7"/>
      <c r="AW7">
        <v>0.6</v>
      </c>
      <c r="AX7" s="188">
        <f t="shared" ref="AX7:AX66" si="5">((1*$AU$69^4*$AU$71^2)/(AW7*$AU$70)^2*0.25*(1-0.3))^0.25</f>
        <v>328.96317577322725</v>
      </c>
      <c r="AY7" s="188">
        <f t="shared" ref="AY7:AY66" si="6">(AX7^4+50^4)^0.25</f>
        <v>329.00705826399559</v>
      </c>
    </row>
    <row r="8" spans="1:51" ht="15.75">
      <c r="B8" s="171">
        <v>4</v>
      </c>
      <c r="C8" s="171" t="s">
        <v>299</v>
      </c>
      <c r="D8" s="171">
        <v>5.73</v>
      </c>
      <c r="E8" s="180">
        <v>8.9110700000000005</v>
      </c>
      <c r="F8" s="171" t="s">
        <v>300</v>
      </c>
      <c r="G8" s="181">
        <v>7.3607300000000001E-2</v>
      </c>
      <c r="H8" s="181">
        <v>1.1835800000000001</v>
      </c>
      <c r="I8" s="180">
        <v>525.79999999999995</v>
      </c>
      <c r="J8" s="181">
        <v>0.32</v>
      </c>
      <c r="K8" s="180">
        <v>110</v>
      </c>
      <c r="L8" s="171">
        <v>2455311.915</v>
      </c>
      <c r="M8" s="182">
        <f t="shared" si="0"/>
        <v>0.13282131102101094</v>
      </c>
      <c r="N8" s="171">
        <v>1.858238199910477E-2</v>
      </c>
      <c r="O8" s="171">
        <v>1.5147648502596594E-9</v>
      </c>
      <c r="P8" s="171">
        <v>8.1516182927066892E-8</v>
      </c>
      <c r="Q8" s="171">
        <v>0.33</v>
      </c>
      <c r="R8" s="712">
        <v>0.14000000000000001</v>
      </c>
      <c r="S8" s="171">
        <v>4.2413415807270467E-10</v>
      </c>
      <c r="T8" s="171">
        <v>2.2824531219578733E-8</v>
      </c>
      <c r="U8" s="171">
        <v>29</v>
      </c>
      <c r="V8" s="171" t="s">
        <v>301</v>
      </c>
      <c r="W8" s="171" t="s">
        <v>283</v>
      </c>
      <c r="X8" s="172" t="s">
        <v>302</v>
      </c>
      <c r="Y8" s="180">
        <v>9.673</v>
      </c>
      <c r="Z8" s="183">
        <v>0.49</v>
      </c>
      <c r="AA8" s="184">
        <v>1.7989835764947795</v>
      </c>
      <c r="AB8" s="185"/>
      <c r="AD8" s="189" t="s">
        <v>303</v>
      </c>
      <c r="AE8" s="128">
        <v>0.45</v>
      </c>
      <c r="AF8" s="175" t="s">
        <v>304</v>
      </c>
      <c r="AG8" s="128"/>
      <c r="AH8" s="128"/>
      <c r="AI8" s="128"/>
      <c r="AJ8" s="128"/>
      <c r="AK8" s="128"/>
      <c r="AL8" s="128"/>
      <c r="AM8" s="128"/>
      <c r="AN8" s="128"/>
      <c r="AO8" s="185"/>
      <c r="AP8" s="128"/>
      <c r="AQ8">
        <v>0.7</v>
      </c>
      <c r="AR8" s="188">
        <f t="shared" si="1"/>
        <v>304.56072021586454</v>
      </c>
      <c r="AS8" s="188">
        <f t="shared" si="2"/>
        <v>305.44183831014203</v>
      </c>
      <c r="AT8" s="188">
        <f t="shared" si="3"/>
        <v>0.15598980702000001</v>
      </c>
      <c r="AU8" s="188">
        <f t="shared" si="4"/>
        <v>7.0141515765615073E-2</v>
      </c>
      <c r="AV8"/>
      <c r="AW8">
        <v>0.7</v>
      </c>
      <c r="AX8" s="188">
        <f t="shared" si="5"/>
        <v>304.56072021586454</v>
      </c>
      <c r="AY8" s="188">
        <f t="shared" si="6"/>
        <v>304.61601448008071</v>
      </c>
    </row>
    <row r="9" spans="1:51" ht="15.75">
      <c r="B9" s="171">
        <v>5</v>
      </c>
      <c r="C9" s="171" t="s">
        <v>305</v>
      </c>
      <c r="D9" s="171">
        <v>4.0999999999999996</v>
      </c>
      <c r="E9" s="180">
        <v>13.4916</v>
      </c>
      <c r="F9" s="171" t="s">
        <v>306</v>
      </c>
      <c r="G9" s="181">
        <v>4.1158200000000003</v>
      </c>
      <c r="H9" s="181">
        <v>2.5245199999999999</v>
      </c>
      <c r="I9" s="180">
        <v>1278.1217999999999</v>
      </c>
      <c r="J9" s="181">
        <v>0.26739499999999999</v>
      </c>
      <c r="K9" s="180">
        <v>269.685</v>
      </c>
      <c r="L9" s="171">
        <v>2453937.7280000001</v>
      </c>
      <c r="M9" s="182">
        <f t="shared" si="0"/>
        <v>0.18711791040351033</v>
      </c>
      <c r="N9" s="171">
        <v>8.3387582560746923E-2</v>
      </c>
      <c r="O9" s="171">
        <v>1.4941108630879035E-9</v>
      </c>
      <c r="P9" s="171">
        <v>1.7917666122524422E-8</v>
      </c>
      <c r="Q9" s="171">
        <v>0.22</v>
      </c>
      <c r="R9" s="712">
        <v>0.11</v>
      </c>
      <c r="S9" s="171">
        <v>3.2870438987933878E-10</v>
      </c>
      <c r="T9" s="171">
        <v>3.9418865469553732E-9</v>
      </c>
      <c r="U9" s="171">
        <v>21</v>
      </c>
      <c r="V9" s="171" t="s">
        <v>307</v>
      </c>
      <c r="W9" s="171" t="s">
        <v>308</v>
      </c>
      <c r="X9" s="172" t="s">
        <v>309</v>
      </c>
      <c r="Y9" s="180">
        <v>12.757</v>
      </c>
      <c r="Z9" s="183">
        <v>1.1499999999999999</v>
      </c>
      <c r="AA9" s="184">
        <v>1.0109107293558954</v>
      </c>
      <c r="AB9" s="185"/>
      <c r="AD9" s="189" t="s">
        <v>310</v>
      </c>
      <c r="AE9" s="128">
        <v>65</v>
      </c>
      <c r="AF9" s="175" t="s">
        <v>311</v>
      </c>
      <c r="AG9" s="128"/>
      <c r="AH9" s="128"/>
      <c r="AI9" s="128"/>
      <c r="AJ9" s="128"/>
      <c r="AK9" s="128"/>
      <c r="AL9" s="128"/>
      <c r="AM9" s="128"/>
      <c r="AN9" s="128"/>
      <c r="AO9" s="185"/>
      <c r="AP9" s="128"/>
      <c r="AQ9">
        <v>0.8</v>
      </c>
      <c r="AR9" s="188">
        <f t="shared" si="1"/>
        <v>284.89046712922027</v>
      </c>
      <c r="AS9" s="188">
        <f t="shared" si="2"/>
        <v>285.96556664919558</v>
      </c>
      <c r="AT9" s="188">
        <f t="shared" si="3"/>
        <v>0.1940692787200001</v>
      </c>
      <c r="AU9" s="188">
        <f t="shared" si="4"/>
        <v>8.7264120861532637E-2</v>
      </c>
      <c r="AV9"/>
      <c r="AW9">
        <v>0.8</v>
      </c>
      <c r="AX9" s="188">
        <f t="shared" si="5"/>
        <v>284.89046712922027</v>
      </c>
      <c r="AY9" s="188">
        <f t="shared" si="6"/>
        <v>284.95801813385162</v>
      </c>
    </row>
    <row r="10" spans="1:51" ht="15.75">
      <c r="B10" s="171">
        <v>6</v>
      </c>
      <c r="C10" s="171" t="s">
        <v>312</v>
      </c>
      <c r="D10" s="171">
        <v>3.72</v>
      </c>
      <c r="E10" s="180">
        <v>3.2160500000000001</v>
      </c>
      <c r="F10" s="171" t="s">
        <v>313</v>
      </c>
      <c r="G10" s="181">
        <v>1.0544800000000001</v>
      </c>
      <c r="H10" s="181">
        <v>3.3755799999999998</v>
      </c>
      <c r="I10" s="180">
        <v>2500</v>
      </c>
      <c r="J10" s="181">
        <v>0.25</v>
      </c>
      <c r="K10" s="180">
        <v>6</v>
      </c>
      <c r="L10" s="171">
        <v>2448940</v>
      </c>
      <c r="M10" s="182">
        <f t="shared" si="0"/>
        <v>1.0496043282909158</v>
      </c>
      <c r="N10" s="171">
        <v>0.11833177624829808</v>
      </c>
      <c r="O10" s="171">
        <v>1.1858879182559415E-9</v>
      </c>
      <c r="P10" s="171">
        <v>1.0021719912051077E-8</v>
      </c>
      <c r="Q10" s="171">
        <v>0.38</v>
      </c>
      <c r="R10" s="712">
        <v>0.18</v>
      </c>
      <c r="S10" s="171">
        <v>4.2691965057213891E-10</v>
      </c>
      <c r="T10" s="171">
        <v>3.6078191683383876E-9</v>
      </c>
      <c r="U10" s="171">
        <v>2</v>
      </c>
      <c r="V10" s="171" t="s">
        <v>314</v>
      </c>
      <c r="W10" s="171" t="s">
        <v>283</v>
      </c>
      <c r="Y10" s="180">
        <v>12.913</v>
      </c>
      <c r="Z10" s="183">
        <v>1.54</v>
      </c>
      <c r="AA10" s="184">
        <v>0.76413223528913476</v>
      </c>
      <c r="AB10" s="185"/>
      <c r="AD10" s="189"/>
      <c r="AE10" s="128"/>
      <c r="AF10" s="175"/>
      <c r="AG10" s="128"/>
      <c r="AH10" s="128"/>
      <c r="AI10" s="128"/>
      <c r="AJ10" s="128"/>
      <c r="AK10" s="128"/>
      <c r="AL10" s="128"/>
      <c r="AM10" s="128"/>
      <c r="AN10" s="128"/>
      <c r="AO10" s="185"/>
      <c r="AP10" s="128"/>
      <c r="AQ10">
        <v>0.9</v>
      </c>
      <c r="AR10" s="188">
        <f t="shared" si="1"/>
        <v>268.59730826996667</v>
      </c>
      <c r="AS10" s="188">
        <f t="shared" si="2"/>
        <v>269.87825052224593</v>
      </c>
      <c r="AT10" s="188">
        <f t="shared" si="3"/>
        <v>0.23317180678000005</v>
      </c>
      <c r="AU10" s="188">
        <f t="shared" si="4"/>
        <v>0.10484674783435939</v>
      </c>
      <c r="AV10"/>
      <c r="AW10">
        <v>0.9</v>
      </c>
      <c r="AX10" s="188">
        <f t="shared" si="5"/>
        <v>268.59730826996667</v>
      </c>
      <c r="AY10" s="188">
        <f t="shared" si="6"/>
        <v>268.67790540170699</v>
      </c>
    </row>
    <row r="11" spans="1:51" ht="15.75">
      <c r="A11" s="171">
        <v>0.21</v>
      </c>
      <c r="B11" s="171">
        <v>7</v>
      </c>
      <c r="C11" s="171" t="s">
        <v>315</v>
      </c>
      <c r="D11" s="171">
        <v>5.03</v>
      </c>
      <c r="E11" s="180">
        <v>14.0627</v>
      </c>
      <c r="F11" s="171" t="s">
        <v>316</v>
      </c>
      <c r="G11" s="181">
        <v>2.54589</v>
      </c>
      <c r="H11" s="181">
        <v>2.1014900000000001</v>
      </c>
      <c r="I11" s="180">
        <v>1078</v>
      </c>
      <c r="J11" s="181">
        <v>3.2000000000000001E-2</v>
      </c>
      <c r="K11" s="180">
        <v>334</v>
      </c>
      <c r="L11" s="171">
        <v>2451917</v>
      </c>
      <c r="M11" s="182">
        <f t="shared" si="0"/>
        <v>0.14943716356034048</v>
      </c>
      <c r="N11" s="171">
        <v>3.5407998945481502E-2</v>
      </c>
      <c r="O11" s="171">
        <v>9.1555786800177609E-10</v>
      </c>
      <c r="P11" s="171">
        <v>2.5857373906147063E-8</v>
      </c>
      <c r="Q11" s="171">
        <v>0.35</v>
      </c>
      <c r="R11" s="712">
        <v>0.16</v>
      </c>
      <c r="S11" s="171">
        <v>2.9297851776056832E-10</v>
      </c>
      <c r="T11" s="171">
        <v>8.2743596499670599E-9</v>
      </c>
      <c r="U11" s="171">
        <v>27</v>
      </c>
      <c r="V11" s="171" t="s">
        <v>317</v>
      </c>
      <c r="W11" s="171" t="s">
        <v>318</v>
      </c>
      <c r="Y11" s="180">
        <v>12.989000000000001</v>
      </c>
      <c r="Z11" s="183">
        <v>1.19</v>
      </c>
      <c r="AA11" s="184">
        <v>0.99469708725703954</v>
      </c>
      <c r="AB11" s="185"/>
      <c r="AE11" s="175"/>
      <c r="AF11" s="175"/>
      <c r="AG11" s="128"/>
      <c r="AH11" s="128"/>
      <c r="AI11" s="128"/>
      <c r="AJ11" s="128"/>
      <c r="AK11" s="128"/>
      <c r="AM11" s="190" t="s">
        <v>319</v>
      </c>
      <c r="AN11" s="128"/>
      <c r="AO11" s="185"/>
      <c r="AP11" s="128"/>
      <c r="AQ11">
        <v>1</v>
      </c>
      <c r="AR11" s="188">
        <f t="shared" si="1"/>
        <v>254.81378025704248</v>
      </c>
      <c r="AS11" s="188">
        <f t="shared" si="2"/>
        <v>256.31154658456609</v>
      </c>
      <c r="AT11" s="188">
        <f t="shared" si="3"/>
        <v>0.27258000000000004</v>
      </c>
      <c r="AU11" s="188">
        <f t="shared" si="4"/>
        <v>0.12256681851616127</v>
      </c>
      <c r="AV11"/>
      <c r="AW11">
        <v>1</v>
      </c>
      <c r="AX11" s="188">
        <f t="shared" si="5"/>
        <v>254.81378025704248</v>
      </c>
      <c r="AY11" s="188">
        <f t="shared" si="6"/>
        <v>254.90816678224752</v>
      </c>
    </row>
    <row r="12" spans="1:51" ht="15.75">
      <c r="B12" s="171">
        <v>8</v>
      </c>
      <c r="C12" s="171" t="s">
        <v>320</v>
      </c>
      <c r="D12" s="171">
        <v>5.52</v>
      </c>
      <c r="E12" s="180">
        <v>17.433800000000002</v>
      </c>
      <c r="F12" s="171" t="s">
        <v>306</v>
      </c>
      <c r="G12" s="181">
        <v>0.925037</v>
      </c>
      <c r="H12" s="181">
        <v>2.0217499999999999</v>
      </c>
      <c r="I12" s="180">
        <v>1003</v>
      </c>
      <c r="J12" s="181">
        <v>0.16</v>
      </c>
      <c r="K12" s="180">
        <v>336</v>
      </c>
      <c r="L12" s="171">
        <v>2450960</v>
      </c>
      <c r="M12" s="182">
        <f t="shared" si="0"/>
        <v>0.11596725900262707</v>
      </c>
      <c r="N12" s="171">
        <v>2.2547655132794855E-2</v>
      </c>
      <c r="O12" s="171">
        <v>6.2992022285069453E-10</v>
      </c>
      <c r="P12" s="171">
        <v>2.7937283018600696E-8</v>
      </c>
      <c r="Q12" s="171">
        <v>0.48</v>
      </c>
      <c r="R12" s="712">
        <v>0.22</v>
      </c>
      <c r="S12" s="171">
        <v>2.7716489805430562E-10</v>
      </c>
      <c r="T12" s="171">
        <v>1.2292404528184308E-8</v>
      </c>
      <c r="U12" s="171">
        <v>36</v>
      </c>
      <c r="V12" s="171" t="s">
        <v>321</v>
      </c>
      <c r="W12" s="171" t="s">
        <v>308</v>
      </c>
      <c r="Y12" s="180">
        <v>12.829000000000001</v>
      </c>
      <c r="Z12" s="183">
        <v>1.24</v>
      </c>
      <c r="AA12" s="184">
        <v>0.9428296045525163</v>
      </c>
      <c r="AB12" s="185"/>
      <c r="AD12" s="191" t="s">
        <v>322</v>
      </c>
      <c r="AE12" s="192" t="s">
        <v>323</v>
      </c>
      <c r="AF12" s="192" t="s">
        <v>324</v>
      </c>
      <c r="AG12" s="192" t="s">
        <v>11</v>
      </c>
      <c r="AH12" s="192" t="s">
        <v>325</v>
      </c>
      <c r="AI12" s="192" t="s">
        <v>326</v>
      </c>
      <c r="AJ12" s="192" t="s">
        <v>327</v>
      </c>
      <c r="AK12" s="192" t="s">
        <v>328</v>
      </c>
      <c r="AL12" s="193"/>
      <c r="AM12" s="194" t="s">
        <v>329</v>
      </c>
      <c r="AN12" s="128"/>
      <c r="AO12" s="185"/>
      <c r="AP12" s="128"/>
      <c r="AQ12">
        <v>1.1000000000000001</v>
      </c>
      <c r="AR12" s="188">
        <f t="shared" si="1"/>
        <v>242.955406699337</v>
      </c>
      <c r="AS12" s="188">
        <f t="shared" si="2"/>
        <v>244.68020501447182</v>
      </c>
      <c r="AT12" s="188">
        <f t="shared" si="3"/>
        <v>0.31166384157999999</v>
      </c>
      <c r="AU12" s="188">
        <f t="shared" si="4"/>
        <v>0.14014104302951608</v>
      </c>
      <c r="AV12"/>
      <c r="AW12">
        <v>1.1000000000000001</v>
      </c>
      <c r="AX12" s="188">
        <f t="shared" si="5"/>
        <v>242.955406699337</v>
      </c>
      <c r="AY12" s="188">
        <f t="shared" si="6"/>
        <v>243.06428676889701</v>
      </c>
    </row>
    <row r="13" spans="1:51" ht="15.75">
      <c r="B13" s="171">
        <v>9</v>
      </c>
      <c r="C13" s="171" t="s">
        <v>330</v>
      </c>
      <c r="D13" s="171">
        <v>5.03</v>
      </c>
      <c r="E13" s="180">
        <v>14.0627</v>
      </c>
      <c r="F13" s="171" t="s">
        <v>316</v>
      </c>
      <c r="G13" s="181">
        <v>0.54577399999999998</v>
      </c>
      <c r="H13" s="181">
        <v>3.5719699999999999</v>
      </c>
      <c r="I13" s="180">
        <v>2391</v>
      </c>
      <c r="J13" s="181">
        <v>9.8000000000000004E-2</v>
      </c>
      <c r="K13" s="180">
        <v>295</v>
      </c>
      <c r="L13" s="171">
        <v>2452441</v>
      </c>
      <c r="M13" s="182">
        <f t="shared" si="0"/>
        <v>0.2540031430664097</v>
      </c>
      <c r="N13" s="171">
        <v>3.5407998945481502E-2</v>
      </c>
      <c r="O13" s="171">
        <v>3.1690190452514649E-10</v>
      </c>
      <c r="P13" s="171">
        <v>8.9500088670101779E-9</v>
      </c>
      <c r="Q13" s="171">
        <v>0.63</v>
      </c>
      <c r="R13" s="712">
        <v>0.28000000000000003</v>
      </c>
      <c r="S13" s="171">
        <v>1.7746506653408203E-10</v>
      </c>
      <c r="T13" s="171">
        <v>5.0120049655256999E-9</v>
      </c>
      <c r="U13" s="171">
        <v>14</v>
      </c>
      <c r="V13" s="171" t="s">
        <v>317</v>
      </c>
      <c r="W13" s="171" t="s">
        <v>318</v>
      </c>
      <c r="Y13" s="180">
        <v>12.659000000000001</v>
      </c>
      <c r="Z13" s="183">
        <v>1.27</v>
      </c>
      <c r="AA13" s="184">
        <v>0.90835951491530798</v>
      </c>
      <c r="AB13" s="185"/>
      <c r="AD13" s="190">
        <v>420</v>
      </c>
      <c r="AE13" s="195">
        <v>1.01</v>
      </c>
      <c r="AF13" s="196">
        <v>-1.04E-2</v>
      </c>
      <c r="AG13" s="196">
        <v>6.2600000000000004E-5</v>
      </c>
      <c r="AH13" s="196">
        <v>-1.17E-6</v>
      </c>
      <c r="AI13" s="196">
        <v>1.0800000000000001E-8</v>
      </c>
      <c r="AJ13" s="196">
        <v>-3.0200000000000003E-11</v>
      </c>
      <c r="AK13" s="197">
        <f t="shared" ref="AK13:AK18" si="7">$AE$8*(AE13+AF13*$AE$9+AG13*$AE$9^2+AH13*$AE$9^3+AI13*$AE$9^4+AJ13*$AE$9^5)</f>
        <v>0.19571387540625007</v>
      </c>
      <c r="AM13" s="198">
        <f t="shared" ref="AM13:AM18" si="8">AE13+AF13*$AE$9+AG13*$AE$9^2+AH13*$AE$9^3+AI13*$AE$9^4+AJ13*$AE$9^5</f>
        <v>0.43491972312500016</v>
      </c>
      <c r="AN13" s="128"/>
      <c r="AO13" s="185"/>
      <c r="AP13" s="128"/>
      <c r="AQ13">
        <v>1.2000000000000002</v>
      </c>
      <c r="AR13" s="188">
        <f t="shared" si="1"/>
        <v>232.61209234991114</v>
      </c>
      <c r="AS13" s="188">
        <f t="shared" si="2"/>
        <v>234.57343824347302</v>
      </c>
      <c r="AT13" s="188">
        <f t="shared" si="3"/>
        <v>0.34987551232000014</v>
      </c>
      <c r="AU13" s="188">
        <f t="shared" si="4"/>
        <v>0.15732309201619488</v>
      </c>
      <c r="AV13"/>
      <c r="AW13">
        <v>1.2000000000000002</v>
      </c>
      <c r="AX13" s="188">
        <f t="shared" si="5"/>
        <v>232.61209234991114</v>
      </c>
      <c r="AY13" s="188">
        <f t="shared" si="6"/>
        <v>232.73613635686442</v>
      </c>
    </row>
    <row r="14" spans="1:51" ht="15.75">
      <c r="B14" s="171">
        <v>10</v>
      </c>
      <c r="C14" s="171" t="s">
        <v>331</v>
      </c>
      <c r="D14" s="171">
        <v>5.65</v>
      </c>
      <c r="E14" s="180">
        <v>18.315000000000001</v>
      </c>
      <c r="F14" s="171" t="s">
        <v>332</v>
      </c>
      <c r="G14" s="181">
        <v>10.087999999999999</v>
      </c>
      <c r="H14" s="181">
        <v>3.3465099999999999</v>
      </c>
      <c r="I14" s="180">
        <v>2151</v>
      </c>
      <c r="J14" s="181">
        <v>0.64049999999999996</v>
      </c>
      <c r="K14" s="180">
        <v>330.24</v>
      </c>
      <c r="L14" s="171">
        <v>2447820</v>
      </c>
      <c r="M14" s="182">
        <f t="shared" si="0"/>
        <v>0.18271962871962871</v>
      </c>
      <c r="N14" s="171">
        <v>2.0003287808417522E-2</v>
      </c>
      <c r="O14" s="171">
        <v>2.0396525865324406E-10</v>
      </c>
      <c r="P14" s="171">
        <v>1.0196586711481203E-8</v>
      </c>
      <c r="Q14" s="171">
        <v>0.12</v>
      </c>
      <c r="R14" s="712">
        <v>0.05</v>
      </c>
      <c r="S14" s="171">
        <v>2.0396525865324408E-11</v>
      </c>
      <c r="T14" s="171">
        <v>1.0196586711481203E-9</v>
      </c>
      <c r="U14" s="171">
        <v>23</v>
      </c>
      <c r="V14" s="171" t="s">
        <v>333</v>
      </c>
      <c r="W14" s="171" t="s">
        <v>318</v>
      </c>
      <c r="Y14" s="180">
        <v>12.747999999999999</v>
      </c>
      <c r="Z14" s="183">
        <v>1.1100000000000001</v>
      </c>
      <c r="AA14" s="184">
        <v>1.046601051710405</v>
      </c>
      <c r="AB14" s="185"/>
      <c r="AD14" s="190">
        <v>463</v>
      </c>
      <c r="AE14" s="195">
        <v>1.01</v>
      </c>
      <c r="AF14" s="196">
        <v>-2.0200000000000001E-3</v>
      </c>
      <c r="AG14" s="196">
        <v>-2.8299999999999999E-4</v>
      </c>
      <c r="AH14" s="196">
        <v>3.8500000000000004E-6</v>
      </c>
      <c r="AI14" s="196">
        <v>-2E-8</v>
      </c>
      <c r="AJ14" s="196">
        <v>3.75E-11</v>
      </c>
      <c r="AK14" s="197">
        <f t="shared" si="7"/>
        <v>0.19207334179687505</v>
      </c>
      <c r="AM14" s="198">
        <f t="shared" si="8"/>
        <v>0.4268296484375001</v>
      </c>
      <c r="AN14" s="128"/>
      <c r="AO14" s="185"/>
      <c r="AP14" s="128"/>
      <c r="AQ14">
        <v>1.3</v>
      </c>
      <c r="AR14" s="188">
        <f t="shared" si="1"/>
        <v>223.48646940437823</v>
      </c>
      <c r="AS14" s="188">
        <f t="shared" si="2"/>
        <v>225.6932496910687</v>
      </c>
      <c r="AT14" s="188">
        <f t="shared" si="3"/>
        <v>0.38674434341999997</v>
      </c>
      <c r="AU14" s="188">
        <f t="shared" si="4"/>
        <v>0.17390132714106346</v>
      </c>
      <c r="AV14"/>
      <c r="AW14">
        <v>1.3</v>
      </c>
      <c r="AX14" s="188">
        <f t="shared" si="5"/>
        <v>223.48646940437823</v>
      </c>
      <c r="AY14" s="188">
        <f t="shared" si="6"/>
        <v>223.62631818932485</v>
      </c>
    </row>
    <row r="15" spans="1:51" ht="15.75">
      <c r="B15" s="171">
        <v>11</v>
      </c>
      <c r="C15" s="171" t="s">
        <v>334</v>
      </c>
      <c r="D15" s="171">
        <v>4.8499999999999996</v>
      </c>
      <c r="E15" s="180">
        <v>20.669699999999999</v>
      </c>
      <c r="F15" s="171" t="s">
        <v>335</v>
      </c>
      <c r="G15" s="181">
        <v>0.50603900000000002</v>
      </c>
      <c r="H15" s="181">
        <v>5.3109000000000002</v>
      </c>
      <c r="I15" s="180">
        <v>3827</v>
      </c>
      <c r="J15" s="181">
        <v>0.25</v>
      </c>
      <c r="K15" s="180">
        <v>244</v>
      </c>
      <c r="L15" s="171">
        <v>2455550.2999999998</v>
      </c>
      <c r="M15" s="182">
        <f t="shared" si="0"/>
        <v>0.25694131990304653</v>
      </c>
      <c r="N15" s="171">
        <v>4.1792791822486526E-2</v>
      </c>
      <c r="O15" s="171">
        <v>1.6920149909749235E-10</v>
      </c>
      <c r="P15" s="171">
        <v>4.0485809087885301E-9</v>
      </c>
      <c r="Q15" s="171">
        <v>0.45</v>
      </c>
      <c r="R15" s="712">
        <v>0.2</v>
      </c>
      <c r="S15" s="171">
        <v>6.7680599638996942E-11</v>
      </c>
      <c r="T15" s="171">
        <v>1.6194323635154122E-9</v>
      </c>
      <c r="U15" s="171">
        <v>999</v>
      </c>
      <c r="V15" s="171" t="s">
        <v>336</v>
      </c>
      <c r="W15" s="171" t="s">
        <v>298</v>
      </c>
      <c r="Y15" s="180">
        <v>12</v>
      </c>
      <c r="Z15" s="183">
        <v>1.28</v>
      </c>
      <c r="AA15" s="184">
        <v>0.85434516742715738</v>
      </c>
      <c r="AB15" s="185"/>
      <c r="AD15" s="190">
        <v>568</v>
      </c>
      <c r="AE15" s="195">
        <v>1.01</v>
      </c>
      <c r="AF15" s="196">
        <v>-7.1999999999999998E-3</v>
      </c>
      <c r="AG15" s="196">
        <v>-5.6100000000000002E-5</v>
      </c>
      <c r="AH15" s="196">
        <v>5.8699999999999995E-7</v>
      </c>
      <c r="AI15" s="196">
        <v>-7.4000000000000003E-10</v>
      </c>
      <c r="AJ15" s="196">
        <v>-2.8599999999999999E-12</v>
      </c>
      <c r="AK15" s="197">
        <f t="shared" si="7"/>
        <v>0.20234451659062502</v>
      </c>
      <c r="AM15" s="198">
        <f t="shared" si="8"/>
        <v>0.44965448131250002</v>
      </c>
      <c r="AN15" s="128"/>
      <c r="AO15" s="185"/>
      <c r="AP15" s="128"/>
      <c r="AQ15">
        <v>1.4</v>
      </c>
      <c r="AR15" s="188">
        <f t="shared" si="1"/>
        <v>215.35695054769661</v>
      </c>
      <c r="AS15" s="188">
        <f t="shared" si="2"/>
        <v>217.81747429651941</v>
      </c>
      <c r="AT15" s="188">
        <f t="shared" si="3"/>
        <v>0.4218718988800001</v>
      </c>
      <c r="AU15" s="188">
        <f t="shared" si="4"/>
        <v>0.18969658987120591</v>
      </c>
      <c r="AV15"/>
      <c r="AW15">
        <v>1.4</v>
      </c>
      <c r="AX15" s="188">
        <f t="shared" si="5"/>
        <v>215.35695054769661</v>
      </c>
      <c r="AY15" s="188">
        <f t="shared" si="6"/>
        <v>215.51321877075401</v>
      </c>
    </row>
    <row r="16" spans="1:51" ht="15.75">
      <c r="B16" s="171">
        <v>12</v>
      </c>
      <c r="C16" s="171" t="s">
        <v>337</v>
      </c>
      <c r="D16" s="171">
        <v>7.48</v>
      </c>
      <c r="E16" s="180">
        <v>16.5016</v>
      </c>
      <c r="F16" s="171" t="s">
        <v>338</v>
      </c>
      <c r="G16" s="181">
        <v>3.2484799999999998</v>
      </c>
      <c r="H16" s="181">
        <v>1.74533</v>
      </c>
      <c r="I16" s="180">
        <v>923.8</v>
      </c>
      <c r="J16" s="181">
        <v>0.23</v>
      </c>
      <c r="K16" s="180">
        <v>28</v>
      </c>
      <c r="L16" s="171">
        <v>2456987</v>
      </c>
      <c r="M16" s="182">
        <f t="shared" si="0"/>
        <v>0.10576731953265138</v>
      </c>
      <c r="N16" s="171">
        <v>3.7076726525169844E-3</v>
      </c>
      <c r="O16" s="171">
        <v>1.3899057360032136E-10</v>
      </c>
      <c r="P16" s="171">
        <v>3.748728289320969E-8</v>
      </c>
      <c r="Q16" s="171">
        <v>0.45</v>
      </c>
      <c r="R16" s="712">
        <v>0.2</v>
      </c>
      <c r="S16" s="171">
        <v>5.5596229440128537E-11</v>
      </c>
      <c r="T16" s="171">
        <v>1.4994913157283875E-8</v>
      </c>
      <c r="U16" s="171">
        <v>40</v>
      </c>
      <c r="V16" s="171" t="s">
        <v>339</v>
      </c>
      <c r="W16" s="171" t="s">
        <v>340</v>
      </c>
      <c r="Y16" s="180">
        <v>13.061999999999999</v>
      </c>
      <c r="Z16" s="183">
        <v>1.18</v>
      </c>
      <c r="AA16" s="184">
        <v>1.0087644363329744</v>
      </c>
      <c r="AB16" s="185"/>
      <c r="AD16" s="190">
        <v>647</v>
      </c>
      <c r="AE16" s="195">
        <v>1</v>
      </c>
      <c r="AF16" s="196">
        <v>-6.7799999999999996E-3</v>
      </c>
      <c r="AG16" s="196">
        <v>-2.79E-6</v>
      </c>
      <c r="AH16" s="196">
        <v>-8.5899999999999995E-7</v>
      </c>
      <c r="AI16" s="196">
        <v>1.11E-8</v>
      </c>
      <c r="AJ16" s="196">
        <v>-3.3699999999999997E-11</v>
      </c>
      <c r="AK16" s="197">
        <f t="shared" si="7"/>
        <v>0.21179228329687505</v>
      </c>
      <c r="AM16" s="198">
        <f t="shared" si="8"/>
        <v>0.47064951843750008</v>
      </c>
      <c r="AN16" s="128"/>
      <c r="AO16" s="185"/>
      <c r="AP16" s="128"/>
      <c r="AQ16">
        <v>1.5</v>
      </c>
      <c r="AR16" s="188">
        <f t="shared" si="1"/>
        <v>208.05458035314396</v>
      </c>
      <c r="AS16" s="188">
        <f t="shared" si="2"/>
        <v>210.77662077507489</v>
      </c>
      <c r="AT16" s="188">
        <f t="shared" si="3"/>
        <v>0.45492718750000011</v>
      </c>
      <c r="AU16" s="188">
        <f t="shared" si="4"/>
        <v>0.20456004853026699</v>
      </c>
      <c r="AV16"/>
      <c r="AW16">
        <v>1.5</v>
      </c>
      <c r="AX16" s="188">
        <f t="shared" si="5"/>
        <v>208.05458035314396</v>
      </c>
      <c r="AY16" s="188">
        <f t="shared" si="6"/>
        <v>208.22785924606984</v>
      </c>
    </row>
    <row r="17" spans="2:51" ht="15.75">
      <c r="B17" s="171">
        <v>13</v>
      </c>
      <c r="C17" s="171" t="s">
        <v>341</v>
      </c>
      <c r="D17" s="171">
        <v>5.73</v>
      </c>
      <c r="E17" s="180">
        <v>15.857900000000001</v>
      </c>
      <c r="F17" s="171" t="s">
        <v>342</v>
      </c>
      <c r="G17" s="181">
        <v>1.53512</v>
      </c>
      <c r="H17" s="181">
        <v>3.9728500000000002</v>
      </c>
      <c r="I17" s="180">
        <v>2915.0369000000001</v>
      </c>
      <c r="J17" s="181">
        <v>0.31310500000000002</v>
      </c>
      <c r="K17" s="180">
        <v>12.9274</v>
      </c>
      <c r="L17" s="171">
        <v>2453541.662</v>
      </c>
      <c r="M17" s="182">
        <f t="shared" si="0"/>
        <v>0.25052812793623369</v>
      </c>
      <c r="N17" s="171">
        <v>1.858238199910477E-2</v>
      </c>
      <c r="O17" s="171">
        <v>1.344423572568976E-10</v>
      </c>
      <c r="P17" s="171">
        <v>7.2349366869852606E-9</v>
      </c>
      <c r="Q17" s="171">
        <v>0.62</v>
      </c>
      <c r="R17" s="712">
        <v>0.28000000000000003</v>
      </c>
      <c r="S17" s="171">
        <v>7.5287720063862668E-11</v>
      </c>
      <c r="T17" s="171">
        <v>4.0515645447117465E-9</v>
      </c>
      <c r="U17" s="171">
        <v>15</v>
      </c>
      <c r="V17" s="171" t="s">
        <v>343</v>
      </c>
      <c r="W17" s="171" t="s">
        <v>298</v>
      </c>
      <c r="Y17" s="180">
        <v>12.909000000000001</v>
      </c>
      <c r="Z17" s="183">
        <v>1.21</v>
      </c>
      <c r="AA17" s="184">
        <v>0.97223067912437899</v>
      </c>
      <c r="AB17" s="185"/>
      <c r="AD17" s="190">
        <v>752</v>
      </c>
      <c r="AE17" s="195">
        <v>1</v>
      </c>
      <c r="AF17" s="196">
        <v>-6.2700000000000004E-3</v>
      </c>
      <c r="AG17" s="196">
        <v>-5.0399999999999999E-5</v>
      </c>
      <c r="AH17" s="196">
        <v>2.7099999999999998E-7</v>
      </c>
      <c r="AI17" s="196">
        <v>1.8400000000000001E-9</v>
      </c>
      <c r="AJ17" s="196">
        <v>-9.2700000000000007E-12</v>
      </c>
      <c r="AK17" s="197">
        <f t="shared" si="7"/>
        <v>0.21421018390781246</v>
      </c>
      <c r="AM17" s="198">
        <f t="shared" si="8"/>
        <v>0.47602263090624991</v>
      </c>
      <c r="AN17" s="128"/>
      <c r="AO17" s="185"/>
      <c r="AP17" s="128"/>
      <c r="AQ17">
        <v>1.6</v>
      </c>
      <c r="AR17" s="188">
        <f t="shared" si="1"/>
        <v>201.44798120247486</v>
      </c>
      <c r="AS17" s="188">
        <f t="shared" si="2"/>
        <v>204.4388107213895</v>
      </c>
      <c r="AT17" s="188">
        <f t="shared" si="3"/>
        <v>0.48564200448000033</v>
      </c>
      <c r="AU17" s="188">
        <f t="shared" si="4"/>
        <v>0.21837110362801737</v>
      </c>
      <c r="AV17"/>
      <c r="AW17">
        <v>1.6</v>
      </c>
      <c r="AX17" s="188">
        <f t="shared" si="5"/>
        <v>201.44798120247486</v>
      </c>
      <c r="AY17" s="188">
        <f t="shared" si="6"/>
        <v>201.63884084897168</v>
      </c>
    </row>
    <row r="18" spans="2:51" ht="15.75">
      <c r="B18" s="171">
        <v>14</v>
      </c>
      <c r="C18" s="171" t="s">
        <v>344</v>
      </c>
      <c r="D18" s="171">
        <v>5.12</v>
      </c>
      <c r="E18" s="180">
        <v>15.511100000000001</v>
      </c>
      <c r="F18" s="171" t="s">
        <v>345</v>
      </c>
      <c r="G18" s="181">
        <v>1.88907</v>
      </c>
      <c r="H18" s="181">
        <v>5.3405699999999996</v>
      </c>
      <c r="I18" s="180">
        <v>4205.8</v>
      </c>
      <c r="J18" s="181">
        <v>9.8500000000000004E-2</v>
      </c>
      <c r="K18" s="180">
        <v>57.6</v>
      </c>
      <c r="L18" s="171">
        <v>2452955.2000000002</v>
      </c>
      <c r="M18" s="182">
        <f t="shared" si="0"/>
        <v>0.344306335462991</v>
      </c>
      <c r="N18" s="171">
        <v>3.2591277466005208E-2</v>
      </c>
      <c r="O18" s="171">
        <v>1.3048639443713231E-10</v>
      </c>
      <c r="P18" s="171">
        <v>4.0037213813799712E-9</v>
      </c>
      <c r="Q18" s="171">
        <v>0.63</v>
      </c>
      <c r="R18" s="712">
        <v>0.28000000000000003</v>
      </c>
      <c r="S18" s="171">
        <v>7.3072380884794095E-11</v>
      </c>
      <c r="T18" s="171">
        <v>2.242083973572784E-9</v>
      </c>
      <c r="U18" s="171">
        <v>9</v>
      </c>
      <c r="V18" s="171" t="s">
        <v>346</v>
      </c>
      <c r="W18" s="171" t="s">
        <v>298</v>
      </c>
      <c r="X18" s="172" t="s">
        <v>347</v>
      </c>
      <c r="Y18" s="180">
        <v>12.932</v>
      </c>
      <c r="Z18" s="183">
        <v>1.21</v>
      </c>
      <c r="AA18" s="184">
        <v>0.97396290513877681</v>
      </c>
      <c r="AB18" s="185"/>
      <c r="AD18" s="190">
        <v>939</v>
      </c>
      <c r="AE18" s="195">
        <v>1</v>
      </c>
      <c r="AF18" s="196">
        <v>-2.2799999999999999E-3</v>
      </c>
      <c r="AG18" s="196">
        <v>-2.14E-4</v>
      </c>
      <c r="AH18" s="196">
        <v>1.9199999999999998E-6</v>
      </c>
      <c r="AI18" s="196">
        <v>-2.7299999999999999E-9</v>
      </c>
      <c r="AJ18" s="196">
        <v>-1.0599999999999999E-11</v>
      </c>
      <c r="AK18" s="197">
        <f t="shared" si="7"/>
        <v>0.18625442090624997</v>
      </c>
      <c r="AM18" s="198">
        <f t="shared" si="8"/>
        <v>0.41389871312499993</v>
      </c>
      <c r="AN18" s="128"/>
      <c r="AO18" s="185"/>
      <c r="AP18" s="128"/>
      <c r="AQ18">
        <v>1.7000000000000002</v>
      </c>
      <c r="AR18" s="188">
        <f t="shared" si="1"/>
        <v>195.4332481329989</v>
      </c>
      <c r="AS18" s="188">
        <f t="shared" si="2"/>
        <v>198.69966828731239</v>
      </c>
      <c r="AT18" s="188">
        <f t="shared" si="3"/>
        <v>0.51380640262000032</v>
      </c>
      <c r="AU18" s="188">
        <f t="shared" si="4"/>
        <v>0.23103535146513779</v>
      </c>
      <c r="AV18"/>
      <c r="AW18">
        <v>1.7000000000000002</v>
      </c>
      <c r="AX18" s="188">
        <f t="shared" si="5"/>
        <v>195.4332481329989</v>
      </c>
      <c r="AY18" s="188">
        <f t="shared" si="6"/>
        <v>195.64223938267648</v>
      </c>
    </row>
    <row r="19" spans="2:51" ht="15.75">
      <c r="B19" s="171">
        <v>15</v>
      </c>
      <c r="C19" s="171" t="s">
        <v>348</v>
      </c>
      <c r="D19" s="171">
        <v>6.61</v>
      </c>
      <c r="E19" s="180">
        <v>17.5716</v>
      </c>
      <c r="F19" s="171" t="s">
        <v>349</v>
      </c>
      <c r="G19" s="181">
        <v>5.2148599999999998</v>
      </c>
      <c r="H19" s="181">
        <v>2.9336199999999999</v>
      </c>
      <c r="I19" s="180">
        <v>1773.4</v>
      </c>
      <c r="J19" s="181">
        <v>0.36899999999999999</v>
      </c>
      <c r="K19" s="180">
        <v>22.6</v>
      </c>
      <c r="L19" s="171">
        <v>2451372.7000000002</v>
      </c>
      <c r="M19" s="182">
        <f t="shared" si="0"/>
        <v>0.16695235493637459</v>
      </c>
      <c r="N19" s="171">
        <v>8.262308060857107E-3</v>
      </c>
      <c r="O19" s="171">
        <v>1.0963083934142604E-10</v>
      </c>
      <c r="P19" s="171">
        <v>1.3268791061035948E-8</v>
      </c>
      <c r="Q19" s="171">
        <v>0.45</v>
      </c>
      <c r="R19" s="712">
        <v>0.2</v>
      </c>
      <c r="S19" s="171">
        <v>4.3852335736570421E-11</v>
      </c>
      <c r="T19" s="171">
        <v>5.3075164244143797E-9</v>
      </c>
      <c r="U19" s="171">
        <v>999</v>
      </c>
      <c r="V19" s="171" t="s">
        <v>350</v>
      </c>
      <c r="W19" s="171" t="s">
        <v>283</v>
      </c>
      <c r="Y19" s="180">
        <v>12</v>
      </c>
      <c r="Z19" s="183">
        <v>1.1599999999999999</v>
      </c>
      <c r="AA19" s="184">
        <v>0.94272570198858741</v>
      </c>
      <c r="AB19" s="185"/>
      <c r="AD19" s="128"/>
      <c r="AE19" s="128"/>
      <c r="AF19" s="128"/>
      <c r="AG19" s="128"/>
      <c r="AH19" s="128"/>
      <c r="AI19" s="128"/>
      <c r="AJ19" s="128"/>
      <c r="AK19" s="128"/>
      <c r="AL19" s="128"/>
      <c r="AM19" s="199"/>
      <c r="AN19" s="128"/>
      <c r="AO19" s="185"/>
      <c r="AP19" s="128"/>
      <c r="AQ19">
        <v>1.8</v>
      </c>
      <c r="AR19" s="188">
        <f t="shared" si="1"/>
        <v>189.92697808614696</v>
      </c>
      <c r="AS19" s="188">
        <f t="shared" si="2"/>
        <v>193.47534545402715</v>
      </c>
      <c r="AT19" s="188">
        <f t="shared" si="3"/>
        <v>0.5392642931199999</v>
      </c>
      <c r="AU19" s="188">
        <f t="shared" si="4"/>
        <v>0.24248260601322552</v>
      </c>
      <c r="AV19"/>
      <c r="AW19">
        <v>1.8</v>
      </c>
      <c r="AX19" s="188">
        <f t="shared" si="5"/>
        <v>189.92697808614696</v>
      </c>
      <c r="AY19" s="188">
        <f t="shared" si="6"/>
        <v>190.15463417913813</v>
      </c>
    </row>
    <row r="20" spans="2:51" ht="15.75">
      <c r="B20" s="171">
        <v>16</v>
      </c>
      <c r="C20" s="171" t="s">
        <v>351</v>
      </c>
      <c r="D20" s="171">
        <v>7.02</v>
      </c>
      <c r="E20" s="180">
        <v>32.362499999999997</v>
      </c>
      <c r="F20" s="171" t="s">
        <v>332</v>
      </c>
      <c r="G20" s="181">
        <v>1.79148</v>
      </c>
      <c r="H20" s="181">
        <v>3.2660900000000002</v>
      </c>
      <c r="I20" s="180">
        <v>2166</v>
      </c>
      <c r="J20" s="181">
        <v>0.2</v>
      </c>
      <c r="K20" s="180">
        <v>4.9000000000000004</v>
      </c>
      <c r="L20" s="171">
        <v>2452346.4</v>
      </c>
      <c r="M20" s="182">
        <f t="shared" si="0"/>
        <v>0.10092205484743146</v>
      </c>
      <c r="N20" s="171">
        <v>5.6637148990424701E-3</v>
      </c>
      <c r="O20" s="171">
        <v>6.0629524023231198E-11</v>
      </c>
      <c r="P20" s="171">
        <v>1.0704903955084579E-8</v>
      </c>
      <c r="Q20" s="171">
        <v>0.64</v>
      </c>
      <c r="R20" s="712">
        <v>0.28999999999999998</v>
      </c>
      <c r="S20" s="171">
        <v>3.5165123933474092E-11</v>
      </c>
      <c r="T20" s="171">
        <v>6.2088442939490559E-9</v>
      </c>
      <c r="U20" s="171">
        <v>44</v>
      </c>
      <c r="V20" s="171" t="s">
        <v>352</v>
      </c>
      <c r="W20" s="171" t="s">
        <v>318</v>
      </c>
      <c r="Y20" s="180">
        <v>12.945</v>
      </c>
      <c r="Z20" s="183">
        <v>1.21</v>
      </c>
      <c r="AA20" s="184">
        <v>0.9749419894077842</v>
      </c>
      <c r="AB20" s="185"/>
      <c r="AD20" s="128"/>
      <c r="AE20" s="128"/>
      <c r="AF20" s="128"/>
      <c r="AG20" s="128"/>
      <c r="AH20" s="128"/>
      <c r="AI20" s="128"/>
      <c r="AJ20" s="128"/>
      <c r="AK20" s="128"/>
      <c r="AL20" s="128"/>
      <c r="AM20" s="199"/>
      <c r="AN20" s="128"/>
      <c r="AO20" s="185"/>
      <c r="AP20" s="128"/>
      <c r="AQ20">
        <v>1.9000000000000001</v>
      </c>
      <c r="AR20" s="188">
        <f t="shared" si="1"/>
        <v>184.86134577723564</v>
      </c>
      <c r="AS20" s="188">
        <f t="shared" si="2"/>
        <v>188.69759480508614</v>
      </c>
      <c r="AT20" s="188">
        <f t="shared" si="3"/>
        <v>0.56190917598000001</v>
      </c>
      <c r="AU20" s="188">
        <f t="shared" si="4"/>
        <v>0.25266497907002122</v>
      </c>
      <c r="AV20"/>
      <c r="AW20">
        <v>1.9000000000000001</v>
      </c>
      <c r="AX20" s="188">
        <f t="shared" si="5"/>
        <v>184.86134577723564</v>
      </c>
      <c r="AY20" s="188">
        <f t="shared" si="6"/>
        <v>185.10818373684472</v>
      </c>
    </row>
    <row r="21" spans="2:51" ht="15.75">
      <c r="B21" s="171">
        <v>17</v>
      </c>
      <c r="C21" s="171" t="s">
        <v>353</v>
      </c>
      <c r="D21" s="171">
        <v>5.96</v>
      </c>
      <c r="E21" s="180">
        <v>12.341100000000001</v>
      </c>
      <c r="F21" s="171" t="s">
        <v>354</v>
      </c>
      <c r="G21" s="181">
        <v>3.5445099999999998</v>
      </c>
      <c r="H21" s="181">
        <v>5.4746699999999997</v>
      </c>
      <c r="I21" s="180">
        <v>4909</v>
      </c>
      <c r="J21" s="181">
        <v>0.02</v>
      </c>
      <c r="K21" s="180">
        <v>254</v>
      </c>
      <c r="L21" s="171">
        <v>2453490</v>
      </c>
      <c r="M21" s="182">
        <f t="shared" si="0"/>
        <v>0.44361280598974157</v>
      </c>
      <c r="N21" s="171">
        <v>1.5034929072441866E-2</v>
      </c>
      <c r="O21" s="171">
        <v>5.7282842768850964E-11</v>
      </c>
      <c r="P21" s="171">
        <v>3.8099842368958707E-9</v>
      </c>
      <c r="Q21" s="171">
        <v>0.63</v>
      </c>
      <c r="R21" s="712">
        <v>0.28000000000000003</v>
      </c>
      <c r="S21" s="171">
        <v>3.2078391950556542E-11</v>
      </c>
      <c r="T21" s="171">
        <v>2.1335911726616876E-9</v>
      </c>
      <c r="U21" s="171">
        <v>5</v>
      </c>
      <c r="V21" s="171" t="s">
        <v>355</v>
      </c>
      <c r="W21" s="171" t="s">
        <v>298</v>
      </c>
      <c r="Y21" s="180">
        <v>13.129</v>
      </c>
      <c r="Z21" s="183">
        <v>1.1599999999999999</v>
      </c>
      <c r="AA21" s="184">
        <v>1.0314204784506804</v>
      </c>
      <c r="AB21" s="185"/>
      <c r="AD21" s="128"/>
      <c r="AE21" s="128"/>
      <c r="AF21" s="128"/>
      <c r="AG21" s="128"/>
      <c r="AH21" s="128"/>
      <c r="AI21" s="128"/>
      <c r="AJ21" s="128"/>
      <c r="AK21" s="128"/>
      <c r="AL21" s="128"/>
      <c r="AM21" s="199"/>
      <c r="AN21" s="128"/>
      <c r="AO21" s="185"/>
      <c r="AP21" s="128"/>
      <c r="AQ21">
        <v>2</v>
      </c>
      <c r="AR21" s="188">
        <f t="shared" si="1"/>
        <v>180.18055195953352</v>
      </c>
      <c r="AS21" s="188">
        <f t="shared" si="2"/>
        <v>184.31021535245054</v>
      </c>
      <c r="AT21" s="188">
        <f t="shared" si="3"/>
        <v>0.58168000000000009</v>
      </c>
      <c r="AU21" s="188">
        <f t="shared" si="4"/>
        <v>0.26155501868985503</v>
      </c>
      <c r="AV21"/>
      <c r="AW21">
        <v>2</v>
      </c>
      <c r="AX21" s="188">
        <f t="shared" si="5"/>
        <v>180.18055195953352</v>
      </c>
      <c r="AY21" s="188">
        <f t="shared" si="6"/>
        <v>180.44707379647051</v>
      </c>
    </row>
    <row r="22" spans="2:51" ht="15.75">
      <c r="B22" s="171">
        <v>18</v>
      </c>
      <c r="C22" s="171" t="s">
        <v>356</v>
      </c>
      <c r="D22" s="171">
        <v>7.17</v>
      </c>
      <c r="E22" s="180">
        <v>28.066199999999998</v>
      </c>
      <c r="F22" s="171" t="s">
        <v>357</v>
      </c>
      <c r="G22" s="181">
        <v>1.90944</v>
      </c>
      <c r="H22" s="181">
        <v>3.18072</v>
      </c>
      <c r="I22" s="180">
        <v>2068</v>
      </c>
      <c r="J22" s="181">
        <v>3.4000000000000002E-2</v>
      </c>
      <c r="K22" s="180">
        <v>205</v>
      </c>
      <c r="L22" s="171">
        <v>2451350</v>
      </c>
      <c r="M22" s="182">
        <f t="shared" si="0"/>
        <v>0.11332920024798512</v>
      </c>
      <c r="N22" s="171">
        <v>4.9328894609577687E-3</v>
      </c>
      <c r="O22" s="171">
        <v>5.5678762639342382E-11</v>
      </c>
      <c r="P22" s="171">
        <v>1.1287251230748602E-8</v>
      </c>
      <c r="Q22" s="171">
        <v>0.61</v>
      </c>
      <c r="R22" s="712">
        <v>0.27</v>
      </c>
      <c r="S22" s="171">
        <v>3.0066531825244887E-11</v>
      </c>
      <c r="T22" s="171">
        <v>6.0951156646042449E-9</v>
      </c>
      <c r="U22" s="171">
        <v>34</v>
      </c>
      <c r="V22" s="171" t="s">
        <v>358</v>
      </c>
      <c r="W22" s="171" t="s">
        <v>298</v>
      </c>
      <c r="Y22" s="180">
        <v>12.945</v>
      </c>
      <c r="Z22" s="183">
        <v>1.21</v>
      </c>
      <c r="AA22" s="184">
        <v>0.9749419894077842</v>
      </c>
      <c r="AB22" s="185"/>
      <c r="AD22" s="128" t="s">
        <v>359</v>
      </c>
      <c r="AE22" s="128"/>
      <c r="AF22" s="128"/>
      <c r="AG22" s="128"/>
      <c r="AH22" s="128"/>
      <c r="AI22" s="128"/>
      <c r="AJ22" s="128"/>
      <c r="AK22" s="128"/>
      <c r="AL22" s="128"/>
      <c r="AM22" s="199"/>
      <c r="AN22" s="128"/>
      <c r="AO22" s="185"/>
      <c r="AP22" s="128"/>
      <c r="AQ22">
        <v>2.1</v>
      </c>
      <c r="AR22" s="188">
        <f t="shared" si="1"/>
        <v>175.83821380121572</v>
      </c>
      <c r="AS22" s="188">
        <f t="shared" si="2"/>
        <v>180.26644097486695</v>
      </c>
      <c r="AT22" s="188">
        <f t="shared" si="3"/>
        <v>0.59855715237999996</v>
      </c>
      <c r="AU22" s="188">
        <f t="shared" si="4"/>
        <v>0.26914390588931592</v>
      </c>
      <c r="AV22"/>
      <c r="AW22">
        <v>2.1</v>
      </c>
      <c r="AX22" s="188">
        <f t="shared" si="5"/>
        <v>175.83821380121572</v>
      </c>
      <c r="AY22" s="188">
        <f t="shared" si="6"/>
        <v>176.12490756300417</v>
      </c>
    </row>
    <row r="23" spans="2:51" ht="15.75">
      <c r="B23" s="171">
        <v>19</v>
      </c>
      <c r="C23" s="171" t="s">
        <v>360</v>
      </c>
      <c r="D23" s="171">
        <v>6.17</v>
      </c>
      <c r="E23" s="180">
        <v>19.856999999999999</v>
      </c>
      <c r="F23" s="171" t="s">
        <v>361</v>
      </c>
      <c r="G23" s="181">
        <v>2.6154600000000001</v>
      </c>
      <c r="H23" s="181">
        <v>5.3341399999999997</v>
      </c>
      <c r="I23" s="180">
        <v>4270</v>
      </c>
      <c r="J23" s="181">
        <v>0.51722199999999996</v>
      </c>
      <c r="K23" s="180">
        <v>198.59800000000001</v>
      </c>
      <c r="L23" s="171">
        <v>2451106.321</v>
      </c>
      <c r="M23" s="182">
        <f t="shared" si="0"/>
        <v>0.26862768796897818</v>
      </c>
      <c r="N23" s="171">
        <v>1.2390858105116424E-2</v>
      </c>
      <c r="O23" s="171">
        <v>4.9729218538225713E-11</v>
      </c>
      <c r="P23" s="171">
        <v>4.0133797123938948E-9</v>
      </c>
      <c r="Q23" s="171">
        <v>0.63</v>
      </c>
      <c r="R23" s="712">
        <v>0.28000000000000003</v>
      </c>
      <c r="S23" s="171">
        <v>2.7848362381406399E-11</v>
      </c>
      <c r="T23" s="171">
        <v>2.2474926389405812E-9</v>
      </c>
      <c r="U23" s="171">
        <v>11</v>
      </c>
      <c r="V23" s="171" t="s">
        <v>362</v>
      </c>
      <c r="W23" s="171" t="s">
        <v>298</v>
      </c>
      <c r="Y23" s="180">
        <v>12.984999999999999</v>
      </c>
      <c r="Z23" s="183">
        <v>1.18</v>
      </c>
      <c r="AA23" s="184">
        <v>1.002817807822973</v>
      </c>
      <c r="AB23" s="185"/>
      <c r="AD23" s="128"/>
      <c r="AE23" s="128"/>
      <c r="AF23" s="128" t="s">
        <v>363</v>
      </c>
      <c r="AG23" s="128"/>
      <c r="AI23" s="128"/>
      <c r="AJ23" s="128"/>
      <c r="AK23" s="128"/>
      <c r="AL23" s="128"/>
      <c r="AM23" s="199"/>
      <c r="AN23" s="128"/>
      <c r="AO23" s="185"/>
      <c r="AP23" s="128"/>
      <c r="AQ23">
        <v>2.2000000000000002</v>
      </c>
      <c r="AR23" s="188">
        <f t="shared" si="1"/>
        <v>171.79541560303676</v>
      </c>
      <c r="AS23" s="188">
        <f t="shared" si="2"/>
        <v>176.52698957953797</v>
      </c>
      <c r="AT23" s="188">
        <f t="shared" si="3"/>
        <v>0.61255857791999957</v>
      </c>
      <c r="AU23" s="188">
        <f t="shared" si="4"/>
        <v>0.27543970962814002</v>
      </c>
      <c r="AV23"/>
      <c r="AW23">
        <v>2.2000000000000002</v>
      </c>
      <c r="AX23" s="188">
        <f t="shared" si="5"/>
        <v>171.79541560303676</v>
      </c>
      <c r="AY23" s="188">
        <f t="shared" si="6"/>
        <v>172.10275629487469</v>
      </c>
    </row>
    <row r="24" spans="2:51" ht="15.75">
      <c r="B24" s="171">
        <v>20</v>
      </c>
      <c r="C24" s="171" t="s">
        <v>364</v>
      </c>
      <c r="D24" s="171">
        <v>6.76</v>
      </c>
      <c r="E24" s="180">
        <v>18.587399999999999</v>
      </c>
      <c r="F24" s="171" t="s">
        <v>354</v>
      </c>
      <c r="G24" s="181">
        <v>0.956901</v>
      </c>
      <c r="H24" s="181">
        <v>4.2137700000000002</v>
      </c>
      <c r="I24" s="180">
        <v>3341.5587999999998</v>
      </c>
      <c r="J24" s="181">
        <v>4.3999999999999997E-2</v>
      </c>
      <c r="K24" s="180">
        <v>68.154300000000006</v>
      </c>
      <c r="L24" s="171">
        <v>2452831.2230000002</v>
      </c>
      <c r="M24" s="182">
        <f t="shared" si="0"/>
        <v>0.22670034539526779</v>
      </c>
      <c r="N24" s="171">
        <v>7.1961694900071725E-3</v>
      </c>
      <c r="O24" s="171">
        <v>4.6280580848502194E-11</v>
      </c>
      <c r="P24" s="171">
        <v>6.4312799903850045E-9</v>
      </c>
      <c r="Q24" s="171">
        <v>0.54</v>
      </c>
      <c r="R24" s="712">
        <v>0.24</v>
      </c>
      <c r="S24" s="171">
        <v>2.221467880728105E-11</v>
      </c>
      <c r="T24" s="171">
        <v>3.0870143953848018E-9</v>
      </c>
      <c r="U24" s="171">
        <v>17</v>
      </c>
      <c r="V24" s="171" t="s">
        <v>365</v>
      </c>
      <c r="W24" s="171" t="s">
        <v>298</v>
      </c>
      <c r="Y24" s="180">
        <v>12.840999999999999</v>
      </c>
      <c r="Z24" s="183">
        <v>1.23</v>
      </c>
      <c r="AA24" s="184">
        <v>0.95138396053611951</v>
      </c>
      <c r="AB24" s="185"/>
      <c r="AD24" s="200">
        <f>AK15</f>
        <v>0.20234451659062502</v>
      </c>
      <c r="AE24" s="201">
        <v>0.4</v>
      </c>
      <c r="AF24" s="128"/>
      <c r="AG24" s="128"/>
      <c r="AI24" s="128"/>
      <c r="AJ24" s="128"/>
      <c r="AK24" s="128"/>
      <c r="AL24" s="128"/>
      <c r="AM24" s="199"/>
      <c r="AN24" s="128"/>
      <c r="AO24" s="185"/>
      <c r="AP24" s="128"/>
      <c r="AQ24">
        <v>2.2999999999999998</v>
      </c>
      <c r="AR24" s="188">
        <f t="shared" si="1"/>
        <v>168.01923105365864</v>
      </c>
      <c r="AS24" s="188">
        <f t="shared" si="2"/>
        <v>173.05858409686687</v>
      </c>
      <c r="AT24" s="188">
        <f t="shared" si="3"/>
        <v>0.62373602781999993</v>
      </c>
      <c r="AU24" s="188">
        <f t="shared" si="4"/>
        <v>0.28046570006532118</v>
      </c>
      <c r="AV24"/>
      <c r="AW24">
        <v>2.2999999999999998</v>
      </c>
      <c r="AX24" s="188">
        <f t="shared" si="5"/>
        <v>168.01923105365864</v>
      </c>
      <c r="AY24" s="188">
        <f t="shared" si="6"/>
        <v>168.34768145155397</v>
      </c>
    </row>
    <row r="25" spans="2:51" ht="15.75">
      <c r="B25" s="171">
        <v>21</v>
      </c>
      <c r="C25" s="171" t="s">
        <v>366</v>
      </c>
      <c r="D25" s="171">
        <v>7.26</v>
      </c>
      <c r="E25" s="180">
        <v>33.046900000000001</v>
      </c>
      <c r="F25" s="171" t="s">
        <v>342</v>
      </c>
      <c r="G25" s="181">
        <v>1.8189</v>
      </c>
      <c r="H25" s="181">
        <v>3.73753</v>
      </c>
      <c r="I25" s="180">
        <v>2597</v>
      </c>
      <c r="J25" s="181">
        <v>0.14399999999999999</v>
      </c>
      <c r="K25" s="180">
        <v>73</v>
      </c>
      <c r="L25" s="171">
        <v>2450630</v>
      </c>
      <c r="M25" s="182">
        <f t="shared" si="0"/>
        <v>0.11309774895678566</v>
      </c>
      <c r="N25" s="171">
        <v>4.5404759918443094E-3</v>
      </c>
      <c r="O25" s="171">
        <v>3.7116847288651123E-11</v>
      </c>
      <c r="P25" s="171">
        <v>8.1746599597313419E-9</v>
      </c>
      <c r="Q25" s="171">
        <v>0.61</v>
      </c>
      <c r="R25" s="712">
        <v>0.27</v>
      </c>
      <c r="S25" s="171">
        <v>2.0043097535871612E-11</v>
      </c>
      <c r="T25" s="171">
        <v>4.4143163782549253E-9</v>
      </c>
      <c r="U25" s="171">
        <v>37</v>
      </c>
      <c r="V25" s="171" t="s">
        <v>367</v>
      </c>
      <c r="W25" s="171" t="s">
        <v>298</v>
      </c>
      <c r="Y25" s="180">
        <v>12.949</v>
      </c>
      <c r="Z25" s="183">
        <v>1.21</v>
      </c>
      <c r="AA25" s="184">
        <v>0.97524324610594038</v>
      </c>
      <c r="AB25" s="185"/>
      <c r="AD25" s="202">
        <v>10</v>
      </c>
      <c r="AE25" s="203">
        <f t="dataTable" ref="AE25:AE43" dt2D="1" dtr="1" r1="AE8" r2="AE9"/>
        <v>0.37318772560000002</v>
      </c>
      <c r="AF25" s="204">
        <v>10</v>
      </c>
      <c r="AG25" s="205">
        <v>0.98537014284737978</v>
      </c>
      <c r="AI25" s="128"/>
      <c r="AJ25" s="128"/>
      <c r="AK25" s="128"/>
      <c r="AL25" s="128"/>
      <c r="AM25" s="128"/>
      <c r="AN25" s="128"/>
      <c r="AO25" s="185"/>
      <c r="AP25" s="128"/>
      <c r="AQ25">
        <v>2.4000000000000004</v>
      </c>
      <c r="AR25" s="188">
        <f t="shared" si="1"/>
        <v>164.4815878866136</v>
      </c>
      <c r="AS25" s="188">
        <f t="shared" si="2"/>
        <v>169.83281610637317</v>
      </c>
      <c r="AT25" s="188">
        <f t="shared" si="3"/>
        <v>0.63217143808000043</v>
      </c>
      <c r="AU25" s="188">
        <f t="shared" si="4"/>
        <v>0.28425872009043984</v>
      </c>
      <c r="AV25"/>
      <c r="AW25">
        <v>2.4000000000000004</v>
      </c>
      <c r="AX25" s="188">
        <f t="shared" si="5"/>
        <v>164.4815878866136</v>
      </c>
      <c r="AY25" s="188">
        <f t="shared" si="6"/>
        <v>164.83159925948493</v>
      </c>
    </row>
    <row r="26" spans="2:51" ht="15.75">
      <c r="B26" s="171">
        <v>22</v>
      </c>
      <c r="C26" s="171" t="s">
        <v>368</v>
      </c>
      <c r="D26" s="171">
        <v>6.47</v>
      </c>
      <c r="E26" s="180">
        <v>26.205500000000001</v>
      </c>
      <c r="F26" s="171" t="s">
        <v>369</v>
      </c>
      <c r="G26" s="181">
        <v>0.80492600000000003</v>
      </c>
      <c r="H26" s="181">
        <v>5.8251299999999997</v>
      </c>
      <c r="I26" s="180">
        <v>5000</v>
      </c>
      <c r="J26" s="181">
        <v>0.12</v>
      </c>
      <c r="K26" s="180">
        <v>195</v>
      </c>
      <c r="L26" s="171">
        <v>2451100</v>
      </c>
      <c r="M26" s="182">
        <f t="shared" si="0"/>
        <v>0.22228654290129932</v>
      </c>
      <c r="N26" s="171">
        <v>9.3994270939099251E-3</v>
      </c>
      <c r="O26" s="171">
        <v>3.1632186363467653E-11</v>
      </c>
      <c r="P26" s="171">
        <v>3.3653313172632375E-9</v>
      </c>
      <c r="Q26" s="171">
        <v>0.51</v>
      </c>
      <c r="R26" s="712">
        <v>0.23</v>
      </c>
      <c r="S26" s="171">
        <v>1.4550805727195121E-11</v>
      </c>
      <c r="T26" s="171">
        <v>1.5480524059410893E-9</v>
      </c>
      <c r="U26" s="171">
        <v>18</v>
      </c>
      <c r="V26" s="171" t="s">
        <v>370</v>
      </c>
      <c r="W26" s="171" t="s">
        <v>298</v>
      </c>
      <c r="Y26" s="180">
        <v>12.808999999999999</v>
      </c>
      <c r="Z26" s="183">
        <v>1.23</v>
      </c>
      <c r="AA26" s="184">
        <v>0.94901309481404517</v>
      </c>
      <c r="AB26" s="185"/>
      <c r="AD26" s="202">
        <v>15</v>
      </c>
      <c r="AE26" s="203">
        <v>0.35652759627500008</v>
      </c>
      <c r="AF26" s="204">
        <v>15</v>
      </c>
      <c r="AG26" s="205">
        <v>0.96781666822042667</v>
      </c>
      <c r="AI26" s="128"/>
      <c r="AJ26" s="128"/>
      <c r="AK26" s="128"/>
      <c r="AL26" s="128"/>
      <c r="AM26" s="128"/>
      <c r="AN26" s="128"/>
      <c r="AO26" s="185"/>
      <c r="AP26" s="128"/>
      <c r="AQ26">
        <v>2.5</v>
      </c>
      <c r="AR26" s="188">
        <f t="shared" si="1"/>
        <v>161.15838496197989</v>
      </c>
      <c r="AS26" s="188">
        <f t="shared" si="2"/>
        <v>166.82526206645275</v>
      </c>
      <c r="AT26" s="188">
        <f t="shared" si="3"/>
        <v>0.63797343749999991</v>
      </c>
      <c r="AU26" s="188">
        <f t="shared" si="4"/>
        <v>0.28686761513021508</v>
      </c>
      <c r="AV26"/>
      <c r="AW26">
        <v>2.5</v>
      </c>
      <c r="AX26" s="188">
        <f t="shared" si="5"/>
        <v>161.15838496197989</v>
      </c>
      <c r="AY26" s="188">
        <f t="shared" si="6"/>
        <v>161.53039771624049</v>
      </c>
    </row>
    <row r="27" spans="2:51" ht="15.75">
      <c r="B27" s="171">
        <v>23</v>
      </c>
      <c r="C27" s="171" t="s">
        <v>371</v>
      </c>
      <c r="D27" s="171">
        <v>7.57</v>
      </c>
      <c r="E27" s="180">
        <v>18.204999999999998</v>
      </c>
      <c r="F27" s="171" t="s">
        <v>349</v>
      </c>
      <c r="G27" s="181">
        <v>1.7557100000000001</v>
      </c>
      <c r="H27" s="181">
        <v>3.5764800000000001</v>
      </c>
      <c r="I27" s="180">
        <v>2754</v>
      </c>
      <c r="J27" s="181">
        <v>0.53</v>
      </c>
      <c r="K27" s="180">
        <v>291</v>
      </c>
      <c r="L27" s="171">
        <v>2451139</v>
      </c>
      <c r="M27" s="182">
        <f t="shared" si="0"/>
        <v>0.19645591870365287</v>
      </c>
      <c r="N27" s="171">
        <v>3.4127257052102016E-3</v>
      </c>
      <c r="O27" s="171">
        <v>3.0466941109480428E-11</v>
      </c>
      <c r="P27" s="171">
        <v>8.9274508827259717E-9</v>
      </c>
      <c r="Q27" s="171">
        <v>0.21</v>
      </c>
      <c r="R27" s="712">
        <v>0.09</v>
      </c>
      <c r="S27" s="171">
        <v>5.4840493997064768E-12</v>
      </c>
      <c r="T27" s="171">
        <v>1.6069411588906747E-9</v>
      </c>
      <c r="U27" s="171">
        <v>19</v>
      </c>
      <c r="V27" s="171" t="s">
        <v>372</v>
      </c>
      <c r="W27" s="171" t="s">
        <v>283</v>
      </c>
      <c r="Y27" s="180">
        <v>12.605</v>
      </c>
      <c r="Z27" s="183">
        <v>1.21</v>
      </c>
      <c r="AA27" s="184">
        <v>0.94933517006451296</v>
      </c>
      <c r="AB27" s="185"/>
      <c r="AD27" s="202">
        <v>20</v>
      </c>
      <c r="AE27" s="203">
        <v>0.33925137920000004</v>
      </c>
      <c r="AF27" s="204">
        <v>20</v>
      </c>
      <c r="AG27" s="205">
        <v>0.94415072248203169</v>
      </c>
      <c r="AI27" s="128"/>
      <c r="AJ27" s="128"/>
      <c r="AK27" s="128"/>
      <c r="AL27" s="128"/>
      <c r="AM27" s="128"/>
      <c r="AN27" s="128"/>
      <c r="AO27" s="185"/>
      <c r="AP27" s="128"/>
      <c r="AQ27">
        <v>2.6</v>
      </c>
      <c r="AR27" s="188">
        <f t="shared" si="1"/>
        <v>158.02879801927571</v>
      </c>
      <c r="AS27" s="188">
        <f t="shared" si="2"/>
        <v>164.01478835553957</v>
      </c>
      <c r="AT27" s="188">
        <f t="shared" si="3"/>
        <v>0.64127398527999935</v>
      </c>
      <c r="AU27" s="188">
        <f t="shared" si="4"/>
        <v>0.28835172123027786</v>
      </c>
      <c r="AV27"/>
      <c r="AW27">
        <v>2.6</v>
      </c>
      <c r="AX27" s="188">
        <f t="shared" si="5"/>
        <v>158.02879801927571</v>
      </c>
      <c r="AY27" s="188">
        <f t="shared" si="6"/>
        <v>158.42324227695326</v>
      </c>
    </row>
    <row r="28" spans="2:51" ht="15.75">
      <c r="B28" s="171">
        <v>24</v>
      </c>
      <c r="C28" s="171" t="s">
        <v>373</v>
      </c>
      <c r="D28" s="171">
        <v>7.12</v>
      </c>
      <c r="E28" s="180">
        <v>49.1</v>
      </c>
      <c r="F28" s="171" t="s">
        <v>374</v>
      </c>
      <c r="G28" s="181">
        <v>2.0263300000000002</v>
      </c>
      <c r="H28" s="181">
        <v>5.1386399999999997</v>
      </c>
      <c r="I28" s="180">
        <v>3999</v>
      </c>
      <c r="J28" s="181">
        <v>0.16</v>
      </c>
      <c r="K28" s="180">
        <v>137</v>
      </c>
      <c r="L28" s="171">
        <v>2456319</v>
      </c>
      <c r="M28" s="182">
        <f t="shared" si="0"/>
        <v>0.10465661914460284</v>
      </c>
      <c r="N28" s="171">
        <v>5.1653693789482924E-3</v>
      </c>
      <c r="O28" s="171">
        <v>2.2337988770478576E-11</v>
      </c>
      <c r="P28" s="171">
        <v>4.3245675442918195E-9</v>
      </c>
      <c r="Q28" s="171">
        <v>0.63</v>
      </c>
      <c r="R28" s="712">
        <v>0.28000000000000003</v>
      </c>
      <c r="S28" s="171">
        <v>1.2509273711468004E-11</v>
      </c>
      <c r="T28" s="171">
        <v>2.4217578248034191E-9</v>
      </c>
      <c r="U28" s="171">
        <v>42</v>
      </c>
      <c r="V28" s="171" t="s">
        <v>375</v>
      </c>
      <c r="W28" s="171" t="s">
        <v>318</v>
      </c>
      <c r="Y28" s="180">
        <v>12.938000000000001</v>
      </c>
      <c r="Z28" s="183">
        <v>1.2</v>
      </c>
      <c r="AA28" s="184">
        <v>0.98253491343756105</v>
      </c>
      <c r="AB28" s="185"/>
      <c r="AD28" s="202">
        <v>25</v>
      </c>
      <c r="AE28" s="203">
        <v>0.32151695312500006</v>
      </c>
      <c r="AF28" s="204">
        <v>25</v>
      </c>
      <c r="AG28" s="205">
        <v>0.91495527629765538</v>
      </c>
      <c r="AI28" s="128"/>
      <c r="AJ28" s="128"/>
      <c r="AK28" s="128"/>
      <c r="AL28" s="128"/>
      <c r="AM28" s="128"/>
      <c r="AN28" s="128"/>
      <c r="AO28" s="185"/>
      <c r="AP28" s="128"/>
      <c r="AQ28">
        <v>2.7</v>
      </c>
      <c r="AR28" s="188">
        <f t="shared" si="1"/>
        <v>155.07472823327407</v>
      </c>
      <c r="AS28" s="188">
        <f t="shared" si="2"/>
        <v>161.38299922602704</v>
      </c>
      <c r="AT28" s="188">
        <f t="shared" si="3"/>
        <v>0.64222513822000005</v>
      </c>
      <c r="AU28" s="188">
        <f t="shared" si="4"/>
        <v>0.28877941141216273</v>
      </c>
      <c r="AV28"/>
      <c r="AW28">
        <v>2.7</v>
      </c>
      <c r="AX28" s="188">
        <f t="shared" si="5"/>
        <v>155.07472823327407</v>
      </c>
      <c r="AY28" s="188">
        <f t="shared" si="6"/>
        <v>155.49202435278229</v>
      </c>
    </row>
    <row r="29" spans="2:51" ht="15.75">
      <c r="B29" s="171">
        <v>25</v>
      </c>
      <c r="C29" s="171" t="s">
        <v>376</v>
      </c>
      <c r="D29" s="171">
        <v>8.3800000000000008</v>
      </c>
      <c r="E29" s="180">
        <v>26.759399999999999</v>
      </c>
      <c r="F29" s="171" t="s">
        <v>377</v>
      </c>
      <c r="G29" s="181">
        <v>0.53548200000000001</v>
      </c>
      <c r="H29" s="181">
        <v>3.0220799999999999</v>
      </c>
      <c r="I29" s="180">
        <v>2172</v>
      </c>
      <c r="J29" s="181">
        <v>0.48</v>
      </c>
      <c r="K29" s="180">
        <v>330</v>
      </c>
      <c r="L29" s="171">
        <v>2452154</v>
      </c>
      <c r="M29" s="182">
        <f t="shared" si="0"/>
        <v>0.11293526760689701</v>
      </c>
      <c r="N29" s="171">
        <v>1.6184578135875535E-3</v>
      </c>
      <c r="O29" s="171">
        <v>2.0236180345542314E-11</v>
      </c>
      <c r="P29" s="171">
        <v>1.2503372145787229E-8</v>
      </c>
      <c r="Q29" s="171">
        <v>0.46</v>
      </c>
      <c r="R29" s="712">
        <v>0.21</v>
      </c>
      <c r="S29" s="171">
        <v>8.4991957451277728E-12</v>
      </c>
      <c r="T29" s="171">
        <v>5.2514163012306368E-9</v>
      </c>
      <c r="U29" s="171">
        <v>38</v>
      </c>
      <c r="V29" s="171" t="s">
        <v>378</v>
      </c>
      <c r="W29" s="171" t="s">
        <v>340</v>
      </c>
      <c r="Y29" s="180">
        <v>12.659000000000001</v>
      </c>
      <c r="Z29" s="183">
        <v>1.28</v>
      </c>
      <c r="AA29" s="184">
        <v>0.90126295620503216</v>
      </c>
      <c r="AB29" s="185"/>
      <c r="AD29" s="202">
        <v>30</v>
      </c>
      <c r="AE29" s="203">
        <v>0.30347604080000001</v>
      </c>
      <c r="AF29" s="204">
        <v>30</v>
      </c>
      <c r="AG29" s="205">
        <v>0.88084277957892765</v>
      </c>
      <c r="AI29" s="128"/>
      <c r="AJ29" s="128"/>
      <c r="AK29" s="128"/>
      <c r="AL29" s="128"/>
      <c r="AM29" s="128"/>
      <c r="AN29" s="128"/>
      <c r="AO29" s="185"/>
      <c r="AP29" s="128"/>
      <c r="AQ29">
        <v>2.8000000000000003</v>
      </c>
      <c r="AR29" s="188">
        <f t="shared" si="1"/>
        <v>152.28036010793224</v>
      </c>
      <c r="AS29" s="188">
        <f t="shared" si="2"/>
        <v>158.91379418234044</v>
      </c>
      <c r="AT29" s="188">
        <f t="shared" si="3"/>
        <v>0.64099594751999989</v>
      </c>
      <c r="AU29" s="188">
        <f t="shared" si="4"/>
        <v>0.28822670030552006</v>
      </c>
      <c r="AV29"/>
      <c r="AW29">
        <v>2.8000000000000003</v>
      </c>
      <c r="AX29" s="188">
        <f t="shared" si="5"/>
        <v>152.28036010793224</v>
      </c>
      <c r="AY29" s="188">
        <f t="shared" si="6"/>
        <v>152.72091915507102</v>
      </c>
    </row>
    <row r="30" spans="2:51" ht="15.75">
      <c r="B30" s="171">
        <v>26</v>
      </c>
      <c r="C30" s="171" t="s">
        <v>379</v>
      </c>
      <c r="D30" s="171">
        <v>7.5</v>
      </c>
      <c r="E30" s="180">
        <v>46.598300000000002</v>
      </c>
      <c r="F30" s="171" t="s">
        <v>374</v>
      </c>
      <c r="G30" s="181">
        <v>4.02189</v>
      </c>
      <c r="H30" s="181">
        <v>4.9240599999999999</v>
      </c>
      <c r="I30" s="180">
        <v>3668</v>
      </c>
      <c r="J30" s="181">
        <v>0.04</v>
      </c>
      <c r="K30" s="180">
        <v>154</v>
      </c>
      <c r="L30" s="171">
        <v>2454308</v>
      </c>
      <c r="M30" s="182">
        <f t="shared" si="0"/>
        <v>0.10567037853312244</v>
      </c>
      <c r="N30" s="171">
        <v>3.64E-3</v>
      </c>
      <c r="O30" s="171">
        <v>1.7143274622020054E-11</v>
      </c>
      <c r="P30" s="171">
        <v>4.7096908302252891E-9</v>
      </c>
      <c r="Q30" s="171">
        <v>0.45</v>
      </c>
      <c r="R30" s="712">
        <v>0.2</v>
      </c>
      <c r="S30" s="171">
        <v>6.8573098488080213E-12</v>
      </c>
      <c r="T30" s="171">
        <v>1.8838763320901157E-9</v>
      </c>
      <c r="U30" s="171">
        <v>41</v>
      </c>
      <c r="V30" s="171" t="s">
        <v>380</v>
      </c>
      <c r="W30" s="171" t="s">
        <v>318</v>
      </c>
      <c r="Y30" s="180">
        <v>13.134</v>
      </c>
      <c r="Z30" s="183">
        <v>1.17</v>
      </c>
      <c r="AA30" s="184">
        <v>1.0229943638963679</v>
      </c>
      <c r="AB30" s="185"/>
      <c r="AD30" s="202">
        <v>35</v>
      </c>
      <c r="AE30" s="203">
        <v>0.28527377997499997</v>
      </c>
      <c r="AF30" s="204">
        <v>35</v>
      </c>
      <c r="AG30" s="205">
        <v>0.84244753029429353</v>
      </c>
      <c r="AI30" s="128"/>
      <c r="AJ30" s="128"/>
      <c r="AK30" s="128"/>
      <c r="AL30" s="128"/>
      <c r="AM30" s="128"/>
      <c r="AN30" s="128"/>
      <c r="AO30" s="185"/>
      <c r="AP30" s="128"/>
      <c r="AQ30">
        <v>2.9000000000000004</v>
      </c>
      <c r="AR30" s="188">
        <f t="shared" si="1"/>
        <v>149.6318039779118</v>
      </c>
      <c r="AS30" s="188">
        <f t="shared" si="2"/>
        <v>156.59301003387364</v>
      </c>
      <c r="AT30" s="188">
        <f t="shared" si="3"/>
        <v>0.63776948517999843</v>
      </c>
      <c r="AU30" s="188">
        <f t="shared" si="4"/>
        <v>0.28677590705555234</v>
      </c>
      <c r="AV30"/>
      <c r="AW30">
        <v>2.9000000000000004</v>
      </c>
      <c r="AX30" s="188">
        <f t="shared" si="5"/>
        <v>149.6318039779118</v>
      </c>
      <c r="AY30" s="188">
        <f t="shared" si="6"/>
        <v>150.09602815344184</v>
      </c>
    </row>
    <row r="31" spans="2:51" ht="15.75">
      <c r="B31" s="171">
        <v>27</v>
      </c>
      <c r="C31" s="171" t="s">
        <v>381</v>
      </c>
      <c r="D31" s="171">
        <v>7.61</v>
      </c>
      <c r="E31" s="180">
        <v>44.228200000000001</v>
      </c>
      <c r="F31" s="171" t="s">
        <v>374</v>
      </c>
      <c r="G31" s="181">
        <v>1.88123</v>
      </c>
      <c r="H31" s="181">
        <v>5.1493099999999998</v>
      </c>
      <c r="I31" s="180">
        <v>4218</v>
      </c>
      <c r="J31" s="181">
        <v>0.02</v>
      </c>
      <c r="K31" s="180">
        <v>290</v>
      </c>
      <c r="L31" s="171">
        <v>2454494</v>
      </c>
      <c r="M31" s="182">
        <f t="shared" si="0"/>
        <v>0.11642594543752628</v>
      </c>
      <c r="N31" s="171">
        <v>3.289284084349176E-3</v>
      </c>
      <c r="O31" s="171">
        <v>1.4165841506732499E-11</v>
      </c>
      <c r="P31" s="171">
        <v>4.3066640470901678E-9</v>
      </c>
      <c r="Q31" s="171">
        <v>0.52</v>
      </c>
      <c r="R31" s="712">
        <v>0.23</v>
      </c>
      <c r="S31" s="171">
        <v>6.5162870930969494E-12</v>
      </c>
      <c r="T31" s="171">
        <v>1.9810654616614772E-9</v>
      </c>
      <c r="U31" s="171">
        <v>35</v>
      </c>
      <c r="V31" s="171" t="s">
        <v>382</v>
      </c>
      <c r="W31" s="171" t="s">
        <v>318</v>
      </c>
      <c r="Y31" s="180">
        <v>12.936</v>
      </c>
      <c r="Z31" s="183">
        <v>1.2</v>
      </c>
      <c r="AA31" s="184">
        <v>0.98238302985224069</v>
      </c>
      <c r="AB31" s="185"/>
      <c r="AD31" s="202">
        <v>40</v>
      </c>
      <c r="AE31" s="203">
        <v>0.26704829440000005</v>
      </c>
      <c r="AF31" s="204">
        <v>40</v>
      </c>
      <c r="AG31" s="205">
        <v>0.80041799552776727</v>
      </c>
      <c r="AI31" s="128"/>
      <c r="AJ31" s="128"/>
      <c r="AK31" s="128"/>
      <c r="AL31" s="128"/>
      <c r="AM31" s="128"/>
      <c r="AN31" s="128"/>
      <c r="AO31" s="185"/>
      <c r="AP31" s="128"/>
      <c r="AQ31">
        <v>3</v>
      </c>
      <c r="AR31" s="188">
        <f t="shared" si="1"/>
        <v>147.11680462462965</v>
      </c>
      <c r="AS31" s="188">
        <f t="shared" si="2"/>
        <v>154.40812911488632</v>
      </c>
      <c r="AT31" s="188">
        <f t="shared" si="3"/>
        <v>0.63274000000000041</v>
      </c>
      <c r="AU31" s="188">
        <f t="shared" si="4"/>
        <v>0.28451437650567146</v>
      </c>
      <c r="AV31"/>
      <c r="AW31">
        <v>3</v>
      </c>
      <c r="AX31" s="188">
        <f t="shared" si="5"/>
        <v>147.11680462462965</v>
      </c>
      <c r="AY31" s="188">
        <f t="shared" si="6"/>
        <v>147.60508765377054</v>
      </c>
    </row>
    <row r="32" spans="2:51" ht="15.75">
      <c r="B32" s="171">
        <v>28</v>
      </c>
      <c r="C32" s="171" t="s">
        <v>383</v>
      </c>
      <c r="D32" s="171">
        <v>7.83</v>
      </c>
      <c r="E32" s="180">
        <v>48.262599999999999</v>
      </c>
      <c r="F32" s="171" t="s">
        <v>384</v>
      </c>
      <c r="G32" s="181">
        <v>1.9421999999999999</v>
      </c>
      <c r="H32" s="181">
        <v>4.8314599999999999</v>
      </c>
      <c r="I32" s="180">
        <v>3805.6705000000002</v>
      </c>
      <c r="J32" s="181">
        <v>0.25208599999999998</v>
      </c>
      <c r="K32" s="180">
        <v>242.97300000000001</v>
      </c>
      <c r="L32" s="171">
        <v>2453580.0359999998</v>
      </c>
      <c r="M32" s="182">
        <f t="shared" si="0"/>
        <v>0.10010774388449856</v>
      </c>
      <c r="N32" s="171">
        <v>2.6859713976699257E-3</v>
      </c>
      <c r="O32" s="171">
        <v>1.313964639599215E-11</v>
      </c>
      <c r="P32" s="171">
        <v>4.8919532082101713E-9</v>
      </c>
      <c r="Q32" s="171">
        <v>0.53</v>
      </c>
      <c r="R32" s="712">
        <v>0.24</v>
      </c>
      <c r="S32" s="171">
        <v>6.3070302700762326E-12</v>
      </c>
      <c r="T32" s="171">
        <v>2.3481375399408821E-9</v>
      </c>
      <c r="U32" s="171">
        <v>45</v>
      </c>
      <c r="V32" s="171" t="s">
        <v>385</v>
      </c>
      <c r="W32" s="171" t="s">
        <v>298</v>
      </c>
      <c r="Y32" s="180">
        <v>12.944000000000001</v>
      </c>
      <c r="Z32" s="183">
        <v>1.2</v>
      </c>
      <c r="AA32" s="184">
        <v>0.98299056419352226</v>
      </c>
      <c r="AB32" s="185"/>
      <c r="AD32" s="202">
        <v>45</v>
      </c>
      <c r="AE32" s="203">
        <v>0.248930264825</v>
      </c>
      <c r="AF32" s="204">
        <v>45</v>
      </c>
      <c r="AG32" s="205">
        <v>0.75540916492918719</v>
      </c>
      <c r="AO32" s="185"/>
      <c r="AP32" s="128"/>
      <c r="AQ32">
        <v>3.1</v>
      </c>
      <c r="AR32" s="188">
        <f t="shared" si="1"/>
        <v>144.72450202621837</v>
      </c>
      <c r="AS32" s="188">
        <f t="shared" si="2"/>
        <v>152.34803967897764</v>
      </c>
      <c r="AT32" s="188">
        <f t="shared" si="3"/>
        <v>0.62611020318000099</v>
      </c>
      <c r="AU32" s="188">
        <f t="shared" si="4"/>
        <v>0.28153325865536732</v>
      </c>
      <c r="AV32"/>
      <c r="AW32">
        <v>3.1</v>
      </c>
      <c r="AX32" s="188">
        <f t="shared" si="5"/>
        <v>144.72450202621837</v>
      </c>
      <c r="AY32" s="188">
        <f t="shared" si="6"/>
        <v>145.23722951460823</v>
      </c>
    </row>
    <row r="33" spans="2:51" ht="15.75">
      <c r="B33" s="171">
        <v>29</v>
      </c>
      <c r="C33" s="171" t="s">
        <v>386</v>
      </c>
      <c r="D33" s="171">
        <v>8.66</v>
      </c>
      <c r="E33" s="180">
        <v>4.9536800000000003</v>
      </c>
      <c r="F33" s="171" t="s">
        <v>387</v>
      </c>
      <c r="G33" s="181">
        <v>0.684002</v>
      </c>
      <c r="H33" s="181">
        <v>3.5615299999999999</v>
      </c>
      <c r="I33" s="180">
        <v>3657</v>
      </c>
      <c r="J33" s="181">
        <v>0.08</v>
      </c>
      <c r="K33" s="180">
        <v>246</v>
      </c>
      <c r="L33" s="171">
        <v>2451211</v>
      </c>
      <c r="M33" s="182">
        <f t="shared" si="0"/>
        <v>0.71896650570888709</v>
      </c>
      <c r="N33" s="171">
        <v>1.2505509303555426E-3</v>
      </c>
      <c r="O33" s="171">
        <v>1.1258155445694178E-11</v>
      </c>
      <c r="P33" s="171">
        <v>9.0025565312189119E-9</v>
      </c>
      <c r="Q33" s="171">
        <v>0.46</v>
      </c>
      <c r="R33" s="714">
        <v>0.22222222222220001</v>
      </c>
      <c r="S33" s="171">
        <v>4.7284252871915541E-12</v>
      </c>
      <c r="T33" s="171">
        <v>3.7810737431119426E-9</v>
      </c>
      <c r="U33" s="171">
        <v>4</v>
      </c>
      <c r="V33" s="171" t="s">
        <v>388</v>
      </c>
      <c r="W33" s="171" t="s">
        <v>389</v>
      </c>
      <c r="Y33" s="180">
        <v>12.766999999999999</v>
      </c>
      <c r="Z33" s="183">
        <v>1.27</v>
      </c>
      <c r="AA33" s="184">
        <v>0.91610916556787558</v>
      </c>
      <c r="AB33" s="185"/>
      <c r="AD33" s="202">
        <v>50</v>
      </c>
      <c r="AE33" s="203">
        <v>0.23104250000000001</v>
      </c>
      <c r="AF33" s="204">
        <v>50</v>
      </c>
      <c r="AG33" s="205">
        <v>0.70807501538564999</v>
      </c>
      <c r="AO33" s="185"/>
      <c r="AP33" s="128"/>
      <c r="AQ33">
        <v>3.2</v>
      </c>
      <c r="AR33" s="188">
        <f t="shared" si="1"/>
        <v>142.44523356461011</v>
      </c>
      <c r="AS33" s="188">
        <f t="shared" si="2"/>
        <v>150.40283778202485</v>
      </c>
      <c r="AT33" s="188">
        <f t="shared" si="3"/>
        <v>0.61808868352000224</v>
      </c>
      <c r="AU33" s="188">
        <f t="shared" si="4"/>
        <v>0.2779263463933126</v>
      </c>
      <c r="AV33"/>
      <c r="AW33">
        <v>3.2</v>
      </c>
      <c r="AX33" s="188">
        <f t="shared" si="5"/>
        <v>142.44523356461011</v>
      </c>
      <c r="AY33" s="188">
        <f t="shared" si="6"/>
        <v>142.98278332459779</v>
      </c>
    </row>
    <row r="34" spans="2:51" ht="15.75">
      <c r="B34" s="171">
        <v>30</v>
      </c>
      <c r="C34" s="171" t="s">
        <v>390</v>
      </c>
      <c r="D34" s="171">
        <v>5.77</v>
      </c>
      <c r="E34" s="180">
        <v>26.420100000000001</v>
      </c>
      <c r="F34" s="171" t="s">
        <v>391</v>
      </c>
      <c r="G34" s="181">
        <v>1.3325400000000001</v>
      </c>
      <c r="H34" s="181">
        <v>2.34083</v>
      </c>
      <c r="I34" s="180">
        <v>1157</v>
      </c>
      <c r="J34" s="181">
        <v>0.76</v>
      </c>
      <c r="K34" s="180">
        <v>81</v>
      </c>
      <c r="L34" s="171">
        <v>2450131.5</v>
      </c>
      <c r="M34" s="182">
        <f t="shared" si="0"/>
        <v>8.8600345948728426E-2</v>
      </c>
      <c r="N34" s="171">
        <v>1.7910239098804806E-2</v>
      </c>
      <c r="O34" s="171">
        <v>3.7325076388481291E-10</v>
      </c>
      <c r="P34" s="171">
        <v>2.0840077110401101E-8</v>
      </c>
      <c r="Q34" s="171">
        <v>0.4</v>
      </c>
      <c r="R34" s="712">
        <v>0.18</v>
      </c>
      <c r="S34" s="171">
        <v>1.3437027499853264E-10</v>
      </c>
      <c r="T34" s="171">
        <v>7.5024277597443959E-9</v>
      </c>
      <c r="U34" s="171">
        <v>59</v>
      </c>
      <c r="V34" s="171" t="s">
        <v>392</v>
      </c>
      <c r="W34" s="171" t="s">
        <v>308</v>
      </c>
      <c r="Y34" s="180">
        <v>12.885</v>
      </c>
      <c r="Z34" s="183">
        <v>1.22</v>
      </c>
      <c r="AA34" s="184">
        <v>0.96246885091138124</v>
      </c>
      <c r="AD34" s="202">
        <v>55</v>
      </c>
      <c r="AE34" s="203">
        <v>0.21349950767500003</v>
      </c>
      <c r="AF34" s="204">
        <v>55</v>
      </c>
      <c r="AG34" s="205">
        <v>0.65906116367307499</v>
      </c>
      <c r="AQ34">
        <v>3.3000000000000003</v>
      </c>
      <c r="AR34" s="188">
        <f t="shared" si="1"/>
        <v>140.27036945893727</v>
      </c>
      <c r="AS34" s="188">
        <f t="shared" si="2"/>
        <v>148.56366241540169</v>
      </c>
      <c r="AT34" s="188">
        <f t="shared" si="3"/>
        <v>0.6088874522199994</v>
      </c>
      <c r="AU34" s="188">
        <f t="shared" si="4"/>
        <v>0.2737889715056735</v>
      </c>
      <c r="AV34"/>
      <c r="AW34">
        <v>3.3000000000000003</v>
      </c>
      <c r="AX34" s="188">
        <f t="shared" si="5"/>
        <v>140.27036945893727</v>
      </c>
      <c r="AY34" s="188">
        <f t="shared" si="6"/>
        <v>140.83311180952904</v>
      </c>
    </row>
    <row r="35" spans="2:51" ht="15.75">
      <c r="B35" s="171">
        <v>31</v>
      </c>
      <c r="C35" s="171" t="s">
        <v>393</v>
      </c>
      <c r="D35" s="171">
        <v>5.7</v>
      </c>
      <c r="E35" s="180">
        <v>20.6</v>
      </c>
      <c r="F35" s="171" t="s">
        <v>394</v>
      </c>
      <c r="G35" s="181">
        <v>5.3</v>
      </c>
      <c r="H35" s="181">
        <v>6.8</v>
      </c>
      <c r="I35" s="180">
        <v>6005</v>
      </c>
      <c r="J35" s="181">
        <v>0.21</v>
      </c>
      <c r="K35" s="180">
        <v>250</v>
      </c>
      <c r="L35" s="171">
        <v>2455954</v>
      </c>
      <c r="M35" s="182">
        <f t="shared" si="0"/>
        <v>0.33009708737864074</v>
      </c>
      <c r="N35" s="171">
        <v>1.9102991553091697E-2</v>
      </c>
      <c r="O35" s="171">
        <v>4.717616451249259E-11</v>
      </c>
      <c r="P35" s="171">
        <v>2.4695694588661131E-9</v>
      </c>
      <c r="Q35" s="171">
        <v>0.42</v>
      </c>
      <c r="R35" s="712">
        <v>0.19</v>
      </c>
      <c r="S35" s="171">
        <v>1.7926942514747182E-11</v>
      </c>
      <c r="T35" s="171">
        <v>9.3843639436912288E-10</v>
      </c>
      <c r="U35" s="171">
        <v>12</v>
      </c>
      <c r="V35" s="171" t="s">
        <v>395</v>
      </c>
      <c r="W35" s="171" t="s">
        <v>308</v>
      </c>
      <c r="Y35" s="180">
        <v>13.09</v>
      </c>
      <c r="Z35" s="183">
        <v>1.1499999999999999</v>
      </c>
      <c r="AA35" s="184">
        <v>1.0372988513967758</v>
      </c>
      <c r="AD35" s="202">
        <v>60</v>
      </c>
      <c r="AE35" s="203">
        <v>0.19640706560000004</v>
      </c>
      <c r="AF35" s="204">
        <v>60</v>
      </c>
      <c r="AG35" s="205">
        <v>0.60899778104422952</v>
      </c>
      <c r="AQ35">
        <v>3.4000000000000004</v>
      </c>
      <c r="AR35" s="188">
        <f t="shared" si="1"/>
        <v>138.19217502415668</v>
      </c>
      <c r="AS35" s="188">
        <f t="shared" si="2"/>
        <v>146.82255748256091</v>
      </c>
      <c r="AT35" s="188">
        <f t="shared" si="3"/>
        <v>0.59871961728000089</v>
      </c>
      <c r="AU35" s="188">
        <f t="shared" si="4"/>
        <v>0.2692169589596573</v>
      </c>
      <c r="AV35"/>
      <c r="AW35">
        <v>3.4000000000000004</v>
      </c>
      <c r="AX35" s="188">
        <f t="shared" si="5"/>
        <v>138.19217502415668</v>
      </c>
      <c r="AY35" s="188">
        <f t="shared" si="6"/>
        <v>138.78047306748141</v>
      </c>
    </row>
    <row r="36" spans="2:51" ht="15.75">
      <c r="B36" s="171">
        <v>32</v>
      </c>
      <c r="C36" s="171" t="s">
        <v>396</v>
      </c>
      <c r="D36" s="171">
        <v>3.34</v>
      </c>
      <c r="E36" s="180">
        <v>46.8</v>
      </c>
      <c r="F36" s="171" t="s">
        <v>397</v>
      </c>
      <c r="G36" s="181">
        <v>27</v>
      </c>
      <c r="H36" s="181">
        <v>6.1</v>
      </c>
      <c r="I36" s="180">
        <v>3186</v>
      </c>
      <c r="J36" s="181">
        <v>0.18</v>
      </c>
      <c r="K36" s="180">
        <v>0</v>
      </c>
      <c r="L36" s="171">
        <v>2453038</v>
      </c>
      <c r="M36" s="182">
        <f t="shared" si="0"/>
        <v>0.13034188034188035</v>
      </c>
      <c r="N36" s="171">
        <v>0.16791959713997812</v>
      </c>
      <c r="O36" s="171">
        <v>5.1532449297515957E-10</v>
      </c>
      <c r="P36" s="171">
        <v>3.0688764250999486E-9</v>
      </c>
      <c r="Q36" s="171">
        <v>0.12</v>
      </c>
      <c r="R36" s="712">
        <v>0.05</v>
      </c>
      <c r="S36" s="171">
        <v>5.1532449297515955E-11</v>
      </c>
      <c r="T36" s="171">
        <v>3.0688764250999483E-10</v>
      </c>
      <c r="U36" s="171">
        <v>30</v>
      </c>
      <c r="V36" s="171" t="s">
        <v>398</v>
      </c>
      <c r="W36" s="171" t="s">
        <v>298</v>
      </c>
      <c r="X36" s="172" t="s">
        <v>399</v>
      </c>
      <c r="Y36" s="180">
        <v>11.419</v>
      </c>
      <c r="Z36" s="183">
        <v>1.07</v>
      </c>
      <c r="AA36" s="184">
        <v>0.97253756678885583</v>
      </c>
      <c r="AD36" s="202">
        <v>65</v>
      </c>
      <c r="AE36" s="203">
        <v>0.17986179252500001</v>
      </c>
      <c r="AF36" s="204">
        <v>65</v>
      </c>
      <c r="AG36" s="205">
        <v>0.55849284020678835</v>
      </c>
      <c r="AQ36">
        <v>3.5</v>
      </c>
      <c r="AR36" s="188">
        <f t="shared" si="1"/>
        <v>136.20369473579356</v>
      </c>
      <c r="AS36" s="188">
        <f t="shared" si="2"/>
        <v>145.17235559531517</v>
      </c>
      <c r="AT36" s="188">
        <f t="shared" si="3"/>
        <v>0.58779718749999854</v>
      </c>
      <c r="AU36" s="188">
        <f t="shared" si="4"/>
        <v>0.26430563946225816</v>
      </c>
      <c r="AV36"/>
      <c r="AW36">
        <v>3.5</v>
      </c>
      <c r="AX36" s="188">
        <f t="shared" si="5"/>
        <v>136.20369473579356</v>
      </c>
      <c r="AY36" s="188">
        <f t="shared" si="6"/>
        <v>136.8179046125656</v>
      </c>
    </row>
    <row r="37" spans="2:51" ht="15.75">
      <c r="B37" s="171">
        <v>33</v>
      </c>
      <c r="C37" s="171" t="s">
        <v>400</v>
      </c>
      <c r="D37" s="171">
        <v>5.81</v>
      </c>
      <c r="E37" s="180">
        <v>22.04</v>
      </c>
      <c r="F37" s="171" t="s">
        <v>401</v>
      </c>
      <c r="G37" s="181">
        <v>1.53</v>
      </c>
      <c r="H37" s="181">
        <v>4.43</v>
      </c>
      <c r="I37" s="180">
        <v>3117</v>
      </c>
      <c r="J37" s="181">
        <v>0.4</v>
      </c>
      <c r="K37" s="180">
        <v>64</v>
      </c>
      <c r="L37" s="171">
        <v>2449344</v>
      </c>
      <c r="M37" s="182">
        <f t="shared" si="0"/>
        <v>0.20099818511796733</v>
      </c>
      <c r="N37" s="171">
        <v>1.7262408263472903E-2</v>
      </c>
      <c r="O37" s="171">
        <v>1.0044608220464208E-10</v>
      </c>
      <c r="P37" s="171">
        <v>5.8187757276709223E-9</v>
      </c>
      <c r="Q37" s="171">
        <v>0.64</v>
      </c>
      <c r="R37" s="712">
        <v>0.28999999999999998</v>
      </c>
      <c r="S37" s="171">
        <v>5.8258727678692409E-11</v>
      </c>
      <c r="T37" s="171">
        <v>3.374889922049135E-9</v>
      </c>
      <c r="U37" s="171">
        <v>999</v>
      </c>
      <c r="V37" s="171" t="s">
        <v>402</v>
      </c>
      <c r="W37" s="171" t="s">
        <v>308</v>
      </c>
      <c r="X37" s="172" t="s">
        <v>403</v>
      </c>
      <c r="Y37" s="180">
        <v>12</v>
      </c>
      <c r="Z37" s="183">
        <v>1.21</v>
      </c>
      <c r="AA37" s="184">
        <v>0.90377009446839784</v>
      </c>
      <c r="AD37" s="202">
        <v>70</v>
      </c>
      <c r="AE37" s="203">
        <v>0.16395071920000001</v>
      </c>
      <c r="AF37" s="204">
        <v>70</v>
      </c>
      <c r="AG37" s="205">
        <v>0.50812576098024143</v>
      </c>
      <c r="AQ37">
        <v>3.6</v>
      </c>
      <c r="AR37" s="188">
        <f t="shared" si="1"/>
        <v>134.29865413498334</v>
      </c>
      <c r="AS37" s="188">
        <f t="shared" si="2"/>
        <v>143.60657972044288</v>
      </c>
      <c r="AT37" s="188">
        <f t="shared" si="3"/>
        <v>0.57632900607999926</v>
      </c>
      <c r="AU37" s="188">
        <f t="shared" si="4"/>
        <v>0.25914892029425074</v>
      </c>
      <c r="AV37"/>
      <c r="AW37">
        <v>3.6</v>
      </c>
      <c r="AX37" s="188">
        <f t="shared" si="5"/>
        <v>134.29865413498334</v>
      </c>
      <c r="AY37" s="188">
        <f t="shared" si="6"/>
        <v>134.93912526112294</v>
      </c>
    </row>
    <row r="38" spans="2:51" ht="15.75">
      <c r="B38" s="171">
        <v>34</v>
      </c>
      <c r="C38" s="171" t="s">
        <v>404</v>
      </c>
      <c r="D38" s="171">
        <v>5.9</v>
      </c>
      <c r="E38" s="180">
        <v>36.603200000000001</v>
      </c>
      <c r="F38" s="171" t="s">
        <v>394</v>
      </c>
      <c r="G38" s="181">
        <v>4.0640700000000001</v>
      </c>
      <c r="H38" s="181">
        <v>3.6018400000000002</v>
      </c>
      <c r="I38" s="180">
        <v>2102</v>
      </c>
      <c r="J38" s="181">
        <v>0.33</v>
      </c>
      <c r="K38" s="180">
        <v>252</v>
      </c>
      <c r="L38" s="171">
        <v>2452516</v>
      </c>
      <c r="M38" s="182">
        <f t="shared" si="0"/>
        <v>9.8402325479739483E-2</v>
      </c>
      <c r="N38" s="171">
        <v>1.5889176293542018E-2</v>
      </c>
      <c r="O38" s="171">
        <v>1.3985938721140411E-10</v>
      </c>
      <c r="P38" s="171">
        <v>8.802179837871673E-9</v>
      </c>
      <c r="Q38" s="171">
        <v>0.35</v>
      </c>
      <c r="R38" s="712">
        <v>0.16</v>
      </c>
      <c r="S38" s="171">
        <v>4.4755003907649318E-11</v>
      </c>
      <c r="T38" s="171">
        <v>2.8166975481189355E-9</v>
      </c>
      <c r="U38" s="171">
        <v>46</v>
      </c>
      <c r="V38" s="171" t="s">
        <v>405</v>
      </c>
      <c r="W38" s="171" t="s">
        <v>308</v>
      </c>
      <c r="Y38" s="180">
        <v>13.132999999999999</v>
      </c>
      <c r="Z38" s="183">
        <v>1.17</v>
      </c>
      <c r="AA38" s="184">
        <v>1.0229164748782549</v>
      </c>
      <c r="AD38" s="202">
        <v>75</v>
      </c>
      <c r="AE38" s="203">
        <v>0.14875085937499999</v>
      </c>
      <c r="AF38" s="204">
        <v>75</v>
      </c>
      <c r="AG38" s="205">
        <v>0.45844151613786105</v>
      </c>
      <c r="AQ38">
        <v>3.7</v>
      </c>
      <c r="AR38" s="188">
        <f t="shared" si="1"/>
        <v>132.47137641758212</v>
      </c>
      <c r="AS38" s="188">
        <f t="shared" si="2"/>
        <v>142.11935951766364</v>
      </c>
      <c r="AT38" s="188">
        <f t="shared" si="3"/>
        <v>0.56451881381999902</v>
      </c>
      <c r="AU38" s="188">
        <f t="shared" si="4"/>
        <v>0.25383841441937943</v>
      </c>
      <c r="AV38"/>
      <c r="AW38">
        <v>3.7</v>
      </c>
      <c r="AX38" s="188">
        <f t="shared" si="5"/>
        <v>132.47137641758212</v>
      </c>
      <c r="AY38" s="188">
        <f t="shared" si="6"/>
        <v>133.13845170387785</v>
      </c>
    </row>
    <row r="39" spans="2:51" ht="15.75">
      <c r="B39" s="257">
        <v>35</v>
      </c>
      <c r="C39" s="257" t="s">
        <v>891</v>
      </c>
      <c r="D39" s="257">
        <v>5</v>
      </c>
      <c r="E39" s="257">
        <v>12</v>
      </c>
      <c r="F39" s="257" t="s">
        <v>316</v>
      </c>
      <c r="G39" s="258"/>
      <c r="H39" s="258">
        <v>2.5</v>
      </c>
      <c r="I39" s="268"/>
      <c r="J39" s="257"/>
      <c r="K39" s="257"/>
      <c r="L39" s="257"/>
      <c r="M39" s="716">
        <f>H39/E39</f>
        <v>0.20833333333333334</v>
      </c>
      <c r="N39" s="257"/>
      <c r="O39" s="257"/>
      <c r="P39" s="257"/>
      <c r="Q39" s="257"/>
      <c r="R39" s="715">
        <v>0.22</v>
      </c>
      <c r="S39" s="257"/>
      <c r="T39" s="257"/>
      <c r="U39" s="257"/>
      <c r="V39" s="257"/>
      <c r="W39" s="257"/>
      <c r="X39" s="259"/>
      <c r="Y39" s="257"/>
      <c r="Z39" s="258">
        <v>1.1000000000000001</v>
      </c>
      <c r="AA39" s="257"/>
      <c r="AD39" s="202">
        <v>80</v>
      </c>
      <c r="AE39" s="203">
        <v>0.13432878079999999</v>
      </c>
      <c r="AF39" s="204">
        <v>80</v>
      </c>
      <c r="AG39" s="205">
        <v>0.40994525358919193</v>
      </c>
      <c r="AQ39">
        <v>3.8000000000000003</v>
      </c>
      <c r="AR39" s="188">
        <f t="shared" si="1"/>
        <v>130.71671117835447</v>
      </c>
      <c r="AS39" s="188">
        <f t="shared" si="2"/>
        <v>140.70535983792851</v>
      </c>
      <c r="AT39" s="188">
        <f t="shared" si="3"/>
        <v>0.55256344191999873</v>
      </c>
      <c r="AU39" s="188">
        <f t="shared" si="4"/>
        <v>0.24846262786878676</v>
      </c>
      <c r="AV39"/>
      <c r="AW39">
        <v>3.8000000000000003</v>
      </c>
      <c r="AX39" s="188">
        <f t="shared" si="5"/>
        <v>130.71671117835447</v>
      </c>
      <c r="AY39" s="188">
        <f t="shared" si="6"/>
        <v>131.41072723482205</v>
      </c>
    </row>
    <row r="40" spans="2:51" ht="15.75">
      <c r="B40" s="173">
        <v>36</v>
      </c>
      <c r="C40" s="257" t="s">
        <v>779</v>
      </c>
      <c r="D40" s="173">
        <v>4.8</v>
      </c>
      <c r="E40" s="173">
        <v>12</v>
      </c>
      <c r="F40" s="173" t="s">
        <v>316</v>
      </c>
      <c r="G40" s="173"/>
      <c r="H40" s="173">
        <v>3</v>
      </c>
      <c r="I40" s="173"/>
      <c r="J40" s="173"/>
      <c r="K40" s="173"/>
      <c r="L40" s="173"/>
      <c r="M40" s="720">
        <f>H40/E40</f>
        <v>0.25</v>
      </c>
      <c r="N40" s="173"/>
      <c r="O40" s="173"/>
      <c r="P40" s="173"/>
      <c r="Q40" s="173"/>
      <c r="R40" s="715">
        <v>0.4</v>
      </c>
      <c r="S40" s="173"/>
      <c r="T40" s="173"/>
      <c r="U40" s="173">
        <v>14</v>
      </c>
      <c r="V40" s="173" t="s">
        <v>317</v>
      </c>
      <c r="W40" s="173" t="s">
        <v>318</v>
      </c>
      <c r="X40" s="260"/>
      <c r="Y40" s="173">
        <v>12.659000000000001</v>
      </c>
      <c r="Z40" s="261">
        <v>1.27</v>
      </c>
      <c r="AA40" s="173">
        <v>0.90835951491530798</v>
      </c>
      <c r="AD40" s="202">
        <v>85</v>
      </c>
      <c r="AE40" s="203">
        <v>0.12074017622499998</v>
      </c>
      <c r="AF40" s="204">
        <v>85</v>
      </c>
      <c r="AG40" s="205">
        <v>0.36309748519440987</v>
      </c>
      <c r="AQ40">
        <v>3.9000000000000004</v>
      </c>
      <c r="AR40" s="188">
        <f t="shared" si="1"/>
        <v>129.02997327085686</v>
      </c>
      <c r="AS40" s="188">
        <f t="shared" si="2"/>
        <v>139.35971934111816</v>
      </c>
      <c r="AT40" s="188">
        <f t="shared" si="3"/>
        <v>0.54065113437999823</v>
      </c>
      <c r="AU40" s="188">
        <f t="shared" si="4"/>
        <v>0.24310620540065286</v>
      </c>
      <c r="AV40"/>
      <c r="AW40">
        <v>3.9000000000000004</v>
      </c>
      <c r="AX40" s="188">
        <f t="shared" si="5"/>
        <v>129.02997327085686</v>
      </c>
      <c r="AY40" s="188">
        <f t="shared" si="6"/>
        <v>129.75126059725045</v>
      </c>
    </row>
    <row r="41" spans="2:51" ht="15.75">
      <c r="B41" s="173">
        <v>37</v>
      </c>
      <c r="C41" s="257" t="s">
        <v>665</v>
      </c>
      <c r="D41" s="173">
        <f>BDE!AC48</f>
        <v>5</v>
      </c>
      <c r="E41" s="173">
        <v>10</v>
      </c>
      <c r="F41" s="173" t="s">
        <v>316</v>
      </c>
      <c r="G41" s="173"/>
      <c r="H41" s="173">
        <f>BDE!AC50</f>
        <v>2.2976332847777821</v>
      </c>
      <c r="I41" s="173"/>
      <c r="J41" s="173"/>
      <c r="K41" s="173"/>
      <c r="L41" s="173"/>
      <c r="M41" s="257">
        <f>H41/E41</f>
        <v>0.22976332847777819</v>
      </c>
      <c r="N41" s="173"/>
      <c r="O41" s="173"/>
      <c r="P41" s="173"/>
      <c r="Q41" s="173"/>
      <c r="R41" s="715">
        <v>0.2</v>
      </c>
      <c r="S41" s="173"/>
      <c r="T41" s="173"/>
      <c r="U41" s="173"/>
      <c r="V41" s="173"/>
      <c r="W41" s="173"/>
      <c r="X41" s="260"/>
      <c r="Y41" s="173"/>
      <c r="Z41" s="261">
        <v>1</v>
      </c>
      <c r="AA41" s="173"/>
      <c r="AD41" s="202">
        <v>90</v>
      </c>
      <c r="AE41" s="203">
        <v>0.10802943439999996</v>
      </c>
      <c r="AF41" s="204">
        <v>90</v>
      </c>
      <c r="AG41" s="205">
        <v>0.31830988618379069</v>
      </c>
      <c r="AQ41">
        <v>4</v>
      </c>
      <c r="AR41" s="188">
        <f t="shared" si="1"/>
        <v>127.40689012852123</v>
      </c>
      <c r="AS41" s="188">
        <f t="shared" si="2"/>
        <v>138.07799757756266</v>
      </c>
      <c r="AT41" s="188">
        <f t="shared" si="3"/>
        <v>0.52895999999999865</v>
      </c>
      <c r="AU41" s="188">
        <f t="shared" si="4"/>
        <v>0.2378492344350594</v>
      </c>
      <c r="AV41"/>
      <c r="AW41">
        <v>4</v>
      </c>
      <c r="AX41" s="188">
        <f t="shared" si="5"/>
        <v>127.40689012852123</v>
      </c>
      <c r="AY41" s="188">
        <f t="shared" si="6"/>
        <v>128.15577329228304</v>
      </c>
    </row>
    <row r="42" spans="2:51" ht="15.75">
      <c r="B42" s="173">
        <v>38</v>
      </c>
      <c r="C42" s="257" t="s">
        <v>461</v>
      </c>
      <c r="D42" s="173"/>
      <c r="E42" s="173"/>
      <c r="F42" s="173"/>
      <c r="G42" s="173"/>
      <c r="H42" s="173"/>
      <c r="I42" s="173"/>
      <c r="J42" s="173"/>
      <c r="K42" s="173"/>
      <c r="L42" s="173"/>
      <c r="M42" s="173"/>
      <c r="N42" s="173"/>
      <c r="O42" s="173"/>
      <c r="P42" s="173"/>
      <c r="Q42" s="173"/>
      <c r="R42" s="715"/>
      <c r="S42" s="173"/>
      <c r="T42" s="173"/>
      <c r="U42" s="173"/>
      <c r="V42" s="173"/>
      <c r="W42" s="173"/>
      <c r="X42" s="260"/>
      <c r="Y42" s="173"/>
      <c r="Z42" s="261"/>
      <c r="AA42" s="173"/>
      <c r="AD42" s="202">
        <v>95</v>
      </c>
      <c r="AE42" s="203">
        <v>9.6229211075000015E-2</v>
      </c>
      <c r="AF42" s="204">
        <v>95</v>
      </c>
      <c r="AG42" s="205">
        <v>0.27594174244675179</v>
      </c>
      <c r="AQ42">
        <v>4.0999999999999996</v>
      </c>
      <c r="AR42" s="188">
        <f t="shared" si="1"/>
        <v>125.84355619702286</v>
      </c>
      <c r="AS42" s="188">
        <f t="shared" si="2"/>
        <v>136.85612918272466</v>
      </c>
      <c r="AT42" s="188">
        <f t="shared" si="3"/>
        <v>0.51765659397999664</v>
      </c>
      <c r="AU42" s="188">
        <f t="shared" si="4"/>
        <v>0.23276660726407081</v>
      </c>
      <c r="AV42"/>
      <c r="AW42">
        <v>4.0999999999999996</v>
      </c>
      <c r="AX42" s="188">
        <f t="shared" si="5"/>
        <v>125.84355619702286</v>
      </c>
      <c r="AY42" s="188">
        <f t="shared" si="6"/>
        <v>126.62035399981166</v>
      </c>
    </row>
    <row r="43" spans="2:51" ht="15.75">
      <c r="B43" s="173">
        <v>39</v>
      </c>
      <c r="C43" s="257" t="s">
        <v>462</v>
      </c>
      <c r="D43" s="173"/>
      <c r="E43" s="173"/>
      <c r="F43" s="173"/>
      <c r="G43" s="173"/>
      <c r="H43" s="173"/>
      <c r="I43" s="173"/>
      <c r="J43" s="173"/>
      <c r="K43" s="173"/>
      <c r="L43" s="173"/>
      <c r="M43" s="173"/>
      <c r="N43" s="173"/>
      <c r="O43" s="173"/>
      <c r="P43" s="173"/>
      <c r="Q43" s="173"/>
      <c r="R43" s="715"/>
      <c r="S43" s="173"/>
      <c r="T43" s="173"/>
      <c r="U43" s="173"/>
      <c r="V43" s="173"/>
      <c r="W43" s="173"/>
      <c r="X43" s="260"/>
      <c r="Y43" s="173"/>
      <c r="Z43" s="261"/>
      <c r="AA43" s="173"/>
      <c r="AD43" s="202">
        <v>100</v>
      </c>
      <c r="AE43" s="203">
        <v>8.5359999999999978E-2</v>
      </c>
      <c r="AF43" s="204">
        <v>100</v>
      </c>
      <c r="AG43" s="205">
        <v>0.23629707592226157</v>
      </c>
      <c r="AQ43">
        <v>4.2</v>
      </c>
      <c r="AR43" s="188">
        <f t="shared" si="1"/>
        <v>124.33639337056961</v>
      </c>
      <c r="AS43" s="188">
        <f t="shared" si="2"/>
        <v>135.69038407721726</v>
      </c>
      <c r="AT43" s="188">
        <f t="shared" si="3"/>
        <v>0.50689462911999794</v>
      </c>
      <c r="AU43" s="188">
        <f t="shared" si="4"/>
        <v>0.22792744153704475</v>
      </c>
      <c r="AV43"/>
      <c r="AW43">
        <v>4.2</v>
      </c>
      <c r="AX43" s="188">
        <f t="shared" si="5"/>
        <v>124.33639337056961</v>
      </c>
      <c r="AY43" s="188">
        <f t="shared" si="6"/>
        <v>125.14141900438035</v>
      </c>
    </row>
    <row r="44" spans="2:51">
      <c r="AQ44">
        <v>4.3000000000000007</v>
      </c>
      <c r="AR44" s="188">
        <f t="shared" si="1"/>
        <v>122.8821165190674</v>
      </c>
      <c r="AS44" s="188">
        <f t="shared" si="2"/>
        <v>134.5773327588669</v>
      </c>
      <c r="AT44" s="188">
        <f t="shared" si="3"/>
        <v>0.49681381661999802</v>
      </c>
      <c r="AU44" s="188">
        <f t="shared" si="4"/>
        <v>0.22339455902114871</v>
      </c>
      <c r="AV44"/>
      <c r="AW44">
        <v>4.3000000000000007</v>
      </c>
      <c r="AX44" s="188">
        <f t="shared" si="5"/>
        <v>122.8821165190674</v>
      </c>
      <c r="AY44" s="188">
        <f t="shared" si="6"/>
        <v>123.71567771284731</v>
      </c>
    </row>
    <row r="45" spans="2:51">
      <c r="AQ45">
        <v>4.4000000000000004</v>
      </c>
      <c r="AR45" s="188">
        <f t="shared" si="1"/>
        <v>121.47770334966849</v>
      </c>
      <c r="AS45" s="188">
        <f t="shared" si="2"/>
        <v>133.51381593025351</v>
      </c>
      <c r="AT45" s="188">
        <f t="shared" si="3"/>
        <v>0.4875388364799973</v>
      </c>
      <c r="AU45" s="188">
        <f t="shared" si="4"/>
        <v>0.21922402263711294</v>
      </c>
      <c r="AV45"/>
      <c r="AW45">
        <v>4.4000000000000004</v>
      </c>
      <c r="AX45" s="188">
        <f t="shared" si="5"/>
        <v>121.47770334966849</v>
      </c>
      <c r="AY45" s="188">
        <f t="shared" si="6"/>
        <v>122.34010250723591</v>
      </c>
    </row>
    <row r="46" spans="2:51">
      <c r="AQ46">
        <v>4.5</v>
      </c>
      <c r="AR46" s="188">
        <f t="shared" si="1"/>
        <v>120.12036797302233</v>
      </c>
      <c r="AS46" s="188">
        <f t="shared" si="2"/>
        <v>132.49691783210639</v>
      </c>
      <c r="AT46" s="188">
        <f t="shared" si="3"/>
        <v>0.47917843749999744</v>
      </c>
      <c r="AU46" s="188">
        <f t="shared" si="4"/>
        <v>0.21546473177019557</v>
      </c>
      <c r="AV46"/>
      <c r="AW46">
        <v>4.5</v>
      </c>
      <c r="AX46" s="188">
        <f t="shared" si="5"/>
        <v>120.12036797302233</v>
      </c>
      <c r="AY46" s="188">
        <f t="shared" si="6"/>
        <v>121.0119023030138</v>
      </c>
    </row>
    <row r="47" spans="2:51">
      <c r="R47" s="714" t="s">
        <v>578</v>
      </c>
      <c r="AQ47">
        <v>4.6000000000000005</v>
      </c>
      <c r="AR47" s="188">
        <f t="shared" si="1"/>
        <v>118.80753764779138</v>
      </c>
      <c r="AS47" s="188">
        <f t="shared" si="2"/>
        <v>131.5239427562735</v>
      </c>
      <c r="AT47" s="188">
        <f t="shared" si="3"/>
        <v>0.47182466687999658</v>
      </c>
      <c r="AU47" s="188">
        <f t="shared" si="4"/>
        <v>0.21215807585636798</v>
      </c>
      <c r="AV47"/>
      <c r="AW47">
        <v>4.6000000000000005</v>
      </c>
      <c r="AX47" s="188">
        <f t="shared" si="5"/>
        <v>118.80753764779138</v>
      </c>
      <c r="AY47" s="188">
        <f t="shared" si="6"/>
        <v>119.72849928628806</v>
      </c>
    </row>
    <row r="48" spans="2:51">
      <c r="AQ48">
        <v>4.7</v>
      </c>
      <c r="AR48" s="188">
        <f t="shared" si="1"/>
        <v>117.53683226146815</v>
      </c>
      <c r="AS48" s="188">
        <f t="shared" si="2"/>
        <v>130.59239429653022</v>
      </c>
      <c r="AT48" s="188">
        <f t="shared" si="3"/>
        <v>0.46555222941999874</v>
      </c>
      <c r="AU48" s="188">
        <f t="shared" si="4"/>
        <v>0.20933764624372755</v>
      </c>
      <c r="AV48"/>
      <c r="AW48">
        <v>4.7</v>
      </c>
      <c r="AX48" s="188">
        <f t="shared" si="5"/>
        <v>117.53683226146815</v>
      </c>
      <c r="AY48" s="188">
        <f t="shared" si="6"/>
        <v>118.48750838788703</v>
      </c>
    </row>
    <row r="49" spans="43:51">
      <c r="AQ49">
        <v>4.8</v>
      </c>
      <c r="AR49" s="188">
        <f t="shared" si="1"/>
        <v>116.30604617495557</v>
      </c>
      <c r="AS49" s="188">
        <f t="shared" si="2"/>
        <v>129.69995696496494</v>
      </c>
      <c r="AT49" s="188">
        <f t="shared" si="3"/>
        <v>0.46041797631999826</v>
      </c>
      <c r="AU49" s="188">
        <f t="shared" si="4"/>
        <v>0.20702900632911975</v>
      </c>
      <c r="AV49"/>
      <c r="AW49">
        <v>4.8</v>
      </c>
      <c r="AX49" s="188">
        <f t="shared" si="5"/>
        <v>116.30604617495557</v>
      </c>
      <c r="AY49" s="188">
        <f t="shared" si="6"/>
        <v>117.28671912173651</v>
      </c>
    </row>
    <row r="50" spans="43:51">
      <c r="AQ50">
        <v>4.9000000000000004</v>
      </c>
      <c r="AR50" s="188">
        <f t="shared" si="1"/>
        <v>115.11313211569993</v>
      </c>
      <c r="AS50" s="188">
        <f t="shared" si="2"/>
        <v>128.84447985904214</v>
      </c>
      <c r="AT50" s="188">
        <f t="shared" si="3"/>
        <v>0.45646052357999389</v>
      </c>
      <c r="AU50" s="188">
        <f t="shared" si="4"/>
        <v>0.20524951996999433</v>
      </c>
      <c r="AV50"/>
      <c r="AW50">
        <v>4.9000000000000004</v>
      </c>
      <c r="AX50" s="188">
        <f t="shared" si="5"/>
        <v>115.11313211569993</v>
      </c>
      <c r="AY50" s="188">
        <f t="shared" si="6"/>
        <v>116.12407947226667</v>
      </c>
    </row>
    <row r="51" spans="43:51">
      <c r="AQ51">
        <v>5</v>
      </c>
      <c r="AR51" s="188">
        <f t="shared" si="1"/>
        <v>113.9561868516881</v>
      </c>
      <c r="AS51" s="188">
        <f t="shared" si="2"/>
        <v>128.02396211197777</v>
      </c>
      <c r="AT51" s="188">
        <f t="shared" si="3"/>
        <v>0.45369999999999777</v>
      </c>
      <c r="AU51" s="188">
        <f t="shared" si="4"/>
        <v>0.20400823817148026</v>
      </c>
      <c r="AV51"/>
      <c r="AW51">
        <v>5</v>
      </c>
      <c r="AX51" s="188">
        <f t="shared" si="5"/>
        <v>113.9561868516881</v>
      </c>
      <c r="AY51" s="188">
        <f t="shared" si="6"/>
        <v>114.99768156311876</v>
      </c>
    </row>
    <row r="52" spans="43:51">
      <c r="AQ52">
        <v>5.1000000000000005</v>
      </c>
      <c r="AR52" s="188">
        <f t="shared" si="1"/>
        <v>112.83343841818977</v>
      </c>
      <c r="AS52" s="188">
        <f t="shared" si="2"/>
        <v>127.23653989863804</v>
      </c>
      <c r="AT52" s="188">
        <f t="shared" si="3"/>
        <v>0.45213792478000103</v>
      </c>
      <c r="AU52" s="188">
        <f t="shared" si="4"/>
        <v>0.2033058440486615</v>
      </c>
      <c r="AV52"/>
      <c r="AW52">
        <v>5.1000000000000005</v>
      </c>
      <c r="AX52" s="188">
        <f t="shared" si="5"/>
        <v>112.83343841818977</v>
      </c>
      <c r="AY52" s="188">
        <f t="shared" si="6"/>
        <v>113.90574887899102</v>
      </c>
    </row>
    <row r="53" spans="43:51">
      <c r="AQ53">
        <v>5.2</v>
      </c>
      <c r="AR53" s="188">
        <f t="shared" si="1"/>
        <v>111.7432347021891</v>
      </c>
      <c r="AS53" s="188">
        <f t="shared" si="2"/>
        <v>126.48047480223235</v>
      </c>
      <c r="AT53" s="188">
        <f t="shared" si="3"/>
        <v>0.45175721471999397</v>
      </c>
      <c r="AU53" s="188">
        <f t="shared" si="4"/>
        <v>0.20313465606409858</v>
      </c>
      <c r="AV53"/>
      <c r="AW53">
        <v>5.2</v>
      </c>
      <c r="AX53" s="188">
        <f t="shared" si="5"/>
        <v>111.7432347021891</v>
      </c>
      <c r="AY53" s="188">
        <f t="shared" si="6"/>
        <v>112.84662484553435</v>
      </c>
    </row>
    <row r="54" spans="43:51">
      <c r="AQ54">
        <v>5.3000000000000007</v>
      </c>
      <c r="AR54" s="188">
        <f t="shared" si="1"/>
        <v>110.68403321718739</v>
      </c>
      <c r="AS54" s="188">
        <f t="shared" si="2"/>
        <v>125.75414337479457</v>
      </c>
      <c r="AT54" s="188">
        <f t="shared" si="3"/>
        <v>0.45252232102000178</v>
      </c>
      <c r="AU54" s="188">
        <f t="shared" si="4"/>
        <v>0.20347868954057752</v>
      </c>
      <c r="AV54"/>
      <c r="AW54">
        <v>5.3000000000000007</v>
      </c>
      <c r="AX54" s="188">
        <f t="shared" si="5"/>
        <v>110.68403321718739</v>
      </c>
      <c r="AY54" s="188">
        <f t="shared" si="6"/>
        <v>111.81876259994564</v>
      </c>
    </row>
    <row r="55" spans="43:51">
      <c r="AQ55">
        <v>5.4</v>
      </c>
      <c r="AR55" s="188">
        <f t="shared" si="1"/>
        <v>109.65439192440904</v>
      </c>
      <c r="AS55" s="188">
        <f t="shared" si="2"/>
        <v>125.05602774778004</v>
      </c>
      <c r="AT55" s="188">
        <f t="shared" si="3"/>
        <v>0.45437949567999869</v>
      </c>
      <c r="AU55" s="188">
        <f t="shared" si="4"/>
        <v>0.20431377644902515</v>
      </c>
      <c r="AV55"/>
      <c r="AW55">
        <v>5.4</v>
      </c>
      <c r="AX55" s="188">
        <f t="shared" si="5"/>
        <v>109.65439192440904</v>
      </c>
      <c r="AY55" s="188">
        <f t="shared" si="6"/>
        <v>110.82071580826519</v>
      </c>
    </row>
    <row r="56" spans="43:51">
      <c r="AQ56">
        <v>5.5</v>
      </c>
      <c r="AR56" s="188">
        <f t="shared" si="1"/>
        <v>108.65296097616512</v>
      </c>
      <c r="AS56" s="188">
        <f t="shared" si="2"/>
        <v>124.38470716880963</v>
      </c>
      <c r="AT56" s="188">
        <f t="shared" si="3"/>
        <v>0.45725718749999267</v>
      </c>
      <c r="AU56" s="188">
        <f t="shared" si="4"/>
        <v>0.20560774347172178</v>
      </c>
      <c r="AV56"/>
      <c r="AW56">
        <v>5.5</v>
      </c>
      <c r="AX56" s="188">
        <f t="shared" si="5"/>
        <v>108.65296097616512</v>
      </c>
      <c r="AY56" s="188">
        <f t="shared" si="6"/>
        <v>109.85113040510494</v>
      </c>
    </row>
    <row r="57" spans="43:51">
      <c r="AQ57">
        <v>5.6000000000000005</v>
      </c>
      <c r="AR57" s="188">
        <f t="shared" si="1"/>
        <v>107.67847527384831</v>
      </c>
      <c r="AS57" s="188">
        <f t="shared" si="2"/>
        <v>123.73885035728233</v>
      </c>
      <c r="AT57" s="188">
        <f t="shared" si="3"/>
        <v>0.46106656767999876</v>
      </c>
      <c r="AU57" s="188">
        <f t="shared" si="4"/>
        <v>0.20732064834068453</v>
      </c>
      <c r="AV57"/>
      <c r="AW57">
        <v>5.6000000000000005</v>
      </c>
      <c r="AX57" s="188">
        <f t="shared" si="5"/>
        <v>107.67847527384831</v>
      </c>
      <c r="AY57" s="188">
        <f t="shared" si="6"/>
        <v>108.90873714825969</v>
      </c>
    </row>
    <row r="58" spans="43:51">
      <c r="AQ58">
        <v>5.7</v>
      </c>
      <c r="AR58" s="188">
        <f t="shared" si="1"/>
        <v>106.72974774724352</v>
      </c>
      <c r="AS58" s="188">
        <f t="shared" si="2"/>
        <v>123.11720858576606</v>
      </c>
      <c r="AT58" s="188">
        <f t="shared" si="3"/>
        <v>0.46570218502000493</v>
      </c>
      <c r="AU58" s="188">
        <f t="shared" si="4"/>
        <v>0.20940507445126824</v>
      </c>
      <c r="AV58"/>
      <c r="AW58">
        <v>5.7</v>
      </c>
      <c r="AX58" s="188">
        <f t="shared" si="5"/>
        <v>106.72974774724352</v>
      </c>
      <c r="AY58" s="188">
        <f t="shared" si="6"/>
        <v>107.99234489486399</v>
      </c>
    </row>
    <row r="59" spans="43:51">
      <c r="AQ59">
        <v>5.8000000000000007</v>
      </c>
      <c r="AR59" s="188">
        <f t="shared" si="1"/>
        <v>105.80566327395765</v>
      </c>
      <c r="AS59" s="188">
        <f t="shared" si="2"/>
        <v>122.51860940616666</v>
      </c>
      <c r="AT59" s="188">
        <f t="shared" si="3"/>
        <v>0.47104275071997925</v>
      </c>
      <c r="AU59" s="188">
        <f t="shared" si="4"/>
        <v>0.21180648375100553</v>
      </c>
      <c r="AV59"/>
      <c r="AW59">
        <v>5.8000000000000007</v>
      </c>
      <c r="AX59" s="188">
        <f t="shared" si="5"/>
        <v>105.80566327395765</v>
      </c>
      <c r="AY59" s="188">
        <f t="shared" si="6"/>
        <v>107.10083451788083</v>
      </c>
    </row>
    <row r="60" spans="43:51">
      <c r="AQ60">
        <v>5.9</v>
      </c>
      <c r="AR60" s="188">
        <f t="shared" si="1"/>
        <v>104.90517316814277</v>
      </c>
      <c r="AS60" s="188">
        <f t="shared" si="2"/>
        <v>121.94195095001845</v>
      </c>
      <c r="AT60" s="188">
        <f t="shared" si="3"/>
        <v>0.47695205277999175</v>
      </c>
      <c r="AU60" s="188">
        <f t="shared" si="4"/>
        <v>0.21446362790371931</v>
      </c>
      <c r="AV60"/>
      <c r="AW60">
        <v>5.9</v>
      </c>
      <c r="AX60" s="188">
        <f t="shared" si="5"/>
        <v>104.90517316814277</v>
      </c>
      <c r="AY60" s="188">
        <f t="shared" si="6"/>
        <v>106.23315339207804</v>
      </c>
    </row>
    <row r="61" spans="43:51">
      <c r="AQ61">
        <v>6</v>
      </c>
      <c r="AR61" s="188">
        <f t="shared" si="1"/>
        <v>104.02729017657207</v>
      </c>
      <c r="AS61" s="188">
        <f t="shared" si="2"/>
        <v>121.38619674109779</v>
      </c>
      <c r="AT61" s="188">
        <f t="shared" si="3"/>
        <v>0.48327999999999349</v>
      </c>
      <c r="AU61" s="188">
        <f t="shared" si="4"/>
        <v>0.21730901772870209</v>
      </c>
      <c r="AV61"/>
      <c r="AW61">
        <v>6</v>
      </c>
      <c r="AX61" s="188">
        <f t="shared" si="5"/>
        <v>104.02729017657207</v>
      </c>
      <c r="AY61" s="188">
        <f t="shared" si="6"/>
        <v>105.38831038753753</v>
      </c>
    </row>
    <row r="62" spans="43:51">
      <c r="AQ62">
        <v>6.1</v>
      </c>
      <c r="AR62" s="188">
        <f t="shared" si="1"/>
        <v>103.17108392778229</v>
      </c>
      <c r="AS62" s="188">
        <f t="shared" si="2"/>
        <v>120.85037096618811</v>
      </c>
      <c r="AT62" s="188">
        <f t="shared" si="3"/>
        <v>0.48986379557999449</v>
      </c>
      <c r="AU62" s="188">
        <f t="shared" si="4"/>
        <v>0.22026945091529496</v>
      </c>
      <c r="AV62"/>
      <c r="AW62">
        <v>6.1</v>
      </c>
      <c r="AX62" s="188">
        <f t="shared" si="5"/>
        <v>103.17108392778229</v>
      </c>
      <c r="AY62" s="188">
        <f t="shared" si="6"/>
        <v>104.56537131639739</v>
      </c>
    </row>
    <row r="63" spans="43:51">
      <c r="AQ63">
        <v>6.2</v>
      </c>
      <c r="AR63" s="188">
        <f t="shared" si="1"/>
        <v>102.33567678658524</v>
      </c>
      <c r="AS63" s="188">
        <f t="shared" si="2"/>
        <v>120.333554156388</v>
      </c>
      <c r="AT63" s="188">
        <f t="shared" si="3"/>
        <v>0.49652924032000278</v>
      </c>
      <c r="AU63" s="188">
        <f t="shared" si="4"/>
        <v>0.22326659801258053</v>
      </c>
      <c r="AV63"/>
      <c r="AW63">
        <v>6.2</v>
      </c>
      <c r="AX63" s="188">
        <f t="shared" si="5"/>
        <v>102.33567678658524</v>
      </c>
      <c r="AY63" s="188">
        <f t="shared" si="6"/>
        <v>103.76345478511507</v>
      </c>
    </row>
    <row r="64" spans="43:51">
      <c r="AQ64">
        <v>6.3000000000000007</v>
      </c>
      <c r="AR64" s="188">
        <f t="shared" si="1"/>
        <v>101.5202400719549</v>
      </c>
      <c r="AS64" s="188">
        <f t="shared" si="2"/>
        <v>119.8348792370347</v>
      </c>
      <c r="AT64" s="188">
        <f t="shared" si="3"/>
        <v>0.50309216541999824</v>
      </c>
      <c r="AU64" s="188">
        <f t="shared" si="4"/>
        <v>0.22621764669431177</v>
      </c>
      <c r="AV64"/>
      <c r="AW64">
        <v>6.3000000000000007</v>
      </c>
      <c r="AX64" s="188">
        <f t="shared" si="5"/>
        <v>101.5202400719549</v>
      </c>
      <c r="AY64" s="188">
        <f t="shared" si="6"/>
        <v>102.98172841024919</v>
      </c>
    </row>
    <row r="65" spans="43:51">
      <c r="AQ65">
        <v>6.4</v>
      </c>
      <c r="AR65" s="188">
        <f t="shared" si="1"/>
        <v>100.72399060123742</v>
      </c>
      <c r="AS65" s="188">
        <f t="shared" si="2"/>
        <v>119.35352790923011</v>
      </c>
      <c r="AT65" s="188">
        <f t="shared" si="3"/>
        <v>0.50935999488001649</v>
      </c>
      <c r="AU65" s="188">
        <f t="shared" si="4"/>
        <v>0.22903600429911147</v>
      </c>
      <c r="AV65"/>
      <c r="AW65">
        <v>6.4</v>
      </c>
      <c r="AX65" s="188">
        <f t="shared" si="5"/>
        <v>100.72399060123742</v>
      </c>
      <c r="AY65" s="188">
        <f t="shared" si="6"/>
        <v>102.21940536069474</v>
      </c>
    </row>
    <row r="66" spans="43:51">
      <c r="AQ66">
        <v>6.5</v>
      </c>
      <c r="AR66" s="188">
        <f t="shared" si="1"/>
        <v>99.946187527923371</v>
      </c>
      <c r="AS66" s="188">
        <f t="shared" si="2"/>
        <v>118.8887273302288</v>
      </c>
      <c r="AT66" s="188">
        <f t="shared" si="3"/>
        <v>0.51513343749999052</v>
      </c>
      <c r="AU66" s="188">
        <f t="shared" si="4"/>
        <v>0.23163205864578337</v>
      </c>
      <c r="AV66"/>
      <c r="AW66">
        <v>6.5</v>
      </c>
      <c r="AX66" s="188">
        <f t="shared" si="5"/>
        <v>99.946187527923371</v>
      </c>
      <c r="AY66" s="188">
        <f t="shared" si="6"/>
        <v>101.47574119360262</v>
      </c>
    </row>
    <row r="67" spans="43:51">
      <c r="AQ67"/>
      <c r="AR67"/>
      <c r="AS67"/>
      <c r="AT67"/>
      <c r="AU67"/>
      <c r="AV67"/>
      <c r="AW67"/>
      <c r="AX67"/>
      <c r="AY67"/>
    </row>
    <row r="68" spans="43:51">
      <c r="AQ68"/>
      <c r="AR68"/>
      <c r="AS68"/>
      <c r="AT68"/>
      <c r="AU68"/>
      <c r="AV68"/>
      <c r="AW68"/>
      <c r="AX68"/>
      <c r="AY68"/>
    </row>
    <row r="69" spans="43:51">
      <c r="AQ69"/>
      <c r="AR69"/>
      <c r="AS69"/>
      <c r="AT69" t="s">
        <v>406</v>
      </c>
      <c r="AU69">
        <v>5778</v>
      </c>
      <c r="AV69" t="s">
        <v>43</v>
      </c>
      <c r="AW69"/>
      <c r="AX69"/>
      <c r="AY69"/>
    </row>
    <row r="70" spans="43:51">
      <c r="AQ70"/>
      <c r="AR70"/>
      <c r="AS70"/>
      <c r="AT70" t="s">
        <v>12</v>
      </c>
      <c r="AU70">
        <v>149597870700</v>
      </c>
      <c r="AV70" t="s">
        <v>27</v>
      </c>
      <c r="AW70"/>
      <c r="AX70"/>
      <c r="AY70"/>
    </row>
    <row r="71" spans="43:51">
      <c r="AQ71"/>
      <c r="AR71"/>
      <c r="AS71"/>
      <c r="AT71" t="s">
        <v>127</v>
      </c>
      <c r="AU71">
        <v>695500000</v>
      </c>
      <c r="AV71" t="s">
        <v>27</v>
      </c>
      <c r="AW71"/>
      <c r="AX71"/>
      <c r="AY71"/>
    </row>
  </sheetData>
  <conditionalFormatting sqref="AA5:AA16 AA18:AA38">
    <cfRule type="colorScale" priority="2">
      <colorScale>
        <cfvo type="min"/>
        <cfvo type="percentile" val="50"/>
        <cfvo type="max"/>
        <color rgb="FF63BE7B"/>
        <color rgb="FFFFEB84"/>
        <color rgb="FFF8696B"/>
      </colorScale>
    </cfRule>
  </conditionalFormatting>
  <conditionalFormatting sqref="AA1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AR90"/>
  <sheetViews>
    <sheetView workbookViewId="0"/>
  </sheetViews>
  <sheetFormatPr defaultRowHeight="15"/>
  <cols>
    <col min="3" max="3" width="14.85546875" customWidth="1"/>
    <col min="4" max="4" width="14.7109375" customWidth="1"/>
    <col min="18" max="18" width="9.85546875" customWidth="1"/>
    <col min="19" max="21" width="17.28515625" style="186" customWidth="1"/>
    <col min="22" max="22" width="17.28515625" style="171" customWidth="1"/>
    <col min="23" max="24" width="17.28515625" style="186" customWidth="1"/>
    <col min="25" max="25" width="20" customWidth="1"/>
  </cols>
  <sheetData>
    <row r="4" spans="3:44">
      <c r="R4" t="s">
        <v>482</v>
      </c>
    </row>
    <row r="6" spans="3:44">
      <c r="C6" t="s">
        <v>547</v>
      </c>
      <c r="S6" s="144" t="s">
        <v>479</v>
      </c>
      <c r="T6" s="144">
        <f>CCDQEno</f>
        <v>5</v>
      </c>
    </row>
    <row r="7" spans="3:44">
      <c r="C7" s="390" t="s">
        <v>545</v>
      </c>
    </row>
    <row r="8" spans="3:44">
      <c r="C8" s="390" t="s">
        <v>546</v>
      </c>
      <c r="S8" s="186">
        <v>2</v>
      </c>
      <c r="T8" s="186">
        <v>3</v>
      </c>
      <c r="U8" s="186">
        <v>4</v>
      </c>
      <c r="V8" s="171">
        <v>5</v>
      </c>
      <c r="W8" s="186">
        <v>6</v>
      </c>
      <c r="X8" s="186">
        <v>7</v>
      </c>
      <c r="Y8" s="186">
        <v>8</v>
      </c>
      <c r="AA8" t="str">
        <f>HLOOKUP(CCDQEno,CCDQEcoatings,2)</f>
        <v>Basic Multi2 std Si</v>
      </c>
      <c r="AR8" s="306" t="s">
        <v>478</v>
      </c>
    </row>
    <row r="9" spans="3:44">
      <c r="G9" s="69"/>
      <c r="R9" s="302" t="s">
        <v>481</v>
      </c>
      <c r="S9" s="299" t="s">
        <v>472</v>
      </c>
      <c r="T9" s="300" t="s">
        <v>477</v>
      </c>
      <c r="U9" s="299" t="s">
        <v>473</v>
      </c>
      <c r="V9" s="448" t="s">
        <v>474</v>
      </c>
      <c r="W9" s="301" t="s">
        <v>475</v>
      </c>
      <c r="X9" s="301" t="s">
        <v>476</v>
      </c>
      <c r="Y9" s="301" t="s">
        <v>483</v>
      </c>
    </row>
    <row r="10" spans="3:44">
      <c r="C10" t="s">
        <v>548</v>
      </c>
      <c r="D10" s="389">
        <v>0.85</v>
      </c>
      <c r="G10" s="69"/>
      <c r="R10" s="303">
        <v>300</v>
      </c>
      <c r="S10" s="297">
        <v>6.3214366698992983E-2</v>
      </c>
      <c r="T10" s="297">
        <v>0.18976940252794597</v>
      </c>
      <c r="U10" s="297">
        <v>0.18976940252794597</v>
      </c>
      <c r="V10" s="449">
        <v>6.3214366698992983E-2</v>
      </c>
      <c r="W10" s="297">
        <v>0.29623325373865667</v>
      </c>
      <c r="X10" s="297">
        <v>0.17538601201928181</v>
      </c>
      <c r="Y10" s="307">
        <v>8.9373833639778771E-2</v>
      </c>
    </row>
    <row r="11" spans="3:44">
      <c r="C11" s="69"/>
      <c r="D11" s="69"/>
      <c r="F11" s="69"/>
      <c r="G11" s="69"/>
      <c r="R11" s="303">
        <v>310</v>
      </c>
      <c r="S11" s="297">
        <v>9.3186255238026997E-2</v>
      </c>
      <c r="T11" s="297">
        <v>0.26100779823614034</v>
      </c>
      <c r="U11" s="297">
        <v>0.26100779823614034</v>
      </c>
      <c r="V11" s="449">
        <v>9.3186255238026997E-2</v>
      </c>
      <c r="W11" s="297">
        <v>0.29408918717564342</v>
      </c>
      <c r="X11" s="297">
        <v>0.21346726352381448</v>
      </c>
      <c r="Y11" s="307">
        <v>9.9237904303159721E-2</v>
      </c>
    </row>
    <row r="12" spans="3:44">
      <c r="G12" s="69"/>
      <c r="R12" s="303">
        <v>320</v>
      </c>
      <c r="S12" s="297">
        <v>0.12257571845667591</v>
      </c>
      <c r="T12" s="297">
        <v>0.31790471198372589</v>
      </c>
      <c r="U12" s="297">
        <v>0.31790471198372589</v>
      </c>
      <c r="V12" s="449">
        <v>0.12257571845667591</v>
      </c>
      <c r="W12" s="297">
        <v>0.29698006805778787</v>
      </c>
      <c r="X12" s="297">
        <v>0.23914033823703626</v>
      </c>
      <c r="Y12" s="307">
        <v>0.11209793941702839</v>
      </c>
    </row>
    <row r="13" spans="3:44">
      <c r="D13" t="s">
        <v>544</v>
      </c>
      <c r="E13" t="s">
        <v>549</v>
      </c>
      <c r="G13" s="69"/>
      <c r="R13" s="303">
        <v>330</v>
      </c>
      <c r="S13" s="297">
        <v>0.15598303147399026</v>
      </c>
      <c r="T13" s="297">
        <v>0.36617967754564784</v>
      </c>
      <c r="U13" s="297">
        <v>0.3661796775456479</v>
      </c>
      <c r="V13" s="449">
        <v>0.15598303147399026</v>
      </c>
      <c r="W13" s="297">
        <v>0.29843251182438524</v>
      </c>
      <c r="X13" s="297">
        <v>0.25477962290907652</v>
      </c>
      <c r="Y13" s="307">
        <v>0.12814643980589793</v>
      </c>
    </row>
    <row r="14" spans="3:44">
      <c r="C14" s="69" t="s">
        <v>323</v>
      </c>
      <c r="D14" s="391">
        <v>0.44047799999999998</v>
      </c>
      <c r="E14" s="392">
        <f>D14/D10</f>
        <v>0.51820941176470592</v>
      </c>
      <c r="F14" s="69"/>
      <c r="G14" s="69"/>
      <c r="R14" s="303">
        <v>340</v>
      </c>
      <c r="S14" s="297">
        <v>0.20127054103104247</v>
      </c>
      <c r="T14" s="297">
        <v>0.42134256405356002</v>
      </c>
      <c r="U14" s="297">
        <v>0.42134256405355996</v>
      </c>
      <c r="V14" s="449">
        <v>0.20127054103104247</v>
      </c>
      <c r="W14" s="297">
        <v>0.30267722711147771</v>
      </c>
      <c r="X14" s="297">
        <v>0.2648050361137782</v>
      </c>
      <c r="Y14" s="307">
        <v>0.14946334713675347</v>
      </c>
    </row>
    <row r="15" spans="3:44">
      <c r="C15" s="69" t="s">
        <v>542</v>
      </c>
      <c r="D15" s="391">
        <v>0.43601499999999999</v>
      </c>
      <c r="E15" s="392">
        <f>D15/D10</f>
        <v>0.5129588235294118</v>
      </c>
      <c r="F15" s="69"/>
      <c r="G15" s="69"/>
      <c r="R15" s="303">
        <v>350</v>
      </c>
      <c r="S15" s="297">
        <v>0.25986764381769767</v>
      </c>
      <c r="T15" s="297">
        <v>0.48609446438583587</v>
      </c>
      <c r="U15" s="297">
        <v>0.48609446438583587</v>
      </c>
      <c r="V15" s="449">
        <v>0.25986764381769767</v>
      </c>
      <c r="W15" s="297">
        <v>0.30629482389284884</v>
      </c>
      <c r="X15" s="297">
        <v>0.26788085521375082</v>
      </c>
      <c r="Y15" s="307">
        <v>0.17309430293428779</v>
      </c>
    </row>
    <row r="16" spans="3:44">
      <c r="C16" s="69" t="s">
        <v>539</v>
      </c>
      <c r="D16" s="388">
        <f>9*0.05</f>
        <v>0.45</v>
      </c>
      <c r="E16" s="69" t="s">
        <v>550</v>
      </c>
      <c r="F16" s="69"/>
      <c r="G16" s="69"/>
      <c r="R16" s="303">
        <v>360</v>
      </c>
      <c r="S16" s="297">
        <v>0.32973579992312962</v>
      </c>
      <c r="T16" s="297">
        <v>0.55259590779014356</v>
      </c>
      <c r="U16" s="297">
        <v>0.55259590779014356</v>
      </c>
      <c r="V16" s="449">
        <v>0.32973579992312962</v>
      </c>
      <c r="W16" s="297">
        <v>0.31988925650265387</v>
      </c>
      <c r="X16" s="297">
        <v>0.27454194129205128</v>
      </c>
      <c r="Y16" s="307">
        <v>0.20637532855480126</v>
      </c>
    </row>
    <row r="17" spans="3:25">
      <c r="D17" s="521">
        <f>D16/D18</f>
        <v>0.05</v>
      </c>
      <c r="E17" s="69" t="s">
        <v>93</v>
      </c>
      <c r="G17" s="69"/>
      <c r="R17" s="303">
        <v>370</v>
      </c>
      <c r="S17" s="297">
        <v>0.4325534724014593</v>
      </c>
      <c r="T17" s="297">
        <v>0.65807804447564322</v>
      </c>
      <c r="U17" s="297">
        <v>0.65807804447564322</v>
      </c>
      <c r="V17" s="449">
        <v>0.4325534724014593</v>
      </c>
      <c r="W17" s="297">
        <v>0.3500650058670855</v>
      </c>
      <c r="X17" s="297">
        <v>0.27619901231503191</v>
      </c>
      <c r="Y17" s="307">
        <v>0.25514173556415409</v>
      </c>
    </row>
    <row r="18" spans="3:25">
      <c r="C18" s="80" t="s">
        <v>551</v>
      </c>
      <c r="D18">
        <f>3*3</f>
        <v>9</v>
      </c>
      <c r="E18" t="s">
        <v>552</v>
      </c>
      <c r="R18" s="303">
        <v>380</v>
      </c>
      <c r="S18" s="297">
        <v>0.55556259068304958</v>
      </c>
      <c r="T18" s="297">
        <v>0.77809886650287052</v>
      </c>
      <c r="U18" s="297">
        <v>0.77809886650287052</v>
      </c>
      <c r="V18" s="449">
        <v>0.55556259068304958</v>
      </c>
      <c r="W18" s="297">
        <v>0.41539581141383464</v>
      </c>
      <c r="X18" s="297">
        <v>0.30634598901998567</v>
      </c>
      <c r="Y18" s="307">
        <v>0.33182195697838057</v>
      </c>
    </row>
    <row r="19" spans="3:25">
      <c r="R19" s="303">
        <v>390</v>
      </c>
      <c r="S19" s="297">
        <v>0.65669504100120479</v>
      </c>
      <c r="T19" s="297">
        <v>0.85513966571727462</v>
      </c>
      <c r="U19" s="297">
        <v>0.85513966571727473</v>
      </c>
      <c r="V19" s="449">
        <v>0.65669504100120479</v>
      </c>
      <c r="W19" s="297">
        <v>0.47217264895892946</v>
      </c>
      <c r="X19" s="297">
        <v>0.3334487985166425</v>
      </c>
      <c r="Y19" s="307">
        <v>0.40743932854243869</v>
      </c>
    </row>
    <row r="20" spans="3:25">
      <c r="C20" s="69" t="s">
        <v>540</v>
      </c>
      <c r="D20" s="69">
        <f>LOG10(D16)</f>
        <v>-0.34678748622465633</v>
      </c>
      <c r="E20" s="69"/>
      <c r="F20" s="69"/>
      <c r="G20" s="69"/>
      <c r="R20" s="303">
        <v>400</v>
      </c>
      <c r="S20" s="297">
        <v>0.72540286483527272</v>
      </c>
      <c r="T20" s="297">
        <v>0.89286605888390869</v>
      </c>
      <c r="U20" s="297">
        <v>0.89286605888390869</v>
      </c>
      <c r="V20" s="449">
        <v>0.72540286483527272</v>
      </c>
      <c r="W20" s="297">
        <v>0.52450775404175465</v>
      </c>
      <c r="X20" s="297">
        <v>0.36982624846987366</v>
      </c>
      <c r="Y20" s="307">
        <v>0.4765058524341394</v>
      </c>
    </row>
    <row r="21" spans="3:25">
      <c r="C21" s="69" t="s">
        <v>544</v>
      </c>
      <c r="D21" s="391">
        <f>D14+D15*D20</f>
        <v>0.2892734541937565</v>
      </c>
      <c r="E21" s="392">
        <f>E14+E15*D20</f>
        <v>0.34032171081618412</v>
      </c>
      <c r="F21" s="69">
        <f>D21/E21</f>
        <v>0.85</v>
      </c>
      <c r="G21" s="69"/>
      <c r="R21" s="303">
        <v>410</v>
      </c>
      <c r="S21" s="297">
        <v>0.77962826775307625</v>
      </c>
      <c r="T21" s="297">
        <v>0.91949744032164005</v>
      </c>
      <c r="U21" s="297">
        <v>0.91949744032164005</v>
      </c>
      <c r="V21" s="449">
        <v>0.77962826775307625</v>
      </c>
      <c r="W21" s="297">
        <v>0.58109611668050232</v>
      </c>
      <c r="X21" s="297">
        <v>0.40414610444941229</v>
      </c>
      <c r="Y21" s="307">
        <v>0.54758044060104383</v>
      </c>
    </row>
    <row r="22" spans="3:25">
      <c r="C22" s="69"/>
      <c r="D22" s="69"/>
      <c r="E22" s="69"/>
      <c r="F22" s="69"/>
      <c r="R22" s="303">
        <v>420</v>
      </c>
      <c r="S22" s="297">
        <v>0.80856801234220965</v>
      </c>
      <c r="T22" s="297">
        <v>0.92423680529390129</v>
      </c>
      <c r="U22" s="297">
        <v>0.92423680529389518</v>
      </c>
      <c r="V22" s="449">
        <v>0.80856801234220421</v>
      </c>
      <c r="W22" s="297">
        <v>0.61619646700676822</v>
      </c>
      <c r="X22" s="297">
        <v>0.42059354676525224</v>
      </c>
      <c r="Y22" s="307">
        <v>0.5976817599995512</v>
      </c>
    </row>
    <row r="23" spans="3:25">
      <c r="C23" s="69"/>
      <c r="D23" s="69"/>
      <c r="E23" s="69"/>
      <c r="F23" s="69"/>
      <c r="R23" s="303">
        <v>430</v>
      </c>
      <c r="S23" s="297">
        <v>0.8261489181247974</v>
      </c>
      <c r="T23" s="297">
        <v>0.92474167741624369</v>
      </c>
      <c r="U23" s="297">
        <v>0.9247416774154279</v>
      </c>
      <c r="V23" s="449">
        <v>0.82614891812406854</v>
      </c>
      <c r="W23" s="297">
        <v>0.65509263404529017</v>
      </c>
      <c r="X23" s="297">
        <v>0.44135806606655026</v>
      </c>
      <c r="Y23" s="307">
        <v>0.64497216056343154</v>
      </c>
    </row>
    <row r="24" spans="3:25">
      <c r="C24" s="69" t="s">
        <v>541</v>
      </c>
      <c r="D24" s="389">
        <f>MissionLifeFraction</f>
        <v>0.12</v>
      </c>
      <c r="E24" s="69"/>
      <c r="F24" s="69"/>
      <c r="R24" s="303">
        <v>440</v>
      </c>
      <c r="S24" s="297">
        <v>0.83740324569596647</v>
      </c>
      <c r="T24" s="297">
        <v>0.92045150146746724</v>
      </c>
      <c r="U24" s="297">
        <v>0.92045150146746657</v>
      </c>
      <c r="V24" s="449">
        <v>0.83740324569596591</v>
      </c>
      <c r="W24" s="297">
        <v>0.68872898035010477</v>
      </c>
      <c r="X24" s="297">
        <v>0.46140107993828222</v>
      </c>
      <c r="Y24" s="307">
        <v>0.68605893711800636</v>
      </c>
    </row>
    <row r="25" spans="3:25">
      <c r="C25" s="69" t="s">
        <v>543</v>
      </c>
      <c r="D25" s="520">
        <f>1+MissionLifeFraction*0.51296*(D20-LOG10(8.7))</f>
        <v>0.92082113142915445</v>
      </c>
      <c r="E25" s="85" t="s">
        <v>553</v>
      </c>
      <c r="F25" s="69"/>
      <c r="R25" s="451">
        <v>450</v>
      </c>
      <c r="S25" s="452">
        <v>0.84571277924507116</v>
      </c>
      <c r="T25" s="452">
        <v>0.91298538668501994</v>
      </c>
      <c r="U25" s="452">
        <v>0.91298537158814375</v>
      </c>
      <c r="V25" s="466">
        <v>0.84571276526059624</v>
      </c>
      <c r="W25" s="452">
        <v>0.72083429988061354</v>
      </c>
      <c r="X25" s="452">
        <v>0.48045746383733218</v>
      </c>
      <c r="Y25" s="453">
        <v>0.72631906701625781</v>
      </c>
    </row>
    <row r="26" spans="3:25">
      <c r="C26" s="69"/>
      <c r="D26" s="520">
        <f>1+MissionLifeFraction*0.51296*(LOG10(D17)-LOG10(8.7)+LOG10(9))</f>
        <v>0.92082113142915445</v>
      </c>
      <c r="E26" s="69" t="s">
        <v>554</v>
      </c>
      <c r="F26" s="69"/>
      <c r="R26" s="303">
        <v>460</v>
      </c>
      <c r="S26" s="297">
        <v>0.85434754416029024</v>
      </c>
      <c r="T26" s="297">
        <v>0.90598168851314476</v>
      </c>
      <c r="U26" s="297">
        <v>0.90598155581086615</v>
      </c>
      <c r="V26" s="449">
        <v>0.85434741902104372</v>
      </c>
      <c r="W26" s="297">
        <v>0.74886417045607756</v>
      </c>
      <c r="X26" s="297">
        <v>0.50083022532697818</v>
      </c>
      <c r="Y26" s="307">
        <v>0.762988022326061</v>
      </c>
    </row>
    <row r="27" spans="3:25">
      <c r="D27" s="520">
        <f>1+MissionLifeFraction*0.51296*(LOG10(D17)+0.0147233)</f>
        <v>0.92082113408706445</v>
      </c>
      <c r="E27" s="69" t="s">
        <v>554</v>
      </c>
      <c r="R27" s="303">
        <v>470</v>
      </c>
      <c r="S27" s="297">
        <v>0.86389784190059771</v>
      </c>
      <c r="T27" s="297">
        <v>0.89975264661534438</v>
      </c>
      <c r="U27" s="297">
        <v>0.89975146086725744</v>
      </c>
      <c r="V27" s="449">
        <v>0.86389670340412617</v>
      </c>
      <c r="W27" s="297">
        <v>0.77507511397693396</v>
      </c>
      <c r="X27" s="297">
        <v>0.52340520584463357</v>
      </c>
      <c r="Y27" s="307">
        <v>0.79829983712831687</v>
      </c>
    </row>
    <row r="28" spans="3:25">
      <c r="D28" s="393">
        <f>-LOG10(8.7)+LOG10(9)</f>
        <v>1.472325682070641E-2</v>
      </c>
      <c r="R28" s="303">
        <v>480</v>
      </c>
      <c r="S28" s="297">
        <v>0.87319232335391705</v>
      </c>
      <c r="T28" s="297">
        <v>0.89582365786848928</v>
      </c>
      <c r="U28" s="297">
        <v>0.89581866435877366</v>
      </c>
      <c r="V28" s="449">
        <v>0.87318745599602576</v>
      </c>
      <c r="W28" s="297">
        <v>0.79994779770400049</v>
      </c>
      <c r="X28" s="297">
        <v>0.54784917544607237</v>
      </c>
      <c r="Y28" s="307">
        <v>0.8300017916647584</v>
      </c>
    </row>
    <row r="29" spans="3:25">
      <c r="R29" s="303">
        <v>490</v>
      </c>
      <c r="S29" s="297">
        <v>0.88168163071002581</v>
      </c>
      <c r="T29" s="297">
        <v>0.89350546239281792</v>
      </c>
      <c r="U29" s="297">
        <v>0.89349518540919171</v>
      </c>
      <c r="V29" s="449">
        <v>0.88167148972257403</v>
      </c>
      <c r="W29" s="297">
        <v>0.82237974975538219</v>
      </c>
      <c r="X29" s="297">
        <v>0.5724896499728781</v>
      </c>
      <c r="Y29" s="307">
        <v>0.85720374199405713</v>
      </c>
    </row>
    <row r="30" spans="3:25">
      <c r="C30" s="390" t="s">
        <v>556</v>
      </c>
      <c r="R30" s="303">
        <v>500</v>
      </c>
      <c r="S30" s="297">
        <v>0.88695980365785987</v>
      </c>
      <c r="T30" s="297">
        <v>0.89017245613111495</v>
      </c>
      <c r="U30" s="297">
        <v>0.89014608013522345</v>
      </c>
      <c r="V30" s="449">
        <v>0.88693352285353244</v>
      </c>
      <c r="W30" s="297">
        <v>0.84087527961225206</v>
      </c>
      <c r="X30" s="297">
        <v>0.59324942158476524</v>
      </c>
      <c r="Y30" s="307">
        <v>0.87906566174763767</v>
      </c>
    </row>
    <row r="31" spans="3:25">
      <c r="C31" s="390" t="s">
        <v>555</v>
      </c>
      <c r="R31" s="303">
        <v>510</v>
      </c>
      <c r="S31" s="297">
        <v>0.88902131516925542</v>
      </c>
      <c r="T31" s="297">
        <v>0.88582435509073243</v>
      </c>
      <c r="U31" s="297">
        <v>0.88572801322575367</v>
      </c>
      <c r="V31" s="449">
        <v>0.88892462560431296</v>
      </c>
      <c r="W31" s="297">
        <v>0.85603350585181037</v>
      </c>
      <c r="X31" s="297">
        <v>0.6097559881839093</v>
      </c>
      <c r="Y31" s="307">
        <v>0.89598977408670522</v>
      </c>
    </row>
    <row r="32" spans="3:25">
      <c r="R32" s="304">
        <v>520</v>
      </c>
      <c r="S32" s="298">
        <v>0.89255649340622634</v>
      </c>
      <c r="T32" s="298">
        <v>0.88523500091743557</v>
      </c>
      <c r="U32" s="297">
        <v>0.88503435745876047</v>
      </c>
      <c r="V32" s="450">
        <v>0.89235419049037423</v>
      </c>
      <c r="W32" s="297">
        <v>0.87073190765193764</v>
      </c>
      <c r="X32" s="298">
        <v>0.62937655775181744</v>
      </c>
      <c r="Y32" s="307">
        <v>0.9096479793586697</v>
      </c>
    </row>
    <row r="33" spans="3:25">
      <c r="R33" s="304">
        <v>530</v>
      </c>
      <c r="S33" s="298">
        <v>0.89245377180286189</v>
      </c>
      <c r="T33" s="298">
        <v>0.88302597567163099</v>
      </c>
      <c r="U33" s="297">
        <v>0.88261984252613568</v>
      </c>
      <c r="V33" s="450">
        <v>0.89204330249897112</v>
      </c>
      <c r="W33" s="297">
        <v>0.882446845491617</v>
      </c>
      <c r="X33" s="298">
        <v>0.64435464611223181</v>
      </c>
      <c r="Y33" s="307">
        <v>0.91871716263048475</v>
      </c>
    </row>
    <row r="34" spans="3:25">
      <c r="R34" s="303">
        <v>540</v>
      </c>
      <c r="S34" s="297">
        <v>0.8966082925843667</v>
      </c>
      <c r="T34" s="297">
        <v>0.88740067654205079</v>
      </c>
      <c r="U34" s="297">
        <v>0.88539916965639431</v>
      </c>
      <c r="V34" s="449">
        <v>0.89458601818365602</v>
      </c>
      <c r="W34" s="297">
        <v>0.89456439971058299</v>
      </c>
      <c r="X34" s="297">
        <v>0.66579236703000699</v>
      </c>
      <c r="Y34" s="307">
        <v>0.92402103989234186</v>
      </c>
    </row>
    <row r="35" spans="3:25">
      <c r="R35" s="303">
        <v>550</v>
      </c>
      <c r="S35" s="297">
        <v>0.89627735105344097</v>
      </c>
      <c r="T35" s="297">
        <v>0.88707313357722617</v>
      </c>
      <c r="U35" s="297">
        <v>0.88408564959678304</v>
      </c>
      <c r="V35" s="449">
        <v>0.89325886911891494</v>
      </c>
      <c r="W35" s="297">
        <v>0.90300043393790475</v>
      </c>
      <c r="X35" s="297">
        <v>0.67988155610742917</v>
      </c>
      <c r="Y35" s="307">
        <v>0.92723389938605194</v>
      </c>
    </row>
    <row r="36" spans="3:25">
      <c r="R36" s="303">
        <v>560</v>
      </c>
      <c r="S36" s="297">
        <v>0.89949036971652341</v>
      </c>
      <c r="T36" s="297">
        <v>0.89025315651360049</v>
      </c>
      <c r="U36" s="297">
        <v>0.88603530269699438</v>
      </c>
      <c r="V36" s="449">
        <v>0.89522875170242167</v>
      </c>
      <c r="W36" s="297">
        <v>0.91070618298317929</v>
      </c>
      <c r="X36" s="297">
        <v>0.69781134338192685</v>
      </c>
      <c r="Y36" s="307">
        <v>0.92944950334491361</v>
      </c>
    </row>
    <row r="37" spans="3:25">
      <c r="R37" s="457">
        <v>570</v>
      </c>
      <c r="S37" s="458">
        <v>0.90027368232461058</v>
      </c>
      <c r="T37" s="458">
        <v>0.89129373045387228</v>
      </c>
      <c r="U37" s="458">
        <v>0.88548156394683508</v>
      </c>
      <c r="V37" s="467">
        <v>0.89440295714750251</v>
      </c>
      <c r="W37" s="458">
        <v>0.91639475959023065</v>
      </c>
      <c r="X37" s="458">
        <v>0.71192957253592104</v>
      </c>
      <c r="Y37" s="459">
        <v>0.92947891882194034</v>
      </c>
    </row>
    <row r="38" spans="3:25">
      <c r="R38" s="303">
        <v>580</v>
      </c>
      <c r="S38" s="297">
        <v>0.90455130379955373</v>
      </c>
      <c r="T38" s="297">
        <v>0.8955286839760358</v>
      </c>
      <c r="U38" s="297">
        <v>0.88764712000234447</v>
      </c>
      <c r="V38" s="449">
        <v>0.89659033158733037</v>
      </c>
      <c r="W38" s="297">
        <v>0.9213601209760599</v>
      </c>
      <c r="X38" s="297">
        <v>0.72966298721072242</v>
      </c>
      <c r="Y38" s="307">
        <v>0.92882666289772797</v>
      </c>
    </row>
    <row r="39" spans="3:25">
      <c r="C39" s="522" t="s">
        <v>614</v>
      </c>
      <c r="D39" s="522"/>
      <c r="E39" s="522"/>
      <c r="R39" s="303">
        <v>590</v>
      </c>
      <c r="S39" s="297">
        <v>0.90665589689465664</v>
      </c>
      <c r="T39" s="297">
        <v>0.8974786713827726</v>
      </c>
      <c r="U39" s="297">
        <v>0.88700813877346907</v>
      </c>
      <c r="V39" s="449">
        <v>0.89607829718498733</v>
      </c>
      <c r="W39" s="297">
        <v>0.9247110851542315</v>
      </c>
      <c r="X39" s="297">
        <v>0.74393439174688358</v>
      </c>
      <c r="Y39" s="307">
        <v>0.92656768595473826</v>
      </c>
    </row>
    <row r="40" spans="3:25">
      <c r="R40" s="303">
        <v>600</v>
      </c>
      <c r="S40" s="297">
        <v>0.91152082772456611</v>
      </c>
      <c r="T40" s="297">
        <v>0.90229435909025957</v>
      </c>
      <c r="U40" s="297">
        <v>0.88856202205280843</v>
      </c>
      <c r="V40" s="449">
        <v>0.89764806979710809</v>
      </c>
      <c r="W40" s="297">
        <v>0.92741351343291212</v>
      </c>
      <c r="X40" s="297">
        <v>0.76103597627394848</v>
      </c>
      <c r="Y40" s="307">
        <v>0.92329635842072066</v>
      </c>
    </row>
    <row r="41" spans="3:25">
      <c r="D41" t="s">
        <v>580</v>
      </c>
      <c r="R41" s="303">
        <v>610</v>
      </c>
      <c r="S41" s="297">
        <v>0.91401629464757861</v>
      </c>
      <c r="T41" s="297">
        <v>0.90476456674700756</v>
      </c>
      <c r="U41" s="297">
        <v>0.88706687507652238</v>
      </c>
      <c r="V41" s="449">
        <v>0.89613763409986125</v>
      </c>
      <c r="W41" s="297">
        <v>0.92883666696160205</v>
      </c>
      <c r="X41" s="297">
        <v>0.77466864933145207</v>
      </c>
      <c r="Y41" s="307">
        <v>0.91832904282662275</v>
      </c>
    </row>
    <row r="42" spans="3:25">
      <c r="R42" s="303">
        <v>620</v>
      </c>
      <c r="S42" s="297">
        <v>0.91865325591456382</v>
      </c>
      <c r="T42" s="297">
        <v>0.90976085656468342</v>
      </c>
      <c r="U42" s="297">
        <v>0.88718963068070278</v>
      </c>
      <c r="V42" s="449">
        <v>0.8958614090257021</v>
      </c>
      <c r="W42" s="297">
        <v>0.92973113817839537</v>
      </c>
      <c r="X42" s="297">
        <v>0.79039630641035763</v>
      </c>
      <c r="Y42" s="307">
        <v>0.91214288583172509</v>
      </c>
    </row>
    <row r="43" spans="3:25">
      <c r="D43" s="473"/>
      <c r="E43" s="478">
        <v>450</v>
      </c>
      <c r="F43" s="478">
        <v>570</v>
      </c>
      <c r="G43" s="478">
        <v>660</v>
      </c>
      <c r="H43" s="478">
        <v>770</v>
      </c>
      <c r="R43" s="303">
        <v>630</v>
      </c>
      <c r="S43" s="297">
        <v>0.92269629832549793</v>
      </c>
      <c r="T43" s="297">
        <v>0.91376476304758913</v>
      </c>
      <c r="U43" s="297">
        <v>0.88536534982322335</v>
      </c>
      <c r="V43" s="449">
        <v>0.89401929685157078</v>
      </c>
      <c r="W43" s="297">
        <v>0.92975945456878428</v>
      </c>
      <c r="X43" s="297">
        <v>0.80471585682762214</v>
      </c>
      <c r="Y43" s="307">
        <v>0.90492503934309698</v>
      </c>
    </row>
    <row r="44" spans="3:25">
      <c r="D44" s="477" t="s">
        <v>581</v>
      </c>
      <c r="E44" s="474">
        <v>0.84</v>
      </c>
      <c r="F44" s="474">
        <v>0.88</v>
      </c>
      <c r="G44" s="474">
        <v>0.86</v>
      </c>
      <c r="H44" s="474">
        <v>0.66</v>
      </c>
      <c r="J44" s="471" t="s">
        <v>474</v>
      </c>
      <c r="R44" s="303">
        <v>640</v>
      </c>
      <c r="S44" s="297">
        <v>0.92649261848807629</v>
      </c>
      <c r="T44" s="297">
        <v>0.91725114082860015</v>
      </c>
      <c r="U44" s="297">
        <v>0.88194825445745106</v>
      </c>
      <c r="V44" s="449">
        <v>0.89083404890085693</v>
      </c>
      <c r="W44" s="297">
        <v>0.92908190157891113</v>
      </c>
      <c r="X44" s="297">
        <v>0.81814648485609853</v>
      </c>
      <c r="Y44" s="307">
        <v>0.89658659898330262</v>
      </c>
    </row>
    <row r="45" spans="3:25">
      <c r="D45" s="477" t="s">
        <v>582</v>
      </c>
      <c r="E45" s="475">
        <v>0.34</v>
      </c>
      <c r="F45" s="475">
        <v>0.34</v>
      </c>
      <c r="G45" s="475">
        <v>0.34</v>
      </c>
      <c r="H45" s="475">
        <v>0.34</v>
      </c>
      <c r="J45" s="472" t="s">
        <v>583</v>
      </c>
      <c r="K45" s="188">
        <f>D17</f>
        <v>0.05</v>
      </c>
      <c r="L45" t="s">
        <v>590</v>
      </c>
      <c r="R45" s="303">
        <v>650</v>
      </c>
      <c r="S45" s="297">
        <v>0.92906070362307758</v>
      </c>
      <c r="T45" s="297">
        <v>0.91979361010770666</v>
      </c>
      <c r="U45" s="297">
        <v>0.87642884507918961</v>
      </c>
      <c r="V45" s="449">
        <v>0.88525903043562659</v>
      </c>
      <c r="W45" s="297">
        <v>0.92770492480362243</v>
      </c>
      <c r="X45" s="297">
        <v>0.82981225126748259</v>
      </c>
      <c r="Y45" s="307">
        <v>0.88640724680471261</v>
      </c>
    </row>
    <row r="46" spans="3:25">
      <c r="D46" s="477" t="s">
        <v>584</v>
      </c>
      <c r="E46" s="474">
        <v>0.8</v>
      </c>
      <c r="F46" s="474">
        <v>0.8</v>
      </c>
      <c r="G46" s="474">
        <v>0.8</v>
      </c>
      <c r="H46" s="474">
        <v>0.8</v>
      </c>
      <c r="R46" s="460">
        <v>660</v>
      </c>
      <c r="S46" s="461">
        <v>0.93230479415755074</v>
      </c>
      <c r="T46" s="461">
        <v>0.92300534184125549</v>
      </c>
      <c r="U46" s="461">
        <v>0.87023028026027327</v>
      </c>
      <c r="V46" s="468">
        <v>0.87899801391101573</v>
      </c>
      <c r="W46" s="461">
        <v>0.9254513116073706</v>
      </c>
      <c r="X46" s="461">
        <v>0.84131163926132224</v>
      </c>
      <c r="Y46" s="462">
        <v>0.87465468113338318</v>
      </c>
    </row>
    <row r="47" spans="3:25">
      <c r="D47" s="477" t="s">
        <v>585</v>
      </c>
      <c r="E47" s="476">
        <f>PRODUCT(E44:E46)</f>
        <v>0.22848000000000002</v>
      </c>
      <c r="F47" s="476">
        <f>PRODUCT(F44:F46)</f>
        <v>0.23936000000000002</v>
      </c>
      <c r="G47" s="476">
        <f>PRODUCT(G44:G46)</f>
        <v>0.23392000000000002</v>
      </c>
      <c r="H47" s="476">
        <f>PRODUCT(H44:H46)</f>
        <v>0.17952000000000001</v>
      </c>
      <c r="R47" s="303">
        <v>670</v>
      </c>
      <c r="S47" s="297">
        <v>0.93448920613307829</v>
      </c>
      <c r="T47" s="297">
        <v>0.9255813554937401</v>
      </c>
      <c r="U47" s="297">
        <v>0.86202173751085875</v>
      </c>
      <c r="V47" s="449">
        <v>0.87031788656359466</v>
      </c>
      <c r="W47" s="297">
        <v>0.92267441948866935</v>
      </c>
      <c r="X47" s="297">
        <v>0.85131707783642341</v>
      </c>
      <c r="Y47" s="307">
        <v>0.86100837781338502</v>
      </c>
    </row>
    <row r="48" spans="3:25">
      <c r="F48" s="186"/>
      <c r="G48" s="186"/>
      <c r="H48" s="186"/>
      <c r="I48" s="186"/>
      <c r="R48" s="303">
        <v>680</v>
      </c>
      <c r="S48" s="297">
        <v>0.93686511212116141</v>
      </c>
      <c r="T48" s="297">
        <v>0.92793461358440921</v>
      </c>
      <c r="U48" s="297">
        <v>0.85211282242023367</v>
      </c>
      <c r="V48" s="449">
        <v>0.86031360747811259</v>
      </c>
      <c r="W48" s="297">
        <v>0.91946412440963177</v>
      </c>
      <c r="X48" s="297">
        <v>0.86103010394896573</v>
      </c>
      <c r="Y48" s="307">
        <v>0.8463539713004935</v>
      </c>
    </row>
    <row r="49" spans="4:25">
      <c r="F49" s="186"/>
      <c r="G49" s="186"/>
      <c r="H49" s="186"/>
      <c r="I49" s="186"/>
      <c r="R49" s="303">
        <v>690</v>
      </c>
      <c r="S49" s="297">
        <v>0.9392621104520732</v>
      </c>
      <c r="T49" s="297">
        <v>0.92989326105497794</v>
      </c>
      <c r="U49" s="297">
        <v>0.84029215767641363</v>
      </c>
      <c r="V49" s="449">
        <v>0.84875825911465719</v>
      </c>
      <c r="W49" s="297">
        <v>0.91580320386156044</v>
      </c>
      <c r="X49" s="297">
        <v>0.87029757727838841</v>
      </c>
      <c r="Y49" s="307">
        <v>0.83059897247880021</v>
      </c>
    </row>
    <row r="50" spans="4:25">
      <c r="D50" s="473"/>
      <c r="E50" s="478">
        <v>450</v>
      </c>
      <c r="F50" s="478">
        <v>570</v>
      </c>
      <c r="G50" s="478">
        <v>660</v>
      </c>
      <c r="H50" s="478">
        <v>770</v>
      </c>
      <c r="R50" s="303">
        <v>700</v>
      </c>
      <c r="S50" s="297">
        <v>0.94073681993483382</v>
      </c>
      <c r="T50" s="297">
        <v>0.93135326076621194</v>
      </c>
      <c r="U50" s="297">
        <v>0.82644664609070939</v>
      </c>
      <c r="V50" s="449">
        <v>0.83477325139718717</v>
      </c>
      <c r="W50" s="297">
        <v>0.91166686269965724</v>
      </c>
      <c r="X50" s="297">
        <v>0.87825355126767424</v>
      </c>
      <c r="Y50" s="307">
        <v>0.81295419287805726</v>
      </c>
    </row>
    <row r="51" spans="4:25">
      <c r="D51" s="477" t="s">
        <v>581</v>
      </c>
      <c r="E51" s="474">
        <v>0.84</v>
      </c>
      <c r="F51" s="474">
        <v>0.88</v>
      </c>
      <c r="G51" s="474">
        <v>0.86</v>
      </c>
      <c r="H51" s="474">
        <v>0.66</v>
      </c>
      <c r="R51" s="303">
        <v>710</v>
      </c>
      <c r="S51" s="297">
        <v>0.94162248033510887</v>
      </c>
      <c r="T51" s="297">
        <v>0.93223008697759024</v>
      </c>
      <c r="U51" s="297">
        <v>0.81052027119328673</v>
      </c>
      <c r="V51" s="449">
        <v>0.81868641527899355</v>
      </c>
      <c r="W51" s="297">
        <v>0.90701992057085301</v>
      </c>
      <c r="X51" s="297">
        <v>0.88520601036760671</v>
      </c>
      <c r="Y51" s="307">
        <v>0.7937875644297081</v>
      </c>
    </row>
    <row r="52" spans="4:25">
      <c r="D52" s="477" t="s">
        <v>582</v>
      </c>
      <c r="E52" s="475">
        <v>0.84</v>
      </c>
      <c r="F52" s="475">
        <v>0.84</v>
      </c>
      <c r="G52" s="475">
        <v>0.84</v>
      </c>
      <c r="H52" s="475">
        <v>0.84</v>
      </c>
      <c r="R52" s="303">
        <v>720</v>
      </c>
      <c r="S52" s="297">
        <v>0.94135079926295029</v>
      </c>
      <c r="T52" s="297">
        <v>0.932377541718591</v>
      </c>
      <c r="U52" s="297">
        <v>0.79245050147273144</v>
      </c>
      <c r="V52" s="449">
        <v>0.80007709276510053</v>
      </c>
      <c r="W52" s="297">
        <v>0.90178985727076211</v>
      </c>
      <c r="X52" s="297">
        <v>0.89063152632463705</v>
      </c>
      <c r="Y52" s="307">
        <v>0.77273267882897734</v>
      </c>
    </row>
    <row r="53" spans="4:25">
      <c r="D53" s="477" t="s">
        <v>584</v>
      </c>
      <c r="E53" s="474">
        <v>0.8</v>
      </c>
      <c r="F53" s="474">
        <v>0.8</v>
      </c>
      <c r="G53" s="474">
        <v>0.8</v>
      </c>
      <c r="H53" s="474">
        <v>0.8</v>
      </c>
      <c r="R53" s="303">
        <v>730</v>
      </c>
      <c r="S53" s="297">
        <v>0.94066126506723813</v>
      </c>
      <c r="T53" s="297">
        <v>0.93169458038384478</v>
      </c>
      <c r="U53" s="297">
        <v>0.77226245118780235</v>
      </c>
      <c r="V53" s="449">
        <v>0.77969475146991052</v>
      </c>
      <c r="W53" s="297">
        <v>0.89590708663314489</v>
      </c>
      <c r="X53" s="297">
        <v>0.89522829036382445</v>
      </c>
      <c r="Y53" s="307">
        <v>0.75052611937720126</v>
      </c>
    </row>
    <row r="54" spans="4:25">
      <c r="D54" s="477" t="s">
        <v>585</v>
      </c>
      <c r="E54" s="476">
        <f>PRODUCT(E51:E53)</f>
        <v>0.56447999999999998</v>
      </c>
      <c r="F54" s="476">
        <f>PRODUCT(F51:F53)</f>
        <v>0.59136</v>
      </c>
      <c r="G54" s="476">
        <f>PRODUCT(G51:G53)</f>
        <v>0.57791999999999999</v>
      </c>
      <c r="H54" s="476">
        <f>PRODUCT(H51:H53)</f>
        <v>0.44352000000000003</v>
      </c>
      <c r="R54" s="303">
        <v>740</v>
      </c>
      <c r="S54" s="297">
        <v>0.9393852166989064</v>
      </c>
      <c r="T54" s="297">
        <v>0.93001513935502866</v>
      </c>
      <c r="U54" s="297">
        <v>0.74998139035872136</v>
      </c>
      <c r="V54" s="449">
        <v>0.7575375938405311</v>
      </c>
      <c r="W54" s="297">
        <v>0.88926161508929724</v>
      </c>
      <c r="X54" s="297">
        <v>0.8988557034780803</v>
      </c>
      <c r="Y54" s="307">
        <v>0.72716661444709541</v>
      </c>
    </row>
    <row r="55" spans="4:25">
      <c r="R55" s="303">
        <v>750</v>
      </c>
      <c r="S55" s="297">
        <v>0.93652254819405167</v>
      </c>
      <c r="T55" s="297">
        <v>0.92718102508418099</v>
      </c>
      <c r="U55" s="297">
        <v>0.72569367289573339</v>
      </c>
      <c r="V55" s="449">
        <v>0.73300517305874302</v>
      </c>
      <c r="W55" s="297">
        <v>0.88173546853139506</v>
      </c>
      <c r="X55" s="297">
        <v>0.9005604183846716</v>
      </c>
      <c r="Y55" s="307">
        <v>0.70206397151833877</v>
      </c>
    </row>
    <row r="56" spans="4:25">
      <c r="R56" s="303">
        <v>760</v>
      </c>
      <c r="S56" s="297">
        <v>0.93222844897163659</v>
      </c>
      <c r="T56" s="297">
        <v>0.92292975817498635</v>
      </c>
      <c r="U56" s="297">
        <v>0.69946663170785195</v>
      </c>
      <c r="V56" s="449">
        <v>0.70651388950099869</v>
      </c>
      <c r="W56" s="297">
        <v>0.87312410460541134</v>
      </c>
      <c r="X56" s="297">
        <v>0.90053005358009031</v>
      </c>
      <c r="Y56" s="307">
        <v>0.67557184374402779</v>
      </c>
    </row>
    <row r="57" spans="4:25">
      <c r="R57" s="463">
        <v>770</v>
      </c>
      <c r="S57" s="464">
        <v>0.92593703594351762</v>
      </c>
      <c r="T57" s="464">
        <v>0.91711070733160449</v>
      </c>
      <c r="U57" s="464">
        <v>0.67149932254964129</v>
      </c>
      <c r="V57" s="469">
        <v>0.67796187242079575</v>
      </c>
      <c r="W57" s="464">
        <v>0.86330099843895902</v>
      </c>
      <c r="X57" s="464">
        <v>0.89819146229681668</v>
      </c>
      <c r="Y57" s="465">
        <v>0.6475638441502467</v>
      </c>
    </row>
    <row r="58" spans="4:25">
      <c r="R58" s="303">
        <v>780</v>
      </c>
      <c r="S58" s="297">
        <v>0.91823766626858672</v>
      </c>
      <c r="T58" s="297">
        <v>0.9094847305162499</v>
      </c>
      <c r="U58" s="297">
        <v>0.64197364767068466</v>
      </c>
      <c r="V58" s="449">
        <v>0.64815204067082355</v>
      </c>
      <c r="W58" s="297">
        <v>0.85208200390174105</v>
      </c>
      <c r="X58" s="297">
        <v>0.89411436067124561</v>
      </c>
      <c r="Y58" s="307">
        <v>0.61876405069374318</v>
      </c>
    </row>
    <row r="59" spans="4:25">
      <c r="R59" s="303">
        <v>790</v>
      </c>
      <c r="S59" s="297">
        <v>0.90884753960144216</v>
      </c>
      <c r="T59" s="297">
        <v>0.89978206615298351</v>
      </c>
      <c r="U59" s="297">
        <v>0.6110923320020194</v>
      </c>
      <c r="V59" s="449">
        <v>0.61724920211391943</v>
      </c>
      <c r="W59" s="297">
        <v>0.83925311689070692</v>
      </c>
      <c r="X59" s="297">
        <v>0.88803000529922671</v>
      </c>
      <c r="Y59" s="307">
        <v>0.58927076281297608</v>
      </c>
    </row>
    <row r="60" spans="4:25">
      <c r="R60" s="303">
        <v>800</v>
      </c>
      <c r="S60" s="297">
        <v>0.89673653650056639</v>
      </c>
      <c r="T60" s="297">
        <v>0.88779186656673614</v>
      </c>
      <c r="U60" s="297">
        <v>0.5791197875629005</v>
      </c>
      <c r="V60" s="449">
        <v>0.58495452827969963</v>
      </c>
      <c r="W60" s="297">
        <v>0.82469209630159135</v>
      </c>
      <c r="X60" s="297">
        <v>0.87887256927562951</v>
      </c>
      <c r="Y60" s="307">
        <v>0.55878410634771414</v>
      </c>
    </row>
    <row r="61" spans="4:25">
      <c r="R61" s="303">
        <v>810</v>
      </c>
      <c r="S61" s="297">
        <v>0.88187412411573429</v>
      </c>
      <c r="T61" s="297">
        <v>0.8730777021541809</v>
      </c>
      <c r="U61" s="297">
        <v>0.54621720753888603</v>
      </c>
      <c r="V61" s="449">
        <v>0.55172044857724767</v>
      </c>
      <c r="W61" s="297">
        <v>0.80797434376283361</v>
      </c>
      <c r="X61" s="297">
        <v>0.86672979624890845</v>
      </c>
      <c r="Y61" s="307">
        <v>0.52757732571430616</v>
      </c>
    </row>
    <row r="62" spans="4:25">
      <c r="R62" s="303">
        <v>820</v>
      </c>
      <c r="S62" s="297">
        <v>0.86365247568034298</v>
      </c>
      <c r="T62" s="297">
        <v>0.85541986346057208</v>
      </c>
      <c r="U62" s="297">
        <v>0.5126732952255233</v>
      </c>
      <c r="V62" s="449">
        <v>0.51760729385626514</v>
      </c>
      <c r="W62" s="297">
        <v>0.7889489683938945</v>
      </c>
      <c r="X62" s="297">
        <v>0.85095741797879165</v>
      </c>
      <c r="Y62" s="307">
        <v>0.49567503583166111</v>
      </c>
    </row>
    <row r="63" spans="4:25">
      <c r="R63" s="303">
        <v>830</v>
      </c>
      <c r="S63" s="297">
        <v>0.84262734604586187</v>
      </c>
      <c r="T63" s="297">
        <v>0.83459515210083135</v>
      </c>
      <c r="U63" s="297">
        <v>0.47876105315775064</v>
      </c>
      <c r="V63" s="449">
        <v>0.48336867833099811</v>
      </c>
      <c r="W63" s="297">
        <v>0.76746410482985339</v>
      </c>
      <c r="X63" s="297">
        <v>0.83207080064844452</v>
      </c>
      <c r="Y63" s="307">
        <v>0.46375681443688338</v>
      </c>
    </row>
    <row r="64" spans="4:25">
      <c r="R64" s="303">
        <v>840</v>
      </c>
      <c r="S64" s="297">
        <v>0.81852732969846165</v>
      </c>
      <c r="T64" s="297">
        <v>0.81036277244227628</v>
      </c>
      <c r="U64" s="297">
        <v>0.44472400552761032</v>
      </c>
      <c r="V64" s="449">
        <v>0.44920468347803888</v>
      </c>
      <c r="W64" s="297">
        <v>0.74329879227484474</v>
      </c>
      <c r="X64" s="297">
        <v>0.80983459362116195</v>
      </c>
      <c r="Y64" s="307">
        <v>0.43193274322644709</v>
      </c>
    </row>
    <row r="65" spans="18:25">
      <c r="R65" s="303">
        <v>850</v>
      </c>
      <c r="S65" s="297">
        <v>0.79047487307291331</v>
      </c>
      <c r="T65" s="297">
        <v>0.78259013040566827</v>
      </c>
      <c r="U65" s="297">
        <v>0.41082059154125827</v>
      </c>
      <c r="V65" s="449">
        <v>0.41495968622295215</v>
      </c>
      <c r="W65" s="297">
        <v>0.71635661332427747</v>
      </c>
      <c r="X65" s="297">
        <v>0.78337070567635969</v>
      </c>
      <c r="Y65" s="307">
        <v>0.40001104371924695</v>
      </c>
    </row>
    <row r="66" spans="18:25">
      <c r="R66" s="303">
        <v>860</v>
      </c>
      <c r="S66" s="297">
        <v>0.75878048496250061</v>
      </c>
      <c r="T66" s="297">
        <v>0.75121188402570027</v>
      </c>
      <c r="U66" s="297">
        <v>0.37729269240456464</v>
      </c>
      <c r="V66" s="449">
        <v>0.38109398720021964</v>
      </c>
      <c r="W66" s="297">
        <v>0.68657604934557215</v>
      </c>
      <c r="X66" s="297">
        <v>0.75299499894370903</v>
      </c>
      <c r="Y66" s="307">
        <v>0.36838758012037903</v>
      </c>
    </row>
    <row r="67" spans="18:25">
      <c r="R67" s="303">
        <v>870</v>
      </c>
      <c r="S67" s="297">
        <v>0.72316567994292003</v>
      </c>
      <c r="T67" s="297">
        <v>0.716272232889547</v>
      </c>
      <c r="U67" s="297">
        <v>0.34437305715294131</v>
      </c>
      <c r="V67" s="449">
        <v>0.34768732416915005</v>
      </c>
      <c r="W67" s="297">
        <v>0.65399312572426604</v>
      </c>
      <c r="X67" s="297">
        <v>0.71843385174638297</v>
      </c>
      <c r="Y67" s="307">
        <v>0.33710941488454332</v>
      </c>
    </row>
    <row r="68" spans="18:25">
      <c r="R68" s="303">
        <v>880</v>
      </c>
      <c r="S68" s="297">
        <v>0.68441564129298271</v>
      </c>
      <c r="T68" s="297">
        <v>0.67789157202834893</v>
      </c>
      <c r="U68" s="297">
        <v>0.31226713040367288</v>
      </c>
      <c r="V68" s="449">
        <v>0.31527240804966311</v>
      </c>
      <c r="W68" s="297">
        <v>0.61864795993264576</v>
      </c>
      <c r="X68" s="297">
        <v>0.68051434718952419</v>
      </c>
      <c r="Y68" s="307">
        <v>0.30664364568614305</v>
      </c>
    </row>
    <row r="69" spans="18:25">
      <c r="R69" s="454">
        <v>890</v>
      </c>
      <c r="S69" s="455">
        <v>0.64275035855190055</v>
      </c>
      <c r="T69" s="455">
        <v>0.6363391222822895</v>
      </c>
      <c r="U69" s="455">
        <v>0.28117427945787515</v>
      </c>
      <c r="V69" s="470">
        <v>0.28400716317572144</v>
      </c>
      <c r="W69" s="455">
        <v>0.58074556805531585</v>
      </c>
      <c r="X69" s="455">
        <v>0.63947228766186737</v>
      </c>
      <c r="Y69" s="456">
        <v>0.27713450384806265</v>
      </c>
    </row>
    <row r="70" spans="18:25">
      <c r="R70" s="303">
        <v>900</v>
      </c>
      <c r="S70" s="297">
        <v>0.59796118366798157</v>
      </c>
      <c r="T70" s="297">
        <v>0.59199670558167006</v>
      </c>
      <c r="U70" s="297">
        <v>0.25127313338262353</v>
      </c>
      <c r="V70" s="449">
        <v>0.25380475743324543</v>
      </c>
      <c r="W70" s="297">
        <v>0.54057628961713033</v>
      </c>
      <c r="X70" s="297">
        <v>0.59512471687595225</v>
      </c>
      <c r="Y70" s="307">
        <v>0.24849211521937986</v>
      </c>
    </row>
    <row r="71" spans="18:25">
      <c r="R71" s="303">
        <v>910</v>
      </c>
      <c r="S71" s="297">
        <v>0.55082169590670516</v>
      </c>
      <c r="T71" s="297">
        <v>0.54532741964859155</v>
      </c>
      <c r="U71" s="297">
        <v>0.22271411836099661</v>
      </c>
      <c r="V71" s="449">
        <v>0.22495800496703972</v>
      </c>
      <c r="W71" s="297">
        <v>0.49845153682762655</v>
      </c>
      <c r="X71" s="297">
        <v>0.54829919194170462</v>
      </c>
      <c r="Y71" s="307">
        <v>0.22098402244128942</v>
      </c>
    </row>
    <row r="72" spans="18:25">
      <c r="R72" s="303">
        <v>920</v>
      </c>
      <c r="S72" s="297">
        <v>0.5016994251365765</v>
      </c>
      <c r="T72" s="297">
        <v>0.49691706540932884</v>
      </c>
      <c r="U72" s="297">
        <v>0.19563517797432589</v>
      </c>
      <c r="V72" s="449">
        <v>0.19751798269468029</v>
      </c>
      <c r="W72" s="297">
        <v>0.45483453127189954</v>
      </c>
      <c r="X72" s="297">
        <v>0.49939110450452812</v>
      </c>
      <c r="Y72" s="307">
        <v>0.19467097537285061</v>
      </c>
    </row>
    <row r="73" spans="18:25">
      <c r="R73" s="303">
        <v>930</v>
      </c>
      <c r="S73" s="297">
        <v>0.45172688394986016</v>
      </c>
      <c r="T73" s="297">
        <v>0.44742087850261691</v>
      </c>
      <c r="U73" s="297">
        <v>0.17015090895020721</v>
      </c>
      <c r="V73" s="449">
        <v>0.17178845153258515</v>
      </c>
      <c r="W73" s="297">
        <v>0.41023978846242903</v>
      </c>
      <c r="X73" s="297">
        <v>0.44956660134195275</v>
      </c>
      <c r="Y73" s="307">
        <v>0.16986161753917658</v>
      </c>
    </row>
    <row r="74" spans="18:25">
      <c r="R74" s="303">
        <v>940</v>
      </c>
      <c r="S74" s="297">
        <v>0.40155736786419333</v>
      </c>
      <c r="T74" s="297">
        <v>0.39755195716791508</v>
      </c>
      <c r="U74" s="297">
        <v>0.14635577376007269</v>
      </c>
      <c r="V74" s="449">
        <v>0.14783033569118922</v>
      </c>
      <c r="W74" s="297">
        <v>0.36524439369951284</v>
      </c>
      <c r="X74" s="297">
        <v>0.39951124331469529</v>
      </c>
      <c r="Y74" s="307">
        <v>0.14663163726298206</v>
      </c>
    </row>
    <row r="75" spans="18:25">
      <c r="R75" s="303">
        <v>950</v>
      </c>
      <c r="S75" s="297">
        <v>0.35156475615026078</v>
      </c>
      <c r="T75" s="297">
        <v>0.34805800631222777</v>
      </c>
      <c r="U75" s="297">
        <v>0.12432472370329477</v>
      </c>
      <c r="V75" s="449">
        <v>0.12557731866391444</v>
      </c>
      <c r="W75" s="297">
        <v>0.3204729882149725</v>
      </c>
      <c r="X75" s="297">
        <v>0.34962755043608756</v>
      </c>
      <c r="Y75" s="307">
        <v>0.1249340338554286</v>
      </c>
    </row>
    <row r="76" spans="18:25">
      <c r="R76" s="303">
        <v>960</v>
      </c>
      <c r="S76" s="297">
        <v>0.30271054646275836</v>
      </c>
      <c r="T76" s="297">
        <v>0.29969110227442952</v>
      </c>
      <c r="U76" s="297">
        <v>0.10411246154717098</v>
      </c>
      <c r="V76" s="449">
        <v>0.10516141416727029</v>
      </c>
      <c r="W76" s="297">
        <v>0.2765589178539532</v>
      </c>
      <c r="X76" s="297">
        <v>0.30090203923146713</v>
      </c>
      <c r="Y76" s="307">
        <v>0.10491569932203401</v>
      </c>
    </row>
    <row r="77" spans="18:25">
      <c r="R77" s="303">
        <v>970</v>
      </c>
      <c r="S77" s="297">
        <v>0.25564639629813107</v>
      </c>
      <c r="T77" s="297">
        <v>0.25320949290774081</v>
      </c>
      <c r="U77" s="297">
        <v>8.5761194114456485E-2</v>
      </c>
      <c r="V77" s="449">
        <v>8.6586565005182081E-2</v>
      </c>
      <c r="W77" s="297">
        <v>0.23419608749807486</v>
      </c>
      <c r="X77" s="297">
        <v>0.25398870348537833</v>
      </c>
      <c r="Y77" s="307">
        <v>8.6610391532522396E-2</v>
      </c>
    </row>
    <row r="78" spans="18:25">
      <c r="R78" s="303">
        <v>980</v>
      </c>
      <c r="S78" s="297">
        <v>0.21134493194475062</v>
      </c>
      <c r="T78" s="297">
        <v>0.20933032431227161</v>
      </c>
      <c r="U78" s="297">
        <v>6.9295335579313722E-2</v>
      </c>
      <c r="V78" s="449">
        <v>6.9962238057069526E-2</v>
      </c>
      <c r="W78" s="297">
        <v>0.19404702559257572</v>
      </c>
      <c r="X78" s="297">
        <v>0.20986076941215961</v>
      </c>
      <c r="Y78" s="307">
        <v>7.0152142143640725E-2</v>
      </c>
    </row>
    <row r="79" spans="18:25">
      <c r="R79" s="303">
        <v>990</v>
      </c>
      <c r="S79" s="297">
        <v>0.17041006131389</v>
      </c>
      <c r="T79" s="297">
        <v>0.16871027359496329</v>
      </c>
      <c r="U79" s="297">
        <v>5.472300954264131E-2</v>
      </c>
      <c r="V79" s="449">
        <v>5.5274354150063411E-2</v>
      </c>
      <c r="W79" s="297">
        <v>0.15672147318678897</v>
      </c>
      <c r="X79" s="297">
        <v>0.1691246638416587</v>
      </c>
      <c r="Y79" s="307">
        <v>5.5546038598075283E-2</v>
      </c>
    </row>
    <row r="80" spans="18:25">
      <c r="R80" s="303">
        <v>1000</v>
      </c>
      <c r="S80" s="297">
        <v>0.13327634370970631</v>
      </c>
      <c r="T80" s="297">
        <v>0.13194695335261977</v>
      </c>
      <c r="U80" s="297">
        <v>4.2042370548058379E-2</v>
      </c>
      <c r="V80" s="449">
        <v>4.2465955334031295E-2</v>
      </c>
      <c r="W80" s="297">
        <v>0.12280602396171264</v>
      </c>
      <c r="X80" s="297">
        <v>0.13220555614341617</v>
      </c>
      <c r="Y80" s="307">
        <v>4.275840718319731E-2</v>
      </c>
    </row>
    <row r="81" spans="18:25">
      <c r="R81" s="303">
        <v>1010</v>
      </c>
      <c r="S81" s="297">
        <v>0.10055818656687217</v>
      </c>
      <c r="T81" s="297">
        <v>9.9555149720068473E-2</v>
      </c>
      <c r="U81" s="297">
        <v>3.1240432653671848E-2</v>
      </c>
      <c r="V81" s="449">
        <v>3.1555185884919366E-2</v>
      </c>
      <c r="W81" s="297">
        <v>9.2815662905144855E-2</v>
      </c>
      <c r="X81" s="297">
        <v>9.9705239299375081E-2</v>
      </c>
      <c r="Y81" s="307">
        <v>3.1827454781953479E-2</v>
      </c>
    </row>
    <row r="82" spans="18:25">
      <c r="R82" s="303">
        <v>1020</v>
      </c>
      <c r="S82" s="297">
        <v>7.2683823320237012E-2</v>
      </c>
      <c r="T82" s="297">
        <v>7.1958824635935115E-2</v>
      </c>
      <c r="U82" s="297">
        <v>2.2295072983894704E-2</v>
      </c>
      <c r="V82" s="449">
        <v>2.2519700035010637E-2</v>
      </c>
      <c r="W82" s="297">
        <v>6.7183007710251125E-2</v>
      </c>
      <c r="X82" s="297">
        <v>7.203934689254804E-2</v>
      </c>
      <c r="Y82" s="307">
        <v>2.2747588062323961E-2</v>
      </c>
    </row>
    <row r="83" spans="18:25">
      <c r="R83" s="303">
        <v>1030</v>
      </c>
      <c r="S83" s="297">
        <v>4.9984069155819454E-2</v>
      </c>
      <c r="T83" s="297">
        <v>4.9485493506952416E-2</v>
      </c>
      <c r="U83" s="297">
        <v>1.5176658594209465E-2</v>
      </c>
      <c r="V83" s="449">
        <v>1.5329566282301501E-2</v>
      </c>
      <c r="W83" s="297">
        <v>4.6252293040768978E-2</v>
      </c>
      <c r="X83" s="297">
        <v>4.9525528210196665E-2</v>
      </c>
      <c r="Y83" s="307">
        <v>1.5503450145367241E-2</v>
      </c>
    </row>
    <row r="84" spans="18:25">
      <c r="R84" s="303">
        <v>1040</v>
      </c>
      <c r="S84" s="297">
        <v>3.2552494188295533E-2</v>
      </c>
      <c r="T84" s="297">
        <v>3.221340570716745E-2</v>
      </c>
      <c r="U84" s="297">
        <v>9.8033172311239036E-3</v>
      </c>
      <c r="V84" s="449">
        <v>9.9065100440831038E-3</v>
      </c>
      <c r="W84" s="297">
        <v>3.0132490137142739E-2</v>
      </c>
      <c r="X84" s="297">
        <v>3.2246429324666703E-2</v>
      </c>
      <c r="Y84" s="307">
        <v>1.0028503842749987E-2</v>
      </c>
    </row>
    <row r="85" spans="18:25">
      <c r="R85" s="303">
        <v>1050</v>
      </c>
      <c r="S85" s="297">
        <v>1.9294818564419228E-2</v>
      </c>
      <c r="T85" s="297">
        <v>1.9093830871039861E-2</v>
      </c>
      <c r="U85" s="297">
        <v>5.776889325343741E-3</v>
      </c>
      <c r="V85" s="449">
        <v>5.8376986866631496E-3</v>
      </c>
      <c r="W85" s="297">
        <v>1.7869695070177091E-2</v>
      </c>
      <c r="X85" s="297">
        <v>1.9110326624403439E-2</v>
      </c>
      <c r="Y85" s="307">
        <v>5.9140253583352589E-3</v>
      </c>
    </row>
    <row r="86" spans="18:25">
      <c r="R86" s="303">
        <v>1060</v>
      </c>
      <c r="S86" s="297">
        <v>1.0031598338514015E-2</v>
      </c>
      <c r="T86" s="297">
        <v>9.9271025224878257E-3</v>
      </c>
      <c r="U86" s="297">
        <v>2.9912861913663222E-3</v>
      </c>
      <c r="V86" s="449">
        <v>3.0227734144333365E-3</v>
      </c>
      <c r="W86" s="297">
        <v>9.2935440205274677E-3</v>
      </c>
      <c r="X86" s="297">
        <v>9.9346023062775665E-3</v>
      </c>
      <c r="Y86" s="307">
        <v>3.0641233829380794E-3</v>
      </c>
    </row>
    <row r="87" spans="18:25">
      <c r="R87" s="303">
        <v>1070</v>
      </c>
      <c r="S87" s="297">
        <v>4.7530166602745162E-3</v>
      </c>
      <c r="T87" s="297">
        <v>4.7035060700633229E-3</v>
      </c>
      <c r="U87" s="297">
        <v>1.4140083536167099E-3</v>
      </c>
      <c r="V87" s="449">
        <v>1.4288926520758334E-3</v>
      </c>
      <c r="W87" s="297">
        <v>4.4037009028545229E-3</v>
      </c>
      <c r="X87" s="297">
        <v>4.7068576060243792E-3</v>
      </c>
      <c r="Y87" s="307">
        <v>1.4490581513523556E-3</v>
      </c>
    </row>
    <row r="88" spans="18:25">
      <c r="R88" s="303">
        <v>1080</v>
      </c>
      <c r="S88" s="297">
        <v>2.1283359968486534E-3</v>
      </c>
      <c r="T88" s="297">
        <v>2.1061658302148132E-3</v>
      </c>
      <c r="U88" s="297">
        <v>6.3244426069142008E-4</v>
      </c>
      <c r="V88" s="449">
        <v>6.3910156869869815E-4</v>
      </c>
      <c r="W88" s="297">
        <v>1.9717557952172687E-3</v>
      </c>
      <c r="X88" s="297">
        <v>2.1076681732903925E-3</v>
      </c>
      <c r="Y88" s="307">
        <v>6.4831541439097997E-4</v>
      </c>
    </row>
    <row r="89" spans="18:25">
      <c r="R89" s="303">
        <v>1090</v>
      </c>
      <c r="S89" s="297">
        <v>6.0222660159116293E-4</v>
      </c>
      <c r="T89" s="297">
        <v>5.9595340782458831E-4</v>
      </c>
      <c r="U89" s="297">
        <v>1.7883378985109001E-4</v>
      </c>
      <c r="V89" s="449">
        <v>1.8071625079689094E-4</v>
      </c>
      <c r="W89" s="297">
        <v>5.5785325127586955E-4</v>
      </c>
      <c r="X89" s="297">
        <v>5.9638494793707491E-4</v>
      </c>
      <c r="Y89" s="307">
        <v>1.833718804986255E-4</v>
      </c>
    </row>
    <row r="90" spans="18:25">
      <c r="R90" s="303">
        <v>1100</v>
      </c>
      <c r="S90" s="297">
        <v>5.0534528732088339E-5</v>
      </c>
      <c r="T90" s="297">
        <v>5.0008127391129085E-5</v>
      </c>
      <c r="U90" s="297">
        <v>1.5002775957711261E-5</v>
      </c>
      <c r="V90" s="449">
        <v>1.5160699915160852E-5</v>
      </c>
      <c r="W90" s="297">
        <v>4.6803826546344754E-5</v>
      </c>
      <c r="X90" s="297">
        <v>5.0045295755196544E-5</v>
      </c>
      <c r="Y90" s="307">
        <v>1.5387377108887872E-5</v>
      </c>
    </row>
  </sheetData>
  <conditionalFormatting sqref="T9">
    <cfRule type="cellIs" dxfId="7" priority="1" stopIfTrue="1" operator="equal">
      <formula>16000</formula>
    </cfRule>
  </conditionalFormatting>
  <pageMargins left="0.7" right="0.7" top="0.75" bottom="0.75" header="0.3" footer="0.3"/>
  <pageSetup orientation="portrait" horizontalDpi="4294967295" verticalDpi="4294967295" r:id="rId1"/>
  <ignoredErrors>
    <ignoredError sqref="E47"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opLeftCell="A4" zoomScale="85" zoomScaleNormal="85" workbookViewId="0">
      <selection activeCell="K19" sqref="K19"/>
    </sheetView>
  </sheetViews>
  <sheetFormatPr defaultColWidth="10.7109375" defaultRowHeight="18.75"/>
  <cols>
    <col min="1" max="1" width="46" style="527" customWidth="1"/>
    <col min="2" max="3" width="27.7109375" style="527" customWidth="1"/>
    <col min="4" max="4" width="25.7109375" style="527" customWidth="1"/>
    <col min="5" max="5" width="79.140625" style="527" customWidth="1"/>
    <col min="6" max="10" width="10.7109375" style="527"/>
    <col min="11" max="12" width="11.28515625" style="527" bestFit="1" customWidth="1"/>
    <col min="13" max="16384" width="10.7109375" style="527"/>
  </cols>
  <sheetData>
    <row r="1" spans="1:5" s="524" customFormat="1">
      <c r="A1" s="524" t="s">
        <v>624</v>
      </c>
      <c r="C1" s="524" t="s">
        <v>625</v>
      </c>
    </row>
    <row r="3" spans="1:5" s="525" customFormat="1">
      <c r="A3" s="525" t="s">
        <v>626</v>
      </c>
      <c r="B3" s="525" t="s">
        <v>627</v>
      </c>
      <c r="C3" s="525" t="s">
        <v>628</v>
      </c>
      <c r="D3" s="525" t="s">
        <v>629</v>
      </c>
      <c r="E3" s="525" t="s">
        <v>53</v>
      </c>
    </row>
    <row r="4" spans="1:5" s="526" customFormat="1">
      <c r="A4" s="525"/>
      <c r="B4" s="525"/>
      <c r="C4" s="525"/>
      <c r="D4" s="525"/>
      <c r="E4" s="525"/>
    </row>
    <row r="5" spans="1:5">
      <c r="A5" s="524" t="s">
        <v>630</v>
      </c>
      <c r="B5" s="526"/>
      <c r="C5" s="526"/>
      <c r="D5" s="524" t="s">
        <v>631</v>
      </c>
      <c r="E5" s="526"/>
    </row>
    <row r="6" spans="1:5" ht="93.75">
      <c r="A6" s="527" t="s">
        <v>632</v>
      </c>
      <c r="B6" s="527">
        <v>0.01</v>
      </c>
      <c r="C6" s="527">
        <f>B6*2</f>
        <v>0.02</v>
      </c>
      <c r="E6" s="528" t="s">
        <v>633</v>
      </c>
    </row>
    <row r="7" spans="1:5">
      <c r="A7" s="527" t="s">
        <v>634</v>
      </c>
      <c r="B7" s="527">
        <v>3</v>
      </c>
      <c r="C7" s="527">
        <v>2.8</v>
      </c>
      <c r="E7" s="527" t="s">
        <v>635</v>
      </c>
    </row>
    <row r="8" spans="1:5">
      <c r="A8" s="527" t="s">
        <v>636</v>
      </c>
      <c r="B8" s="527">
        <v>10</v>
      </c>
      <c r="C8" s="527">
        <v>10</v>
      </c>
    </row>
    <row r="9" spans="1:5" ht="56.25">
      <c r="A9" s="527" t="s">
        <v>637</v>
      </c>
      <c r="B9" s="529">
        <v>6E-9</v>
      </c>
      <c r="C9" s="529">
        <v>2.0000000000000001E-9</v>
      </c>
      <c r="D9" s="529"/>
      <c r="E9" s="528" t="s">
        <v>638</v>
      </c>
    </row>
    <row r="10" spans="1:5">
      <c r="A10" s="527" t="s">
        <v>639</v>
      </c>
      <c r="B10" s="529">
        <v>3E-9</v>
      </c>
      <c r="C10" s="529">
        <v>1.0000000000000001E-9</v>
      </c>
      <c r="E10" s="527" t="s">
        <v>640</v>
      </c>
    </row>
    <row r="11" spans="1:5">
      <c r="A11" s="527" t="s">
        <v>641</v>
      </c>
      <c r="B11" s="529">
        <v>2.0000000000000001E-9</v>
      </c>
      <c r="C11" s="529">
        <v>1.0000000000000001E-9</v>
      </c>
      <c r="E11" s="527" t="s">
        <v>642</v>
      </c>
    </row>
    <row r="12" spans="1:5" ht="37.5">
      <c r="A12" s="527" t="s">
        <v>643</v>
      </c>
      <c r="B12" s="530" t="s">
        <v>644</v>
      </c>
      <c r="C12" s="530" t="s">
        <v>645</v>
      </c>
      <c r="D12" s="531"/>
      <c r="E12" s="528" t="s">
        <v>646</v>
      </c>
    </row>
    <row r="13" spans="1:5" ht="37.5">
      <c r="A13" s="527" t="s">
        <v>647</v>
      </c>
      <c r="B13" s="530" t="s">
        <v>648</v>
      </c>
      <c r="C13" s="530" t="s">
        <v>649</v>
      </c>
      <c r="E13" s="528" t="s">
        <v>650</v>
      </c>
    </row>
    <row r="14" spans="1:5" hidden="1"/>
    <row r="15" spans="1:5" s="526" customFormat="1">
      <c r="A15" s="527"/>
      <c r="B15" s="527"/>
      <c r="C15" s="527"/>
      <c r="D15" s="527"/>
      <c r="E15" s="527"/>
    </row>
    <row r="16" spans="1:5">
      <c r="A16" s="524" t="s">
        <v>651</v>
      </c>
      <c r="B16" s="526"/>
      <c r="C16" s="526"/>
      <c r="D16" s="524" t="s">
        <v>652</v>
      </c>
      <c r="E16" s="526"/>
    </row>
    <row r="17" spans="1:5" ht="37.5">
      <c r="A17" s="527" t="s">
        <v>632</v>
      </c>
      <c r="B17" s="531" t="s">
        <v>653</v>
      </c>
      <c r="C17" s="527">
        <f>0.009*2</f>
        <v>1.7999999999999999E-2</v>
      </c>
      <c r="E17" s="528" t="s">
        <v>654</v>
      </c>
    </row>
    <row r="18" spans="1:5">
      <c r="A18" s="527" t="s">
        <v>634</v>
      </c>
      <c r="B18" s="531" t="s">
        <v>653</v>
      </c>
      <c r="C18" s="527">
        <v>2.8</v>
      </c>
      <c r="E18" s="527" t="s">
        <v>635</v>
      </c>
    </row>
    <row r="19" spans="1:5">
      <c r="A19" s="527" t="s">
        <v>636</v>
      </c>
      <c r="B19" s="531" t="s">
        <v>653</v>
      </c>
      <c r="C19" s="527">
        <v>18</v>
      </c>
    </row>
    <row r="20" spans="1:5">
      <c r="A20" s="527" t="s">
        <v>637</v>
      </c>
      <c r="B20" s="531" t="s">
        <v>653</v>
      </c>
      <c r="C20" s="529">
        <v>6E-9</v>
      </c>
      <c r="D20" s="529"/>
      <c r="E20" s="527" t="s">
        <v>642</v>
      </c>
    </row>
    <row r="21" spans="1:5">
      <c r="A21" s="527" t="s">
        <v>639</v>
      </c>
      <c r="B21" s="531" t="s">
        <v>653</v>
      </c>
      <c r="C21" s="529">
        <v>4.0000000000000002E-9</v>
      </c>
      <c r="E21" s="527" t="s">
        <v>642</v>
      </c>
    </row>
    <row r="22" spans="1:5">
      <c r="A22" s="527" t="s">
        <v>641</v>
      </c>
      <c r="B22" s="531" t="s">
        <v>653</v>
      </c>
      <c r="C22" s="529">
        <v>4.0000000000000002E-9</v>
      </c>
      <c r="E22" s="527" t="s">
        <v>642</v>
      </c>
    </row>
    <row r="23" spans="1:5">
      <c r="A23" s="527" t="s">
        <v>643</v>
      </c>
      <c r="B23" s="531" t="s">
        <v>653</v>
      </c>
      <c r="C23" s="530" t="s">
        <v>645</v>
      </c>
      <c r="D23" s="531"/>
      <c r="E23" s="528"/>
    </row>
    <row r="24" spans="1:5" ht="37.5">
      <c r="A24" s="527" t="s">
        <v>647</v>
      </c>
      <c r="B24" s="531" t="s">
        <v>653</v>
      </c>
      <c r="C24" s="530" t="s">
        <v>649</v>
      </c>
      <c r="E24" s="528" t="s">
        <v>655</v>
      </c>
    </row>
    <row r="26" spans="1:5" s="526" customFormat="1" hidden="1">
      <c r="A26" s="527"/>
      <c r="B26" s="527"/>
      <c r="C26" s="527"/>
      <c r="D26" s="527"/>
      <c r="E26" s="527"/>
    </row>
    <row r="27" spans="1:5" ht="56.25">
      <c r="A27" s="524" t="s">
        <v>656</v>
      </c>
      <c r="B27" s="526"/>
      <c r="C27" s="526"/>
      <c r="D27" s="524" t="s">
        <v>652</v>
      </c>
      <c r="E27" s="532" t="s">
        <v>657</v>
      </c>
    </row>
    <row r="28" spans="1:5" ht="37.5">
      <c r="A28" s="527" t="s">
        <v>632</v>
      </c>
      <c r="B28" s="531" t="s">
        <v>653</v>
      </c>
      <c r="C28" s="527">
        <f>0.009*2</f>
        <v>1.7999999999999999E-2</v>
      </c>
      <c r="E28" s="528" t="s">
        <v>654</v>
      </c>
    </row>
    <row r="29" spans="1:5">
      <c r="A29" s="527" t="s">
        <v>634</v>
      </c>
      <c r="B29" s="531" t="s">
        <v>653</v>
      </c>
      <c r="C29" s="527">
        <v>2.8</v>
      </c>
      <c r="E29" s="527" t="s">
        <v>635</v>
      </c>
    </row>
    <row r="30" spans="1:5">
      <c r="A30" s="527" t="s">
        <v>636</v>
      </c>
      <c r="B30" s="531" t="s">
        <v>653</v>
      </c>
      <c r="C30" s="527">
        <v>18</v>
      </c>
    </row>
    <row r="31" spans="1:5">
      <c r="A31" s="527" t="s">
        <v>637</v>
      </c>
      <c r="B31" s="531" t="s">
        <v>653</v>
      </c>
      <c r="C31" s="529">
        <v>6.9999999999999998E-9</v>
      </c>
      <c r="D31" s="529"/>
      <c r="E31" s="527" t="s">
        <v>642</v>
      </c>
    </row>
    <row r="32" spans="1:5">
      <c r="A32" s="527" t="s">
        <v>639</v>
      </c>
      <c r="B32" s="531" t="s">
        <v>653</v>
      </c>
      <c r="C32" s="529">
        <v>5.0000000000000001E-9</v>
      </c>
      <c r="E32" s="527" t="s">
        <v>642</v>
      </c>
    </row>
    <row r="33" spans="1:5">
      <c r="A33" s="527" t="s">
        <v>641</v>
      </c>
      <c r="B33" s="531" t="s">
        <v>653</v>
      </c>
      <c r="C33" s="529">
        <v>4.0000000000000002E-9</v>
      </c>
      <c r="E33" s="527" t="s">
        <v>642</v>
      </c>
    </row>
    <row r="34" spans="1:5">
      <c r="A34" s="527" t="s">
        <v>643</v>
      </c>
      <c r="B34" s="531" t="s">
        <v>653</v>
      </c>
      <c r="C34" s="530" t="s">
        <v>645</v>
      </c>
      <c r="D34" s="531"/>
      <c r="E34" s="528"/>
    </row>
    <row r="35" spans="1:5" ht="37.5">
      <c r="A35" s="527" t="s">
        <v>647</v>
      </c>
      <c r="B35" s="531" t="s">
        <v>653</v>
      </c>
      <c r="C35" s="530" t="s">
        <v>649</v>
      </c>
      <c r="E35" s="528" t="s">
        <v>655</v>
      </c>
    </row>
    <row r="36" spans="1:5" s="524" customFormat="1"/>
    <row r="37" spans="1:5" s="526" customFormat="1">
      <c r="A37" s="524"/>
      <c r="D37" s="524"/>
    </row>
    <row r="38" spans="1:5">
      <c r="B38" s="531"/>
      <c r="E38" s="528"/>
    </row>
    <row r="39" spans="1:5">
      <c r="B39" s="531"/>
    </row>
    <row r="40" spans="1:5">
      <c r="B40" s="531"/>
    </row>
    <row r="41" spans="1:5">
      <c r="B41" s="531"/>
      <c r="C41" s="529"/>
      <c r="D41" s="529"/>
    </row>
    <row r="42" spans="1:5">
      <c r="B42" s="531"/>
      <c r="C42" s="529"/>
    </row>
    <row r="43" spans="1:5">
      <c r="B43" s="531"/>
      <c r="C43" s="529"/>
    </row>
    <row r="44" spans="1:5">
      <c r="B44" s="531"/>
      <c r="C44" s="530"/>
      <c r="D44" s="531"/>
      <c r="E44" s="528"/>
    </row>
    <row r="45" spans="1:5">
      <c r="B45" s="531"/>
      <c r="C45" s="530"/>
      <c r="E45" s="528"/>
    </row>
    <row r="48" spans="1:5" s="526" customFormat="1">
      <c r="A48" s="524"/>
      <c r="D48" s="524"/>
    </row>
    <row r="49" spans="2:5">
      <c r="B49" s="531"/>
      <c r="E49" s="528"/>
    </row>
    <row r="50" spans="2:5">
      <c r="B50" s="531"/>
    </row>
    <row r="51" spans="2:5">
      <c r="B51" s="531"/>
    </row>
    <row r="52" spans="2:5">
      <c r="B52" s="531"/>
      <c r="C52" s="529"/>
      <c r="D52" s="529"/>
      <c r="E52" s="528"/>
    </row>
    <row r="53" spans="2:5">
      <c r="B53" s="531"/>
      <c r="C53" s="529"/>
    </row>
    <row r="54" spans="2:5">
      <c r="B54" s="531"/>
      <c r="C54" s="529"/>
    </row>
    <row r="55" spans="2:5">
      <c r="B55" s="531"/>
      <c r="C55" s="530"/>
      <c r="D55" s="531"/>
      <c r="E55" s="528"/>
    </row>
    <row r="56" spans="2:5">
      <c r="B56" s="531"/>
      <c r="C56" s="530"/>
      <c r="E56" s="528"/>
    </row>
  </sheetData>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Z42" sqref="Z4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K96"/>
  <sheetViews>
    <sheetView topLeftCell="X1" zoomScale="145" zoomScaleNormal="145" workbookViewId="0">
      <selection activeCell="BB61" sqref="BB61"/>
    </sheetView>
  </sheetViews>
  <sheetFormatPr defaultRowHeight="15"/>
  <cols>
    <col min="2" max="2" width="4.28515625" bestFit="1" customWidth="1"/>
    <col min="3" max="3" width="9.28515625" style="186" customWidth="1"/>
    <col min="4" max="4" width="12.5703125" style="186" bestFit="1" customWidth="1"/>
    <col min="5" max="5" width="12" style="186" bestFit="1" customWidth="1"/>
    <col min="6" max="6" width="12.28515625" style="186" bestFit="1" customWidth="1"/>
    <col min="7" max="7" width="14.140625" style="186" bestFit="1" customWidth="1"/>
    <col min="8" max="8" width="12.28515625" style="186" customWidth="1"/>
    <col min="9" max="10" width="12.28515625" customWidth="1"/>
    <col min="11" max="11" width="13.28515625" customWidth="1"/>
    <col min="12" max="12" width="12.28515625" customWidth="1"/>
    <col min="17" max="17" width="12.85546875" customWidth="1"/>
    <col min="18" max="20" width="11.7109375" customWidth="1"/>
    <col min="21" max="21" width="12.85546875" customWidth="1"/>
    <col min="22" max="23" width="11.7109375" customWidth="1"/>
    <col min="30" max="63" width="9.140625" style="708"/>
  </cols>
  <sheetData>
    <row r="2" spans="2:63">
      <c r="G2" s="680" t="s">
        <v>260</v>
      </c>
      <c r="H2" s="678">
        <v>1.000000000000008</v>
      </c>
      <c r="K2" s="680" t="s">
        <v>260</v>
      </c>
      <c r="L2" s="678">
        <v>1.5E-10</v>
      </c>
    </row>
    <row r="3" spans="2:63" s="306" customFormat="1">
      <c r="G3" s="680" t="s">
        <v>69</v>
      </c>
      <c r="H3" s="678">
        <v>1.7416636846933037E-8</v>
      </c>
      <c r="K3" s="680" t="s">
        <v>323</v>
      </c>
      <c r="L3" s="684">
        <v>2</v>
      </c>
      <c r="M3" s="685"/>
      <c r="N3" s="685"/>
      <c r="AD3" s="728"/>
      <c r="AE3" s="728"/>
      <c r="AF3" s="728"/>
      <c r="AG3" s="728"/>
      <c r="AH3" s="728"/>
      <c r="AI3" s="728"/>
      <c r="AJ3" s="728"/>
      <c r="AK3" s="728"/>
      <c r="AL3" s="728"/>
      <c r="AM3" s="728"/>
      <c r="AN3" s="728"/>
      <c r="AO3" s="728"/>
      <c r="AP3" s="728"/>
      <c r="AQ3" s="728"/>
      <c r="AR3" s="728"/>
      <c r="AS3" s="728"/>
      <c r="AT3" s="728"/>
      <c r="AU3" s="728"/>
      <c r="AV3" s="728"/>
      <c r="AW3" s="728"/>
      <c r="AX3" s="728"/>
      <c r="AY3" s="728"/>
      <c r="AZ3" s="728"/>
      <c r="BA3" s="728"/>
      <c r="BB3" s="728"/>
      <c r="BC3" s="728"/>
      <c r="BD3" s="728"/>
      <c r="BE3" s="728"/>
      <c r="BF3" s="728"/>
      <c r="BG3" s="728"/>
      <c r="BH3" s="728"/>
      <c r="BI3" s="728"/>
      <c r="BJ3" s="728"/>
      <c r="BK3" s="728"/>
    </row>
    <row r="4" spans="2:63" s="306" customFormat="1">
      <c r="G4" s="680" t="s">
        <v>323</v>
      </c>
      <c r="H4" s="678">
        <v>1.9999999917979723</v>
      </c>
      <c r="K4" s="680" t="s">
        <v>324</v>
      </c>
      <c r="L4" s="186">
        <v>5</v>
      </c>
      <c r="AD4" s="728"/>
      <c r="AE4" s="728"/>
      <c r="AF4" s="728"/>
      <c r="AG4" s="728"/>
      <c r="AH4" s="728"/>
      <c r="AI4" s="728"/>
      <c r="AJ4" s="728"/>
      <c r="AK4" s="728"/>
      <c r="AL4" s="728"/>
      <c r="AM4" s="728"/>
      <c r="AN4" s="728"/>
      <c r="AO4" s="728"/>
      <c r="AP4" s="728"/>
      <c r="AQ4" s="728"/>
      <c r="AR4" s="728"/>
      <c r="AS4" s="728"/>
      <c r="AT4" s="728"/>
      <c r="AU4" s="728"/>
      <c r="AV4" s="728"/>
      <c r="AW4" s="728"/>
      <c r="AX4" s="728"/>
      <c r="AY4" s="728"/>
      <c r="AZ4" s="728"/>
      <c r="BA4" s="728"/>
      <c r="BB4" s="728"/>
      <c r="BC4" s="728"/>
      <c r="BD4" s="728"/>
      <c r="BE4" s="728"/>
      <c r="BF4" s="728"/>
      <c r="BG4" s="728"/>
      <c r="BH4" s="728"/>
      <c r="BI4" s="728"/>
      <c r="BJ4" s="728"/>
      <c r="BK4" s="728"/>
    </row>
    <row r="5" spans="2:63" s="306" customFormat="1">
      <c r="B5" s="306" t="s">
        <v>163</v>
      </c>
      <c r="E5" s="306" t="s">
        <v>700</v>
      </c>
      <c r="G5" s="680" t="s">
        <v>324</v>
      </c>
      <c r="H5" s="678">
        <v>1</v>
      </c>
      <c r="K5" s="680" t="s">
        <v>69</v>
      </c>
      <c r="L5" s="686">
        <v>1</v>
      </c>
      <c r="AD5" s="728"/>
      <c r="AE5" s="728"/>
      <c r="AF5" s="728"/>
      <c r="AG5" s="728"/>
      <c r="AH5" s="728"/>
      <c r="AI5" s="728"/>
      <c r="AJ5" s="728"/>
      <c r="AK5" s="728"/>
      <c r="AL5" s="728"/>
      <c r="AM5" s="728"/>
      <c r="AN5" s="728"/>
      <c r="AO5" s="728"/>
      <c r="AP5" s="728"/>
      <c r="AQ5" s="728"/>
      <c r="AR5" s="728"/>
      <c r="AS5" s="728"/>
      <c r="AT5" s="728"/>
      <c r="AU5" s="728"/>
      <c r="AV5" s="728"/>
      <c r="AW5" s="728"/>
      <c r="AX5" s="728"/>
      <c r="AY5" s="728"/>
      <c r="AZ5" s="728"/>
      <c r="BA5" s="728"/>
      <c r="BB5" s="728"/>
      <c r="BC5" s="728"/>
      <c r="BD5" s="728"/>
      <c r="BE5" s="728"/>
      <c r="BF5" s="728"/>
      <c r="BG5" s="728"/>
      <c r="BH5" s="728"/>
      <c r="BI5" s="728"/>
      <c r="BJ5" s="728"/>
      <c r="BK5" s="728"/>
    </row>
    <row r="6" spans="2:63" s="306" customFormat="1">
      <c r="E6" s="679">
        <f>C12-C11</f>
        <v>0.29999999999999982</v>
      </c>
      <c r="G6" s="680" t="s">
        <v>760</v>
      </c>
      <c r="H6" s="678">
        <v>1.0000000000000001E-9</v>
      </c>
      <c r="K6" s="680" t="s">
        <v>760</v>
      </c>
      <c r="L6" s="678">
        <v>1.5E-10</v>
      </c>
      <c r="AD6" s="728"/>
      <c r="AE6" s="728"/>
      <c r="AF6" s="728"/>
      <c r="AG6" s="728"/>
      <c r="AH6" s="728"/>
      <c r="AI6" s="728"/>
      <c r="AJ6" s="728"/>
      <c r="AK6" s="728"/>
      <c r="AL6" s="728"/>
      <c r="AM6" s="728"/>
      <c r="AN6" s="728"/>
      <c r="AO6" s="728"/>
      <c r="AP6" s="728"/>
      <c r="AQ6" s="728"/>
      <c r="AR6" s="728"/>
      <c r="AS6" s="728"/>
      <c r="AT6" s="728"/>
      <c r="AU6" s="728"/>
      <c r="AV6" s="728"/>
      <c r="AW6" s="728"/>
      <c r="AX6" s="728"/>
      <c r="AY6" s="728"/>
      <c r="AZ6" s="728"/>
      <c r="BA6" s="728"/>
      <c r="BB6" s="728"/>
      <c r="BC6" s="728"/>
      <c r="BD6" s="728"/>
      <c r="BE6" s="728"/>
      <c r="BF6" s="728"/>
      <c r="BG6" s="728"/>
      <c r="BH6" s="728"/>
      <c r="BI6" s="728"/>
      <c r="BJ6" s="728"/>
      <c r="BK6" s="728"/>
    </row>
    <row r="7" spans="2:63" s="306" customFormat="1">
      <c r="G7" s="306" t="s">
        <v>762</v>
      </c>
      <c r="H7" s="678">
        <f>SQRT(SUMSQ(I12:I32))</f>
        <v>4.732018590471426E-9</v>
      </c>
      <c r="K7" s="306" t="s">
        <v>762</v>
      </c>
      <c r="L7" s="678">
        <f>SQRT(SUMSQ(M11:M32))</f>
        <v>7.8361028546623394E-9</v>
      </c>
      <c r="AD7" s="728"/>
      <c r="AE7" s="728"/>
      <c r="AF7" s="728"/>
      <c r="AG7" s="728"/>
      <c r="AH7" s="728"/>
      <c r="AI7" s="728"/>
      <c r="AJ7" s="728"/>
      <c r="AK7" s="728"/>
      <c r="AL7" s="728"/>
      <c r="AM7" s="728"/>
      <c r="AN7" s="728"/>
      <c r="AO7" s="728"/>
      <c r="AP7" s="728"/>
      <c r="AQ7" s="728"/>
      <c r="AR7" s="728"/>
      <c r="AS7" s="728"/>
      <c r="AT7" s="728"/>
      <c r="AU7" s="728"/>
      <c r="AV7" s="728"/>
      <c r="AW7" s="728"/>
      <c r="AX7" s="728"/>
      <c r="AY7" s="728"/>
      <c r="AZ7" s="728"/>
      <c r="BA7" s="728"/>
      <c r="BB7" s="728"/>
      <c r="BC7" s="728"/>
      <c r="BD7" s="728"/>
      <c r="BE7" s="728"/>
      <c r="BF7" s="728"/>
      <c r="BG7" s="728"/>
      <c r="BH7" s="728"/>
      <c r="BI7" s="728"/>
      <c r="BJ7" s="728"/>
      <c r="BK7" s="728"/>
    </row>
    <row r="8" spans="2:63" s="306" customFormat="1">
      <c r="B8" s="306" t="s">
        <v>615</v>
      </c>
      <c r="AD8" s="728"/>
      <c r="AE8" s="728"/>
      <c r="AF8" s="728"/>
      <c r="AG8" s="728"/>
      <c r="AH8" s="728"/>
      <c r="AI8" s="728"/>
      <c r="AJ8" s="728"/>
      <c r="AK8" s="728"/>
      <c r="AL8" s="728"/>
      <c r="AM8" s="728"/>
      <c r="AN8" s="728"/>
      <c r="AO8" s="728"/>
      <c r="AP8" s="728"/>
      <c r="AQ8" s="728"/>
      <c r="AR8" s="728"/>
      <c r="AS8" s="728"/>
      <c r="AT8" s="728"/>
      <c r="AU8" s="728"/>
      <c r="AV8" s="728"/>
      <c r="AW8" s="728"/>
      <c r="AX8" s="728"/>
      <c r="AY8" s="728"/>
      <c r="AZ8" s="728"/>
      <c r="BA8" s="728"/>
      <c r="BB8" s="728"/>
      <c r="BC8" s="728"/>
      <c r="BD8" s="728"/>
      <c r="BE8" s="728"/>
      <c r="BF8" s="728"/>
      <c r="BG8" s="728"/>
      <c r="BH8" s="728"/>
      <c r="BI8" s="728"/>
      <c r="BJ8" s="728"/>
      <c r="BK8" s="728"/>
    </row>
    <row r="9" spans="2:63" s="306" customFormat="1">
      <c r="B9" s="306" t="s">
        <v>167</v>
      </c>
      <c r="G9" s="306" t="s">
        <v>701</v>
      </c>
      <c r="K9" s="306" t="s">
        <v>763</v>
      </c>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728"/>
      <c r="BF9" s="728"/>
      <c r="BG9" s="728"/>
      <c r="BH9" s="728"/>
      <c r="BI9" s="728"/>
      <c r="BJ9" s="728"/>
      <c r="BK9" s="728"/>
    </row>
    <row r="10" spans="2:63">
      <c r="C10" s="186" t="s">
        <v>169</v>
      </c>
      <c r="D10" s="186" t="s">
        <v>171</v>
      </c>
      <c r="G10" t="s">
        <v>738</v>
      </c>
      <c r="H10" s="186" t="s">
        <v>759</v>
      </c>
      <c r="I10" s="186" t="s">
        <v>761</v>
      </c>
      <c r="K10" t="s">
        <v>739</v>
      </c>
      <c r="L10" s="186" t="s">
        <v>759</v>
      </c>
      <c r="M10" s="186" t="s">
        <v>761</v>
      </c>
    </row>
    <row r="11" spans="2:63">
      <c r="C11" s="547">
        <v>2.7</v>
      </c>
      <c r="D11" s="683">
        <v>9.2502039000000006E-9</v>
      </c>
      <c r="E11" s="678"/>
      <c r="F11" s="678"/>
      <c r="G11"/>
      <c r="H11" s="678"/>
      <c r="I11" s="678"/>
      <c r="J11" s="678"/>
      <c r="K11" s="682">
        <v>2.0000000000000001E-9</v>
      </c>
      <c r="L11" s="681">
        <f>L$5*$D11+L$2*EXP(1)^(-(($C11-L$3)^2/L$4^2))+L$6</f>
        <v>9.5472925246803646E-9</v>
      </c>
      <c r="M11" s="678">
        <f>K11-L11</f>
        <v>-7.5472925246803649E-9</v>
      </c>
      <c r="N11" s="678"/>
      <c r="O11" s="678"/>
    </row>
    <row r="12" spans="2:63">
      <c r="C12" s="547">
        <v>3</v>
      </c>
      <c r="D12" s="683">
        <v>2.7798348000000002E-9</v>
      </c>
      <c r="E12" s="678"/>
      <c r="F12" s="678"/>
      <c r="G12" s="682">
        <v>6E-9</v>
      </c>
      <c r="H12" s="681">
        <f>H$2*D12+H$3*EXP(1)^((H$4-C12)/H$5)+H$6</f>
        <v>1.0187057377783481E-8</v>
      </c>
      <c r="I12" s="678">
        <f>G12-H12</f>
        <v>-4.1870573777834812E-9</v>
      </c>
      <c r="J12" s="678"/>
      <c r="K12" s="682">
        <v>2.0000000000000001E-9</v>
      </c>
      <c r="L12" s="681">
        <f t="shared" ref="L12:L32" si="0">L$5*$D12+L$2*EXP(1)^(-(($C12-L$3)^2/L$4^2))+L$6</f>
        <v>3.0739532158728489E-9</v>
      </c>
      <c r="M12" s="678">
        <f>K12-L12</f>
        <v>-1.0739532158728488E-9</v>
      </c>
      <c r="N12" s="678"/>
      <c r="O12" s="678"/>
    </row>
    <row r="13" spans="2:63">
      <c r="C13" s="547">
        <v>3.3</v>
      </c>
      <c r="D13" s="683">
        <v>8.8589079999999997E-10</v>
      </c>
      <c r="E13" s="678"/>
      <c r="F13" s="678"/>
      <c r="G13" s="682">
        <v>6E-9</v>
      </c>
      <c r="H13" s="681">
        <f t="shared" ref="H13:H32" si="1">H$2*D13+H$3*EXP(1)^((H$4-C13)/H$5)+H$6</f>
        <v>6.6324780295852797E-9</v>
      </c>
      <c r="I13" s="678">
        <f t="shared" ref="I13:I32" si="2">G13-H13</f>
        <v>-6.3247802958527975E-10</v>
      </c>
      <c r="J13" s="678"/>
      <c r="K13" s="682">
        <v>2.0000000000000001E-9</v>
      </c>
      <c r="L13" s="681">
        <f t="shared" si="0"/>
        <v>1.1760859378776174E-9</v>
      </c>
      <c r="M13" s="678">
        <f t="shared" ref="M13:M32" si="3">K13-L13</f>
        <v>8.239140621223827E-10</v>
      </c>
      <c r="N13" s="678"/>
      <c r="O13" s="678"/>
    </row>
    <row r="14" spans="2:63">
      <c r="C14" s="547">
        <v>3.6</v>
      </c>
      <c r="D14" s="683">
        <v>6.3911259000000004E-10</v>
      </c>
      <c r="E14" s="678"/>
      <c r="F14" s="678"/>
      <c r="G14" s="682">
        <v>6E-9</v>
      </c>
      <c r="H14" s="681">
        <f t="shared" si="1"/>
        <v>5.1554708957319309E-9</v>
      </c>
      <c r="I14" s="678">
        <f t="shared" si="2"/>
        <v>8.4452910426806905E-10</v>
      </c>
      <c r="J14" s="678"/>
      <c r="K14" s="682">
        <v>2.0000000000000001E-9</v>
      </c>
      <c r="L14" s="681">
        <f t="shared" si="0"/>
        <v>9.245128518121413E-10</v>
      </c>
      <c r="M14" s="678">
        <f t="shared" si="3"/>
        <v>1.0754871481878589E-9</v>
      </c>
      <c r="N14" s="678"/>
      <c r="O14" s="678"/>
    </row>
    <row r="15" spans="2:63">
      <c r="C15" s="547">
        <v>3.9</v>
      </c>
      <c r="D15" s="683">
        <v>8.2759617000000002E-10</v>
      </c>
      <c r="E15" s="678"/>
      <c r="F15" s="678"/>
      <c r="G15" s="682">
        <v>6E-9</v>
      </c>
      <c r="H15" s="681">
        <f t="shared" si="1"/>
        <v>4.4325784733317123E-9</v>
      </c>
      <c r="I15" s="678">
        <f t="shared" si="2"/>
        <v>1.5674215266682877E-9</v>
      </c>
      <c r="J15" s="678"/>
      <c r="K15" s="682">
        <v>2.0000000000000001E-9</v>
      </c>
      <c r="L15" s="681">
        <f t="shared" si="0"/>
        <v>1.1074273893332651E-9</v>
      </c>
      <c r="M15" s="678">
        <f t="shared" si="3"/>
        <v>8.9257261066673507E-10</v>
      </c>
      <c r="N15" s="678"/>
      <c r="O15" s="678"/>
    </row>
    <row r="16" spans="2:63">
      <c r="C16" s="547">
        <v>4.2</v>
      </c>
      <c r="D16" s="683">
        <v>8.8488062000000002E-10</v>
      </c>
      <c r="E16" s="678"/>
      <c r="F16" s="678"/>
      <c r="G16" s="682">
        <v>3E-9</v>
      </c>
      <c r="H16" s="681">
        <f t="shared" si="1"/>
        <v>3.814698974861564E-9</v>
      </c>
      <c r="I16" s="678">
        <f t="shared" si="2"/>
        <v>-8.1469897486156406E-10</v>
      </c>
      <c r="J16" s="678"/>
      <c r="K16" s="682">
        <v>1.0000000000000001E-9</v>
      </c>
      <c r="L16" s="681">
        <f t="shared" si="0"/>
        <v>1.1584787349997553E-9</v>
      </c>
      <c r="M16" s="678">
        <f t="shared" si="3"/>
        <v>-1.5847873499975526E-10</v>
      </c>
      <c r="N16" s="678"/>
      <c r="O16" s="678"/>
    </row>
    <row r="17" spans="3:15">
      <c r="C17" s="547">
        <v>4.5</v>
      </c>
      <c r="D17" s="683">
        <v>7.3746844000000002E-10</v>
      </c>
      <c r="E17" s="678"/>
      <c r="F17" s="678"/>
      <c r="G17" s="682">
        <v>3E-9</v>
      </c>
      <c r="H17" s="681">
        <f t="shared" si="1"/>
        <v>3.1671130398874647E-9</v>
      </c>
      <c r="I17" s="678">
        <f t="shared" si="2"/>
        <v>-1.6711303988746472E-10</v>
      </c>
      <c r="J17" s="678"/>
      <c r="K17" s="682">
        <v>1.0000000000000001E-9</v>
      </c>
      <c r="L17" s="681">
        <f t="shared" si="0"/>
        <v>1.0042885574607109E-9</v>
      </c>
      <c r="M17" s="678">
        <f t="shared" si="3"/>
        <v>-4.288557460710811E-12</v>
      </c>
      <c r="N17" s="678"/>
      <c r="O17" s="678"/>
    </row>
    <row r="18" spans="3:15">
      <c r="C18" s="547">
        <v>4.8</v>
      </c>
      <c r="D18" s="683">
        <v>5.6289506000000001E-10</v>
      </c>
      <c r="E18" s="678"/>
      <c r="F18" s="678"/>
      <c r="G18" s="682">
        <v>3E-9</v>
      </c>
      <c r="H18" s="681">
        <f t="shared" si="1"/>
        <v>2.6220018286958591E-9</v>
      </c>
      <c r="I18" s="678">
        <f t="shared" si="2"/>
        <v>3.7799817130414087E-10</v>
      </c>
      <c r="J18" s="678"/>
      <c r="K18" s="682">
        <v>1.0000000000000001E-9</v>
      </c>
      <c r="L18" s="681">
        <f t="shared" si="0"/>
        <v>8.2251675413300056E-10</v>
      </c>
      <c r="M18" s="678">
        <f t="shared" si="3"/>
        <v>1.7748324586699951E-10</v>
      </c>
      <c r="N18" s="678"/>
      <c r="O18" s="678"/>
    </row>
    <row r="19" spans="3:15">
      <c r="C19" s="547">
        <v>5.0999999999999996</v>
      </c>
      <c r="D19" s="683">
        <v>5.2406002000000004E-10</v>
      </c>
      <c r="E19" s="678"/>
      <c r="F19" s="678"/>
      <c r="G19" s="682">
        <v>2.0000000000000001E-9</v>
      </c>
      <c r="H19" s="681">
        <f t="shared" si="1"/>
        <v>2.3086656118972307E-9</v>
      </c>
      <c r="I19" s="678">
        <f t="shared" si="2"/>
        <v>-3.0866561189723057E-10</v>
      </c>
      <c r="J19" s="678"/>
      <c r="K19" s="682">
        <v>1.0000000000000001E-9</v>
      </c>
      <c r="L19" s="681">
        <f t="shared" si="0"/>
        <v>7.7618887436378875E-10</v>
      </c>
      <c r="M19" s="678">
        <f t="shared" si="3"/>
        <v>2.2381112563621131E-10</v>
      </c>
      <c r="N19" s="678"/>
      <c r="O19" s="678"/>
    </row>
    <row r="20" spans="3:15">
      <c r="C20" s="547">
        <v>5.4</v>
      </c>
      <c r="D20" s="683">
        <v>6.2135042999999998E-10</v>
      </c>
      <c r="E20" s="678"/>
      <c r="F20" s="678"/>
      <c r="G20" s="682">
        <v>2.0000000000000001E-9</v>
      </c>
      <c r="H20" s="681">
        <f t="shared" si="1"/>
        <v>2.2026005485262338E-9</v>
      </c>
      <c r="I20" s="678">
        <f t="shared" si="2"/>
        <v>-2.0260054852623368E-10</v>
      </c>
      <c r="J20" s="678"/>
      <c r="K20" s="682">
        <v>1.0000000000000001E-9</v>
      </c>
      <c r="L20" s="681">
        <f t="shared" si="0"/>
        <v>8.6581598721015041E-10</v>
      </c>
      <c r="M20" s="678">
        <f t="shared" si="3"/>
        <v>1.3418401278984965E-10</v>
      </c>
      <c r="N20" s="678"/>
      <c r="O20" s="678"/>
    </row>
    <row r="21" spans="3:15">
      <c r="C21" s="547">
        <v>5.7</v>
      </c>
      <c r="D21" s="683">
        <v>7.1478920999999997E-10</v>
      </c>
      <c r="E21" s="678"/>
      <c r="F21" s="678"/>
      <c r="G21" s="682">
        <v>2.0000000000000001E-9</v>
      </c>
      <c r="H21" s="681">
        <f t="shared" si="1"/>
        <v>2.1453898885776446E-9</v>
      </c>
      <c r="I21" s="678">
        <f t="shared" si="2"/>
        <v>-1.4538988857764451E-10</v>
      </c>
      <c r="J21" s="678"/>
      <c r="K21" s="682">
        <v>1.0000000000000001E-9</v>
      </c>
      <c r="L21" s="681">
        <f t="shared" si="0"/>
        <v>9.5153963293064157E-10</v>
      </c>
      <c r="M21" s="678">
        <f t="shared" si="3"/>
        <v>4.8460367069358492E-11</v>
      </c>
      <c r="N21" s="678"/>
      <c r="O21" s="678"/>
    </row>
    <row r="22" spans="3:15">
      <c r="C22" s="547">
        <v>6</v>
      </c>
      <c r="D22" s="683">
        <v>8.0231072E-10</v>
      </c>
      <c r="E22" s="678"/>
      <c r="F22" s="678"/>
      <c r="G22" s="682">
        <v>2.0000000000000001E-9</v>
      </c>
      <c r="H22" s="681">
        <f t="shared" si="1"/>
        <v>2.1213075485282331E-9</v>
      </c>
      <c r="I22" s="678">
        <f t="shared" si="2"/>
        <v>-1.2130754852823301E-10</v>
      </c>
      <c r="J22" s="678"/>
      <c r="K22" s="682">
        <v>1.0000000000000001E-9</v>
      </c>
      <c r="L22" s="681">
        <f t="shared" si="0"/>
        <v>1.0314045836064571E-9</v>
      </c>
      <c r="M22" s="678">
        <f t="shared" si="3"/>
        <v>-3.1404583606457061E-11</v>
      </c>
      <c r="N22" s="678"/>
      <c r="O22" s="678"/>
    </row>
    <row r="23" spans="3:15">
      <c r="C23" s="547">
        <v>6.3</v>
      </c>
      <c r="D23" s="683">
        <v>8.8073717999999995E-10</v>
      </c>
      <c r="E23" s="678"/>
      <c r="F23" s="678"/>
      <c r="G23" s="682">
        <v>2.0000000000000001E-9</v>
      </c>
      <c r="H23" s="681">
        <f t="shared" si="1"/>
        <v>2.117055842913399E-9</v>
      </c>
      <c r="I23" s="678">
        <f t="shared" si="2"/>
        <v>-1.1705584291339886E-10</v>
      </c>
      <c r="J23" s="678"/>
      <c r="K23" s="682">
        <v>1.0000000000000001E-9</v>
      </c>
      <c r="L23" s="681">
        <f t="shared" si="0"/>
        <v>1.1023328998892169E-9</v>
      </c>
      <c r="M23" s="678">
        <f t="shared" si="3"/>
        <v>-1.0233289988921683E-10</v>
      </c>
      <c r="N23" s="678"/>
      <c r="O23" s="678"/>
    </row>
    <row r="24" spans="3:15">
      <c r="C24" s="547">
        <v>6.6</v>
      </c>
      <c r="D24" s="683">
        <v>9.0166087000000002E-10</v>
      </c>
      <c r="E24" s="678"/>
      <c r="F24" s="678"/>
      <c r="G24" s="682">
        <v>2.0000000000000001E-9</v>
      </c>
      <c r="H24" s="681">
        <f t="shared" si="1"/>
        <v>2.076730041373389E-9</v>
      </c>
      <c r="I24" s="678">
        <f t="shared" si="2"/>
        <v>-7.6730041373388832E-11</v>
      </c>
      <c r="J24" s="678"/>
      <c r="K24" s="682">
        <v>1.0000000000000001E-9</v>
      </c>
      <c r="L24" s="681">
        <f t="shared" si="0"/>
        <v>1.1160043298018608E-9</v>
      </c>
      <c r="M24" s="678">
        <f t="shared" si="3"/>
        <v>-1.1600432980186074E-10</v>
      </c>
      <c r="N24" s="678"/>
      <c r="O24" s="678"/>
    </row>
    <row r="25" spans="3:15">
      <c r="C25" s="547">
        <v>6.9</v>
      </c>
      <c r="D25" s="683">
        <v>8.2665285000000001E-10</v>
      </c>
      <c r="E25" s="678"/>
      <c r="F25" s="678"/>
      <c r="G25" s="682">
        <v>2.0000000000000001E-9</v>
      </c>
      <c r="H25" s="681">
        <f t="shared" si="1"/>
        <v>1.9563472820330582E-9</v>
      </c>
      <c r="I25" s="678">
        <f t="shared" si="2"/>
        <v>4.3652717966941912E-11</v>
      </c>
      <c r="J25" s="678"/>
      <c r="K25" s="682">
        <v>1.0000000000000001E-9</v>
      </c>
      <c r="L25" s="681">
        <f t="shared" si="0"/>
        <v>1.0340638139172104E-9</v>
      </c>
      <c r="M25" s="678">
        <f t="shared" si="3"/>
        <v>-3.4063813917210363E-11</v>
      </c>
      <c r="N25" s="678"/>
      <c r="O25" s="678"/>
    </row>
    <row r="26" spans="3:15">
      <c r="C26" s="547">
        <v>7.2</v>
      </c>
      <c r="D26" s="683">
        <v>7.9334459999999999E-10</v>
      </c>
      <c r="E26" s="678"/>
      <c r="F26" s="678"/>
      <c r="G26" s="682">
        <v>2.0000000000000001E-9</v>
      </c>
      <c r="H26" s="681">
        <f t="shared" si="1"/>
        <v>1.8894245983710573E-9</v>
      </c>
      <c r="I26" s="678">
        <f t="shared" si="2"/>
        <v>1.1057540162894282E-10</v>
      </c>
      <c r="J26" s="678"/>
      <c r="K26" s="682">
        <v>1.0000000000000001E-9</v>
      </c>
      <c r="L26" s="681">
        <f t="shared" si="0"/>
        <v>9.942024910881663E-10</v>
      </c>
      <c r="M26" s="678">
        <f t="shared" si="3"/>
        <v>5.797508911833764E-12</v>
      </c>
      <c r="N26" s="678"/>
      <c r="O26" s="678"/>
    </row>
    <row r="27" spans="3:15">
      <c r="C27" s="547">
        <v>7.5</v>
      </c>
      <c r="D27" s="683">
        <v>8.5726722E-10</v>
      </c>
      <c r="E27" s="678"/>
      <c r="F27" s="678"/>
      <c r="G27" s="682">
        <v>2.0000000000000001E-9</v>
      </c>
      <c r="H27" s="681">
        <f t="shared" si="1"/>
        <v>1.9284450334363513E-9</v>
      </c>
      <c r="I27" s="678">
        <f t="shared" si="2"/>
        <v>7.1554966563648791E-11</v>
      </c>
      <c r="J27" s="678"/>
      <c r="K27" s="682">
        <v>1.0000000000000001E-9</v>
      </c>
      <c r="L27" s="681">
        <f t="shared" si="0"/>
        <v>1.0519968119144832E-9</v>
      </c>
      <c r="M27" s="678">
        <f t="shared" si="3"/>
        <v>-5.1996811914483144E-11</v>
      </c>
      <c r="N27" s="678"/>
      <c r="O27" s="678"/>
    </row>
    <row r="28" spans="3:15">
      <c r="C28" s="547">
        <v>7.8</v>
      </c>
      <c r="D28" s="683">
        <v>8.8959002000000001E-10</v>
      </c>
      <c r="E28" s="678"/>
      <c r="F28" s="678"/>
      <c r="G28" s="682">
        <v>2.0000000000000001E-9</v>
      </c>
      <c r="H28" s="681">
        <f t="shared" si="1"/>
        <v>1.9423198411019349E-9</v>
      </c>
      <c r="I28" s="678">
        <f t="shared" si="2"/>
        <v>5.7680158898065185E-11</v>
      </c>
      <c r="J28" s="678"/>
      <c r="K28" s="682">
        <v>1.0000000000000001E-9</v>
      </c>
      <c r="L28" s="681">
        <f t="shared" si="0"/>
        <v>1.0786475346384543E-9</v>
      </c>
      <c r="M28" s="678">
        <f t="shared" si="3"/>
        <v>-7.8647534638454256E-11</v>
      </c>
      <c r="N28" s="678"/>
      <c r="O28" s="678"/>
    </row>
    <row r="29" spans="3:15">
      <c r="C29" s="547">
        <v>8.1</v>
      </c>
      <c r="D29" s="683">
        <v>8.6787230999999997E-10</v>
      </c>
      <c r="E29" s="678"/>
      <c r="F29" s="678"/>
      <c r="G29" s="682">
        <v>2.0000000000000001E-9</v>
      </c>
      <c r="H29" s="681">
        <f t="shared" si="1"/>
        <v>1.9069355222456026E-9</v>
      </c>
      <c r="I29" s="678">
        <f t="shared" si="2"/>
        <v>9.3064477754397565E-11</v>
      </c>
      <c r="J29" s="678"/>
      <c r="K29" s="682">
        <v>1.0000000000000001E-9</v>
      </c>
      <c r="L29" s="681">
        <f t="shared" si="0"/>
        <v>1.0517323410628826E-9</v>
      </c>
      <c r="M29" s="678">
        <f t="shared" si="3"/>
        <v>-5.1732341062882489E-11</v>
      </c>
      <c r="N29" s="678"/>
      <c r="O29" s="678"/>
    </row>
    <row r="30" spans="3:15">
      <c r="C30" s="547">
        <v>8.4</v>
      </c>
      <c r="D30" s="683">
        <v>9.2232331000000004E-10</v>
      </c>
      <c r="E30" s="678"/>
      <c r="F30" s="678"/>
      <c r="G30" s="682">
        <v>2.0000000000000001E-9</v>
      </c>
      <c r="H30" s="681">
        <f t="shared" si="1"/>
        <v>1.9512620493899017E-9</v>
      </c>
      <c r="I30" s="678">
        <f t="shared" si="2"/>
        <v>4.873795061009838E-11</v>
      </c>
      <c r="J30" s="678"/>
      <c r="K30" s="682">
        <v>1.0000000000000001E-9</v>
      </c>
      <c r="L30" s="681">
        <f t="shared" si="0"/>
        <v>1.1014669088178233E-9</v>
      </c>
      <c r="M30" s="678">
        <f t="shared" si="3"/>
        <v>-1.0146690881782319E-10</v>
      </c>
      <c r="N30" s="678"/>
      <c r="O30" s="678"/>
    </row>
    <row r="31" spans="3:15">
      <c r="C31" s="547">
        <v>8.6999999999999993</v>
      </c>
      <c r="D31" s="683">
        <v>1.3854123E-9</v>
      </c>
      <c r="E31" s="678"/>
      <c r="F31" s="678"/>
      <c r="G31" s="682">
        <v>2.0000000000000001E-9</v>
      </c>
      <c r="H31" s="681">
        <f t="shared" si="1"/>
        <v>2.4068506454236047E-9</v>
      </c>
      <c r="I31" s="678">
        <f t="shared" si="2"/>
        <v>-4.0685064542360454E-10</v>
      </c>
      <c r="J31" s="678"/>
      <c r="K31" s="682">
        <v>1.0000000000000001E-9</v>
      </c>
      <c r="L31" s="681">
        <f t="shared" si="0"/>
        <v>1.560316470865858E-9</v>
      </c>
      <c r="M31" s="678">
        <f t="shared" si="3"/>
        <v>-5.603164708658579E-10</v>
      </c>
      <c r="N31" s="678"/>
      <c r="O31" s="678"/>
    </row>
    <row r="32" spans="3:15">
      <c r="C32" s="547">
        <v>9</v>
      </c>
      <c r="D32" s="683">
        <v>1.2391286E-9</v>
      </c>
      <c r="E32" s="678"/>
      <c r="F32" s="678"/>
      <c r="G32" s="682">
        <v>2.0000000000000001E-9</v>
      </c>
      <c r="H32" s="681">
        <f t="shared" si="1"/>
        <v>2.2550105169110767E-9</v>
      </c>
      <c r="I32" s="678">
        <f t="shared" si="2"/>
        <v>-2.5501051691107657E-10</v>
      </c>
      <c r="J32" s="678"/>
      <c r="K32" s="682">
        <v>1.0000000000000001E-9</v>
      </c>
      <c r="L32" s="681">
        <f t="shared" si="0"/>
        <v>1.4102573631381569E-9</v>
      </c>
      <c r="M32" s="678">
        <f t="shared" si="3"/>
        <v>-4.1025736313815679E-10</v>
      </c>
      <c r="N32" s="678"/>
      <c r="O32" s="678"/>
    </row>
    <row r="46" spans="7:22">
      <c r="G46" s="680" t="s">
        <v>260</v>
      </c>
      <c r="H46" s="678">
        <v>6.9999999999999998E-9</v>
      </c>
      <c r="K46" s="680" t="s">
        <v>260</v>
      </c>
      <c r="L46" s="678">
        <v>6E-9</v>
      </c>
      <c r="Q46" s="680" t="s">
        <v>260</v>
      </c>
      <c r="R46" s="678">
        <v>8.9999999999999995E-9</v>
      </c>
      <c r="U46" s="680" t="s">
        <v>260</v>
      </c>
      <c r="V46" s="678">
        <v>5.1000000000000002E-9</v>
      </c>
    </row>
    <row r="47" spans="7:22">
      <c r="G47" s="680" t="s">
        <v>323</v>
      </c>
      <c r="H47" s="684">
        <v>1</v>
      </c>
      <c r="J47" s="306"/>
      <c r="K47" s="680" t="s">
        <v>323</v>
      </c>
      <c r="L47" s="684">
        <v>1</v>
      </c>
      <c r="Q47" s="680" t="s">
        <v>323</v>
      </c>
      <c r="R47" s="684">
        <v>1</v>
      </c>
      <c r="T47" s="306"/>
      <c r="U47" s="680" t="s">
        <v>323</v>
      </c>
      <c r="V47" s="684">
        <v>1</v>
      </c>
    </row>
    <row r="48" spans="7:22">
      <c r="G48" s="680" t="s">
        <v>324</v>
      </c>
      <c r="H48" s="186">
        <v>4</v>
      </c>
      <c r="J48" s="306"/>
      <c r="K48" s="680" t="s">
        <v>324</v>
      </c>
      <c r="L48" s="186">
        <v>2</v>
      </c>
      <c r="Q48" s="680" t="s">
        <v>324</v>
      </c>
      <c r="R48" s="186">
        <v>4</v>
      </c>
      <c r="T48" s="306"/>
      <c r="U48" s="680" t="s">
        <v>324</v>
      </c>
      <c r="V48" s="186">
        <v>4</v>
      </c>
    </row>
    <row r="49" spans="2:63">
      <c r="G49" s="680" t="s">
        <v>69</v>
      </c>
      <c r="H49" s="686">
        <v>1</v>
      </c>
      <c r="J49" s="306"/>
      <c r="K49" s="680" t="s">
        <v>69</v>
      </c>
      <c r="L49" s="686">
        <v>1</v>
      </c>
      <c r="Q49" s="680" t="s">
        <v>69</v>
      </c>
      <c r="R49" s="686">
        <v>1</v>
      </c>
      <c r="T49" s="306"/>
      <c r="U49" s="680" t="s">
        <v>69</v>
      </c>
      <c r="V49" s="686">
        <v>1</v>
      </c>
    </row>
    <row r="50" spans="2:63">
      <c r="B50" t="s">
        <v>165</v>
      </c>
      <c r="G50" s="680" t="s">
        <v>760</v>
      </c>
      <c r="H50" s="678">
        <v>1.0999999999999999E-9</v>
      </c>
      <c r="J50" s="306"/>
      <c r="K50" s="680" t="s">
        <v>760</v>
      </c>
      <c r="L50" s="678">
        <v>1.8E-9</v>
      </c>
      <c r="Q50" s="680" t="s">
        <v>760</v>
      </c>
      <c r="R50" s="678">
        <v>1.0000000000000001E-9</v>
      </c>
      <c r="T50" s="306"/>
      <c r="U50" s="680" t="s">
        <v>760</v>
      </c>
      <c r="V50" s="678">
        <v>5.0000000000000003E-10</v>
      </c>
    </row>
    <row r="51" spans="2:63">
      <c r="F51" s="678"/>
      <c r="G51" s="306" t="s">
        <v>762</v>
      </c>
      <c r="H51" s="678">
        <f>SQRT(SUMSQ(I55:I75))</f>
        <v>4.7372197548835935E-9</v>
      </c>
      <c r="J51" s="306"/>
      <c r="K51" s="306" t="s">
        <v>762</v>
      </c>
      <c r="L51" s="678">
        <f>SQRT(SUMSQ(M55:M75))</f>
        <v>4.3300810054181007E-9</v>
      </c>
      <c r="Q51" s="306" t="s">
        <v>762</v>
      </c>
      <c r="R51" s="678">
        <v>0</v>
      </c>
      <c r="T51" s="306"/>
      <c r="U51" s="306" t="s">
        <v>762</v>
      </c>
      <c r="V51" s="678">
        <f>SQRT(SUMSQ(W55:W75))</f>
        <v>3.9071431540990712E-9</v>
      </c>
    </row>
    <row r="52" spans="2:63">
      <c r="B52" t="s">
        <v>616</v>
      </c>
      <c r="F52" s="678"/>
      <c r="G52"/>
      <c r="H52"/>
      <c r="J52" s="306"/>
      <c r="T52" s="306"/>
    </row>
    <row r="53" spans="2:63">
      <c r="B53" t="s">
        <v>168</v>
      </c>
      <c r="F53" s="678"/>
      <c r="G53" s="306" t="s">
        <v>764</v>
      </c>
      <c r="H53" s="306"/>
      <c r="I53" s="306"/>
      <c r="K53" s="306" t="s">
        <v>766</v>
      </c>
      <c r="L53" s="306"/>
      <c r="M53" s="306"/>
      <c r="Q53" s="306" t="s">
        <v>767</v>
      </c>
      <c r="R53" s="306"/>
      <c r="S53" s="306"/>
      <c r="U53" s="306" t="s">
        <v>769</v>
      </c>
      <c r="V53" s="306"/>
      <c r="W53" s="306"/>
    </row>
    <row r="54" spans="2:63">
      <c r="C54" s="186" t="s">
        <v>169</v>
      </c>
      <c r="D54" s="186" t="s">
        <v>171</v>
      </c>
      <c r="F54" s="678"/>
      <c r="G54" t="s">
        <v>765</v>
      </c>
      <c r="H54" s="186" t="s">
        <v>759</v>
      </c>
      <c r="I54" s="186" t="s">
        <v>761</v>
      </c>
      <c r="K54" t="s">
        <v>736</v>
      </c>
      <c r="L54" s="186" t="s">
        <v>759</v>
      </c>
      <c r="M54" s="186" t="s">
        <v>761</v>
      </c>
      <c r="Q54" t="s">
        <v>768</v>
      </c>
      <c r="R54" s="186" t="s">
        <v>759</v>
      </c>
      <c r="S54" s="186" t="s">
        <v>761</v>
      </c>
      <c r="U54" t="s">
        <v>737</v>
      </c>
      <c r="V54" s="186" t="s">
        <v>759</v>
      </c>
      <c r="W54" s="186" t="s">
        <v>761</v>
      </c>
    </row>
    <row r="55" spans="2:63">
      <c r="C55" s="547">
        <v>3</v>
      </c>
      <c r="D55" s="683">
        <v>5.3207487000000003E-9</v>
      </c>
      <c r="E55" s="678"/>
      <c r="F55" s="678"/>
      <c r="G55" s="682">
        <v>8.9999999999999995E-9</v>
      </c>
      <c r="H55" s="681">
        <f>H$49*$D55+H$46*EXP(1)^(-(($C55-H$47)^2/H$48^2))+H$50</f>
        <v>1.1872354181499833E-8</v>
      </c>
      <c r="I55" s="678">
        <f>G55-H55</f>
        <v>-2.8723541814998339E-9</v>
      </c>
      <c r="K55" s="682">
        <v>6E-9</v>
      </c>
      <c r="L55" s="681">
        <f>L$49*$D55+L$46*EXP(1)^(-(($C55-L$47)^2/L$48^2))+L$50</f>
        <v>9.3280253470286546E-9</v>
      </c>
      <c r="M55" s="678">
        <f>K55-L55</f>
        <v>-3.3280253470286546E-9</v>
      </c>
      <c r="Q55" s="682">
        <v>1E-8</v>
      </c>
      <c r="R55" s="681">
        <f>R$49*$D55+R$46*EXP(1)^(-(($C55-R$47)^2/R$48^2))+R$50</f>
        <v>1.3329955747642645E-8</v>
      </c>
      <c r="S55" s="678">
        <f>Q55-R55</f>
        <v>-3.3299557476426451E-9</v>
      </c>
      <c r="U55" s="682">
        <v>6.9999999999999998E-9</v>
      </c>
      <c r="V55" s="681">
        <f>V$49*$D55+V$46*EXP(1)^(-(($C55-V$47)^2/V$48^2))+V$50</f>
        <v>9.7926326936641646E-9</v>
      </c>
      <c r="W55" s="678">
        <f>U55-V55</f>
        <v>-2.7926326936641647E-9</v>
      </c>
    </row>
    <row r="56" spans="2:63">
      <c r="C56" s="547">
        <v>3.2</v>
      </c>
      <c r="D56" s="683">
        <v>3.3664205999999998E-9</v>
      </c>
      <c r="E56" s="678"/>
      <c r="F56" s="678"/>
      <c r="G56" s="682">
        <v>8.9999999999999995E-9</v>
      </c>
      <c r="H56" s="681">
        <f t="shared" ref="H56:H80" si="4">H$49*$D56+H$46*EXP(1)^(-(($C56-H$47)^2/H$48^2))+H$50</f>
        <v>9.6392000178126086E-9</v>
      </c>
      <c r="I56" s="678">
        <f t="shared" ref="I56:I75" si="5">G56-H56</f>
        <v>-6.3920001781260908E-10</v>
      </c>
      <c r="K56" s="682">
        <v>6E-9</v>
      </c>
      <c r="L56" s="681">
        <f t="shared" ref="L56:L80" si="6">L$49*$D56+L$46*EXP(1)^(-(($C56-L$47)^2/L$48^2))+L$50</f>
        <v>6.9556042765793231E-9</v>
      </c>
      <c r="M56" s="678">
        <f t="shared" ref="M56:M80" si="7">K56-L56</f>
        <v>-9.5560427657932313E-10</v>
      </c>
      <c r="Q56" s="682">
        <v>1E-8</v>
      </c>
      <c r="R56" s="681">
        <f t="shared" ref="R56:R80" si="8">R$49*$D56+R$46*EXP(1)^(-(($C56-R$47)^2/R$48^2))+R$50</f>
        <v>1.1017136994330498E-8</v>
      </c>
      <c r="S56" s="678">
        <f t="shared" ref="S56:S80" si="9">Q56-R56</f>
        <v>-1.0171369943304982E-9</v>
      </c>
      <c r="U56" s="682">
        <v>6.9999999999999998E-9</v>
      </c>
      <c r="V56" s="681">
        <f t="shared" ref="V56:V80" si="10">V$49*$D56+V$46*EXP(1)^(-(($C56-V$47)^2/V$48^2))+V$50</f>
        <v>7.6351598901206146E-9</v>
      </c>
      <c r="W56" s="678">
        <f t="shared" ref="W56:W80" si="11">U56-V56</f>
        <v>-6.3515989012061475E-10</v>
      </c>
    </row>
    <row r="57" spans="2:63">
      <c r="C57" s="547">
        <v>3.4</v>
      </c>
      <c r="D57" s="683">
        <v>3.3282817000000001E-9</v>
      </c>
      <c r="E57" s="678"/>
      <c r="F57" s="678"/>
      <c r="G57" s="682">
        <v>8.9999999999999995E-9</v>
      </c>
      <c r="H57" s="681">
        <f t="shared" si="4"/>
        <v>9.3120159824972183E-9</v>
      </c>
      <c r="I57" s="678">
        <f t="shared" si="5"/>
        <v>-3.1201598249721878E-10</v>
      </c>
      <c r="K57" s="682">
        <v>6E-9</v>
      </c>
      <c r="L57" s="681">
        <f t="shared" si="6"/>
        <v>6.5498482520927301E-9</v>
      </c>
      <c r="M57" s="678">
        <f t="shared" si="7"/>
        <v>-5.4984825209273012E-10</v>
      </c>
      <c r="Q57" s="682">
        <v>1E-8</v>
      </c>
      <c r="R57" s="681">
        <f t="shared" si="8"/>
        <v>1.060736863463928E-8</v>
      </c>
      <c r="S57" s="678">
        <f t="shared" si="9"/>
        <v>-6.0736863463928014E-10</v>
      </c>
      <c r="U57" s="682">
        <v>6.9999999999999998E-9</v>
      </c>
      <c r="V57" s="681">
        <f t="shared" si="10"/>
        <v>7.3864309629622593E-9</v>
      </c>
      <c r="W57" s="678">
        <f t="shared" si="11"/>
        <v>-3.8643096296225952E-10</v>
      </c>
    </row>
    <row r="58" spans="2:63">
      <c r="C58" s="547">
        <v>3.6</v>
      </c>
      <c r="D58" s="683">
        <v>2.2051541E-9</v>
      </c>
      <c r="E58" s="678"/>
      <c r="F58" s="678"/>
      <c r="G58" s="682">
        <v>8.9999999999999995E-9</v>
      </c>
      <c r="H58" s="681">
        <f t="shared" si="4"/>
        <v>7.8929978802878833E-9</v>
      </c>
      <c r="I58" s="678">
        <f t="shared" si="5"/>
        <v>1.1070021197121163E-9</v>
      </c>
      <c r="K58" s="682">
        <v>6E-9</v>
      </c>
      <c r="L58" s="681">
        <f t="shared" si="6"/>
        <v>5.1122712439579355E-9</v>
      </c>
      <c r="M58" s="678">
        <f t="shared" si="7"/>
        <v>8.8772875604206449E-10</v>
      </c>
      <c r="Q58" s="682">
        <v>1E-8</v>
      </c>
      <c r="R58" s="681">
        <f t="shared" si="8"/>
        <v>9.1038103889415654E-9</v>
      </c>
      <c r="S58" s="678">
        <f t="shared" si="9"/>
        <v>8.9618961105843478E-10</v>
      </c>
      <c r="U58" s="682">
        <v>6.9999999999999998E-9</v>
      </c>
      <c r="V58" s="681">
        <f t="shared" si="10"/>
        <v>6.0477259970668872E-9</v>
      </c>
      <c r="W58" s="678">
        <f t="shared" si="11"/>
        <v>9.5227400293311265E-10</v>
      </c>
    </row>
    <row r="59" spans="2:63">
      <c r="C59" s="547">
        <v>3.8</v>
      </c>
      <c r="D59" s="683">
        <v>1.9867921000000002E-9</v>
      </c>
      <c r="E59" s="678"/>
      <c r="F59" s="678"/>
      <c r="G59" s="682">
        <v>8.9999999999999995E-9</v>
      </c>
      <c r="H59" s="681">
        <f t="shared" si="4"/>
        <v>7.3751768592909133E-9</v>
      </c>
      <c r="I59" s="678">
        <f t="shared" si="5"/>
        <v>1.6248231407090862E-9</v>
      </c>
      <c r="K59" s="682">
        <v>6E-9</v>
      </c>
      <c r="L59" s="681">
        <f t="shared" si="6"/>
        <v>4.6319426255262705E-9</v>
      </c>
      <c r="M59" s="678">
        <f t="shared" si="7"/>
        <v>1.3680573744737294E-9</v>
      </c>
      <c r="Q59" s="682">
        <v>1E-8</v>
      </c>
      <c r="R59" s="681">
        <f t="shared" si="8"/>
        <v>8.5004296476597461E-9</v>
      </c>
      <c r="S59" s="678">
        <f t="shared" si="9"/>
        <v>1.4995703523402541E-9</v>
      </c>
      <c r="U59" s="682">
        <v>6.9999999999999998E-9</v>
      </c>
      <c r="V59" s="681">
        <f t="shared" si="10"/>
        <v>5.6111867103405225E-9</v>
      </c>
      <c r="W59" s="678">
        <f t="shared" si="11"/>
        <v>1.3888132896594773E-9</v>
      </c>
    </row>
    <row r="60" spans="2:63" s="687" customFormat="1">
      <c r="C60" s="688">
        <v>4</v>
      </c>
      <c r="D60" s="689">
        <v>1.6954474E-9</v>
      </c>
      <c r="E60" s="690"/>
      <c r="F60" s="690"/>
      <c r="G60" s="691">
        <v>6.9999999999999998E-9</v>
      </c>
      <c r="H60" s="692">
        <f t="shared" si="4"/>
        <v>6.783927173116461E-9</v>
      </c>
      <c r="I60" s="690">
        <f t="shared" si="5"/>
        <v>2.1607282688353878E-10</v>
      </c>
      <c r="K60" s="691">
        <v>4.0000000000000002E-9</v>
      </c>
      <c r="L60" s="692">
        <f t="shared" si="6"/>
        <v>4.1278427473711862E-9</v>
      </c>
      <c r="M60" s="690">
        <f t="shared" si="7"/>
        <v>-1.2784274737118599E-10</v>
      </c>
      <c r="Q60" s="691">
        <v>8.0000000000000005E-9</v>
      </c>
      <c r="R60" s="692">
        <f t="shared" si="8"/>
        <v>7.8234928225783067E-9</v>
      </c>
      <c r="S60" s="690">
        <f t="shared" si="9"/>
        <v>1.7650717742169384E-10</v>
      </c>
      <c r="U60" s="691">
        <v>5.0000000000000001E-9</v>
      </c>
      <c r="V60" s="692">
        <f t="shared" si="10"/>
        <v>5.1013398061277081E-9</v>
      </c>
      <c r="W60" s="690">
        <f t="shared" si="11"/>
        <v>-1.0133980612770799E-10</v>
      </c>
      <c r="AD60" s="708"/>
      <c r="AE60" s="708"/>
      <c r="AF60" s="708"/>
      <c r="AG60" s="708"/>
      <c r="AH60" s="708"/>
      <c r="AI60" s="708"/>
      <c r="AJ60" s="708"/>
      <c r="AK60" s="708"/>
      <c r="AL60" s="708"/>
      <c r="AM60" s="708"/>
      <c r="AN60" s="708"/>
      <c r="AO60" s="708"/>
      <c r="AP60" s="708"/>
      <c r="AQ60" s="708"/>
      <c r="AR60" s="708"/>
      <c r="AS60" s="708"/>
      <c r="AT60" s="708"/>
      <c r="AU60" s="708"/>
      <c r="AV60" s="708"/>
      <c r="AW60" s="708"/>
      <c r="AX60" s="708"/>
      <c r="AY60" s="708"/>
      <c r="AZ60" s="708"/>
      <c r="BA60" s="708"/>
      <c r="BB60" s="708"/>
      <c r="BC60" s="708"/>
      <c r="BD60" s="708"/>
      <c r="BE60" s="708"/>
      <c r="BF60" s="708"/>
      <c r="BG60" s="708"/>
      <c r="BH60" s="708"/>
      <c r="BI60" s="708"/>
      <c r="BJ60" s="708"/>
      <c r="BK60" s="708"/>
    </row>
    <row r="61" spans="2:63">
      <c r="C61" s="547">
        <v>4.2</v>
      </c>
      <c r="D61" s="683">
        <v>1.3700878999999999E-9</v>
      </c>
      <c r="E61" s="678"/>
      <c r="F61" s="678"/>
      <c r="G61" s="682">
        <v>6.9999999999999998E-9</v>
      </c>
      <c r="H61" s="681">
        <f t="shared" si="4"/>
        <v>6.1611348683013385E-9</v>
      </c>
      <c r="I61" s="678">
        <f t="shared" si="5"/>
        <v>8.3886513169866134E-10</v>
      </c>
      <c r="K61" s="682">
        <v>4.0000000000000002E-9</v>
      </c>
      <c r="L61" s="681">
        <f t="shared" si="6"/>
        <v>3.6339163426597981E-9</v>
      </c>
      <c r="M61" s="678">
        <f t="shared" si="7"/>
        <v>3.660836573402022E-10</v>
      </c>
      <c r="Q61" s="682">
        <v>8.0000000000000005E-9</v>
      </c>
      <c r="R61" s="681">
        <f t="shared" si="8"/>
        <v>7.1157197163874354E-9</v>
      </c>
      <c r="S61" s="678">
        <f t="shared" si="9"/>
        <v>8.842802836125651E-10</v>
      </c>
      <c r="U61" s="682">
        <v>5.0000000000000001E-9</v>
      </c>
      <c r="V61" s="681">
        <f t="shared" si="10"/>
        <v>4.5592792626195478E-9</v>
      </c>
      <c r="W61" s="678">
        <f t="shared" si="11"/>
        <v>4.4072073738045227E-10</v>
      </c>
    </row>
    <row r="62" spans="2:63">
      <c r="C62" s="547">
        <v>4.4000000000000004</v>
      </c>
      <c r="D62" s="683">
        <v>1.0938889999999999E-9</v>
      </c>
      <c r="E62" s="678"/>
      <c r="F62" s="678"/>
      <c r="G62" s="682">
        <v>6.9999999999999998E-9</v>
      </c>
      <c r="H62" s="681">
        <f t="shared" si="4"/>
        <v>5.5926472660785548E-9</v>
      </c>
      <c r="I62" s="678">
        <f t="shared" si="5"/>
        <v>1.407352733921445E-9</v>
      </c>
      <c r="K62" s="682">
        <v>4.0000000000000002E-9</v>
      </c>
      <c r="L62" s="681">
        <f t="shared" si="6"/>
        <v>3.227346275668898E-9</v>
      </c>
      <c r="M62" s="678">
        <f t="shared" si="7"/>
        <v>7.7265372433110222E-10</v>
      </c>
      <c r="Q62" s="682">
        <v>8.0000000000000005E-9</v>
      </c>
      <c r="R62" s="681">
        <f t="shared" si="8"/>
        <v>6.4637210563867132E-9</v>
      </c>
      <c r="S62" s="678">
        <f t="shared" si="9"/>
        <v>1.5362789436132873E-9</v>
      </c>
      <c r="U62" s="682">
        <v>5.0000000000000001E-9</v>
      </c>
      <c r="V62" s="681">
        <f t="shared" si="10"/>
        <v>4.0701271652858049E-9</v>
      </c>
      <c r="W62" s="678">
        <f t="shared" si="11"/>
        <v>9.2987283471419517E-10</v>
      </c>
    </row>
    <row r="63" spans="2:63">
      <c r="C63" s="547">
        <v>4.5999999999999996</v>
      </c>
      <c r="D63" s="683">
        <v>1.1552999999999999E-9</v>
      </c>
      <c r="E63" s="678"/>
      <c r="F63" s="678"/>
      <c r="G63" s="682">
        <v>6.9999999999999998E-9</v>
      </c>
      <c r="H63" s="681">
        <f t="shared" si="4"/>
        <v>5.3693064635605881E-9</v>
      </c>
      <c r="I63" s="678">
        <f t="shared" si="5"/>
        <v>1.6306935364394117E-9</v>
      </c>
      <c r="K63" s="682">
        <v>4.0000000000000002E-9</v>
      </c>
      <c r="L63" s="681">
        <f t="shared" si="6"/>
        <v>3.1902833705939225E-9</v>
      </c>
      <c r="M63" s="678">
        <f t="shared" si="7"/>
        <v>8.0971662940607776E-10</v>
      </c>
      <c r="Q63" s="682">
        <v>8.0000000000000005E-9</v>
      </c>
      <c r="R63" s="681">
        <f t="shared" si="8"/>
        <v>6.159022596006471E-9</v>
      </c>
      <c r="S63" s="678">
        <f t="shared" si="9"/>
        <v>1.8409774039935295E-9</v>
      </c>
      <c r="U63" s="682">
        <v>5.0000000000000001E-9</v>
      </c>
      <c r="V63" s="681">
        <f t="shared" si="10"/>
        <v>3.9240761377370007E-9</v>
      </c>
      <c r="W63" s="678">
        <f t="shared" si="11"/>
        <v>1.0759238622629995E-9</v>
      </c>
    </row>
    <row r="64" spans="2:63">
      <c r="C64" s="547">
        <v>4.8</v>
      </c>
      <c r="D64" s="683">
        <v>1.4692607E-9</v>
      </c>
      <c r="E64" s="678"/>
      <c r="F64" s="678"/>
      <c r="G64" s="682">
        <v>6.9999999999999998E-9</v>
      </c>
      <c r="H64" s="681">
        <f t="shared" si="4"/>
        <v>5.4081422354432435E-9</v>
      </c>
      <c r="I64" s="678">
        <f t="shared" si="5"/>
        <v>1.5918577645567563E-9</v>
      </c>
      <c r="K64" s="682">
        <v>4.0000000000000002E-9</v>
      </c>
      <c r="L64" s="681">
        <f t="shared" si="6"/>
        <v>3.4315717811981025E-9</v>
      </c>
      <c r="M64" s="678">
        <f t="shared" si="7"/>
        <v>5.6842821880189775E-10</v>
      </c>
      <c r="Q64" s="682">
        <v>8.0000000000000005E-9</v>
      </c>
      <c r="R64" s="681">
        <f t="shared" si="8"/>
        <v>6.1192512455698844E-9</v>
      </c>
      <c r="S64" s="678">
        <f t="shared" si="9"/>
        <v>1.8807487544301161E-9</v>
      </c>
      <c r="U64" s="682">
        <v>5.0000000000000001E-9</v>
      </c>
      <c r="V64" s="681">
        <f t="shared" si="10"/>
        <v>4.037588675822935E-9</v>
      </c>
      <c r="W64" s="678">
        <f t="shared" si="11"/>
        <v>9.624113241770651E-10</v>
      </c>
    </row>
    <row r="65" spans="3:63" s="687" customFormat="1">
      <c r="C65" s="688">
        <v>5</v>
      </c>
      <c r="D65" s="689">
        <v>1.8515626E-9</v>
      </c>
      <c r="E65" s="690"/>
      <c r="F65" s="690"/>
      <c r="G65" s="691">
        <v>5.0000000000000001E-9</v>
      </c>
      <c r="H65" s="692">
        <f t="shared" si="4"/>
        <v>5.5267186882000958E-9</v>
      </c>
      <c r="I65" s="690">
        <f t="shared" si="5"/>
        <v>-5.267186882000957E-10</v>
      </c>
      <c r="K65" s="691">
        <v>4.0000000000000002E-9</v>
      </c>
      <c r="L65" s="692">
        <f t="shared" si="6"/>
        <v>3.7614564333324054E-9</v>
      </c>
      <c r="M65" s="690">
        <f t="shared" si="7"/>
        <v>2.3854356666759482E-10</v>
      </c>
      <c r="Q65" s="691">
        <v>5.0000000000000001E-9</v>
      </c>
      <c r="R65" s="692">
        <f t="shared" si="8"/>
        <v>6.1624775705429809E-9</v>
      </c>
      <c r="S65" s="690">
        <f t="shared" si="9"/>
        <v>-1.1624775705429808E-9</v>
      </c>
      <c r="U65" s="691">
        <v>4.0000000000000002E-9</v>
      </c>
      <c r="V65" s="692">
        <f t="shared" si="10"/>
        <v>4.2277477499743563E-9</v>
      </c>
      <c r="W65" s="690">
        <f t="shared" si="11"/>
        <v>-2.2774774997435603E-10</v>
      </c>
      <c r="AD65" s="708"/>
      <c r="AE65" s="708"/>
      <c r="AF65" s="708"/>
      <c r="AG65" s="708"/>
      <c r="AH65" s="708"/>
      <c r="AI65" s="708"/>
      <c r="AJ65" s="708"/>
      <c r="AK65" s="708"/>
      <c r="AL65" s="708"/>
      <c r="AM65" s="708"/>
      <c r="AN65" s="708"/>
      <c r="AO65" s="708"/>
      <c r="AP65" s="708"/>
      <c r="AQ65" s="708"/>
      <c r="AR65" s="708"/>
      <c r="AS65" s="708"/>
      <c r="AT65" s="708"/>
      <c r="AU65" s="708"/>
      <c r="AV65" s="708"/>
      <c r="AW65" s="708"/>
      <c r="AX65" s="708"/>
      <c r="AY65" s="708"/>
      <c r="AZ65" s="708"/>
      <c r="BA65" s="708"/>
      <c r="BB65" s="708"/>
      <c r="BC65" s="708"/>
      <c r="BD65" s="708"/>
      <c r="BE65" s="708"/>
      <c r="BF65" s="708"/>
      <c r="BG65" s="708"/>
      <c r="BH65" s="708"/>
      <c r="BI65" s="708"/>
      <c r="BJ65" s="708"/>
      <c r="BK65" s="708"/>
    </row>
    <row r="66" spans="3:63">
      <c r="C66" s="547">
        <v>5.2</v>
      </c>
      <c r="D66" s="683">
        <v>2.3703670999999999E-9</v>
      </c>
      <c r="E66" s="678"/>
      <c r="F66" s="678"/>
      <c r="G66" s="682">
        <v>5.0000000000000001E-9</v>
      </c>
      <c r="H66" s="681">
        <f t="shared" si="4"/>
        <v>5.794646717412624E-9</v>
      </c>
      <c r="I66" s="678">
        <f t="shared" si="5"/>
        <v>-7.9464671741262393E-10</v>
      </c>
      <c r="K66" s="682">
        <v>4.0000000000000002E-9</v>
      </c>
      <c r="L66" s="681">
        <f t="shared" si="6"/>
        <v>4.2432981699794892E-9</v>
      </c>
      <c r="M66" s="678">
        <f t="shared" si="7"/>
        <v>-2.4329816997948891E-10</v>
      </c>
      <c r="Q66" s="682">
        <v>5.0000000000000001E-9</v>
      </c>
      <c r="R66" s="681">
        <f t="shared" si="8"/>
        <v>6.3587266081019452E-9</v>
      </c>
      <c r="S66" s="678">
        <f t="shared" si="9"/>
        <v>-1.3587266081019451E-9</v>
      </c>
      <c r="U66" s="682">
        <v>4.0000000000000002E-9</v>
      </c>
      <c r="V66" s="681">
        <f t="shared" si="10"/>
        <v>4.5637708212577693E-9</v>
      </c>
      <c r="W66" s="678">
        <f t="shared" si="11"/>
        <v>-5.6377082125776901E-10</v>
      </c>
    </row>
    <row r="67" spans="3:63">
      <c r="C67" s="547">
        <v>5.4</v>
      </c>
      <c r="D67" s="683">
        <v>2.2222902999999999E-9</v>
      </c>
      <c r="E67" s="678"/>
      <c r="F67" s="678"/>
      <c r="G67" s="682">
        <v>5.0000000000000001E-9</v>
      </c>
      <c r="H67" s="681">
        <f t="shared" si="4"/>
        <v>5.4096712560092111E-9</v>
      </c>
      <c r="I67" s="678">
        <f t="shared" si="5"/>
        <v>-4.0967125600921101E-10</v>
      </c>
      <c r="K67" s="682">
        <v>4.0000000000000002E-9</v>
      </c>
      <c r="L67" s="681">
        <f t="shared" si="6"/>
        <v>4.0697326243095604E-9</v>
      </c>
      <c r="M67" s="678">
        <f t="shared" si="7"/>
        <v>-6.9732624309560134E-11</v>
      </c>
      <c r="Q67" s="682">
        <v>5.0000000000000001E-9</v>
      </c>
      <c r="R67" s="681">
        <f t="shared" si="8"/>
        <v>5.9060658148689855E-9</v>
      </c>
      <c r="S67" s="678">
        <f t="shared" si="9"/>
        <v>-9.0606581486898537E-10</v>
      </c>
      <c r="U67" s="682">
        <v>4.0000000000000002E-9</v>
      </c>
      <c r="V67" s="681">
        <f t="shared" si="10"/>
        <v>4.2430964250924259E-9</v>
      </c>
      <c r="W67" s="678">
        <f t="shared" si="11"/>
        <v>-2.4309642509242566E-10</v>
      </c>
    </row>
    <row r="68" spans="3:63">
      <c r="C68" s="547">
        <v>5.6</v>
      </c>
      <c r="D68" s="683">
        <v>2.3097161000000002E-9</v>
      </c>
      <c r="E68" s="678"/>
      <c r="F68" s="678"/>
      <c r="G68" s="682">
        <v>5.0000000000000001E-9</v>
      </c>
      <c r="H68" s="681">
        <f t="shared" si="4"/>
        <v>5.2749941846946696E-9</v>
      </c>
      <c r="I68" s="678">
        <f t="shared" si="5"/>
        <v>-2.7499418469466947E-10</v>
      </c>
      <c r="K68" s="682">
        <v>4.0000000000000002E-9</v>
      </c>
      <c r="L68" s="681">
        <f t="shared" si="6"/>
        <v>4.1399666615581462E-9</v>
      </c>
      <c r="M68" s="678">
        <f t="shared" si="7"/>
        <v>-1.3996666155814595E-10</v>
      </c>
      <c r="Q68" s="682">
        <v>5.0000000000000001E-9</v>
      </c>
      <c r="R68" s="681">
        <f t="shared" si="8"/>
        <v>5.7079307803217173E-9</v>
      </c>
      <c r="S68" s="678">
        <f t="shared" si="9"/>
        <v>-7.0793078032171723E-10</v>
      </c>
      <c r="U68" s="682">
        <v>4.0000000000000002E-9</v>
      </c>
      <c r="V68" s="681">
        <f t="shared" si="10"/>
        <v>4.1687044188489738E-9</v>
      </c>
      <c r="W68" s="678">
        <f t="shared" si="11"/>
        <v>-1.6870441884897351E-10</v>
      </c>
    </row>
    <row r="69" spans="3:63">
      <c r="C69" s="547">
        <v>5.8</v>
      </c>
      <c r="D69" s="683">
        <v>2.4016781000000001E-9</v>
      </c>
      <c r="E69" s="678"/>
      <c r="F69" s="678"/>
      <c r="G69" s="682">
        <v>5.0000000000000001E-9</v>
      </c>
      <c r="H69" s="681">
        <f t="shared" si="4"/>
        <v>5.1601724107748529E-9</v>
      </c>
      <c r="I69" s="678">
        <f t="shared" si="5"/>
        <v>-1.6017241077485281E-10</v>
      </c>
      <c r="K69" s="682">
        <v>4.0000000000000002E-9</v>
      </c>
      <c r="L69" s="681">
        <f t="shared" si="6"/>
        <v>4.2205847695906671E-9</v>
      </c>
      <c r="M69" s="678">
        <f t="shared" si="7"/>
        <v>-2.2058476959066681E-10</v>
      </c>
      <c r="Q69" s="682">
        <v>5.0000000000000001E-9</v>
      </c>
      <c r="R69" s="681">
        <f t="shared" si="8"/>
        <v>5.5340279281390962E-9</v>
      </c>
      <c r="S69" s="678">
        <f t="shared" si="9"/>
        <v>-5.3402792813909606E-10</v>
      </c>
      <c r="U69" s="682">
        <v>4.0000000000000002E-9</v>
      </c>
      <c r="V69" s="681">
        <f t="shared" si="10"/>
        <v>4.1100096692788213E-9</v>
      </c>
      <c r="W69" s="678">
        <f t="shared" si="11"/>
        <v>-1.1000966927882103E-10</v>
      </c>
    </row>
    <row r="70" spans="3:63">
      <c r="C70" s="547">
        <v>6</v>
      </c>
      <c r="D70" s="683">
        <v>2.6987635000000002E-9</v>
      </c>
      <c r="E70" s="678"/>
      <c r="F70" s="678"/>
      <c r="G70" s="682">
        <v>5.0000000000000001E-9</v>
      </c>
      <c r="H70" s="681">
        <f t="shared" si="4"/>
        <v>5.2660432100576853E-9</v>
      </c>
      <c r="I70" s="678">
        <f t="shared" si="5"/>
        <v>-2.6604321005768517E-10</v>
      </c>
      <c r="K70" s="682">
        <v>4.0000000000000002E-9</v>
      </c>
      <c r="L70" s="681">
        <f t="shared" si="6"/>
        <v>4.5103462248173663E-9</v>
      </c>
      <c r="M70" s="678">
        <f t="shared" si="7"/>
        <v>-5.10346224817366E-10</v>
      </c>
      <c r="Q70" s="682">
        <v>5.0000000000000001E-9</v>
      </c>
      <c r="R70" s="681">
        <f t="shared" si="8"/>
        <v>5.5852659843598804E-9</v>
      </c>
      <c r="S70" s="678">
        <f t="shared" si="9"/>
        <v>-5.8526598435988027E-10</v>
      </c>
      <c r="U70" s="682">
        <v>4.0000000000000002E-9</v>
      </c>
      <c r="V70" s="681">
        <f t="shared" si="10"/>
        <v>4.2677815744705995E-9</v>
      </c>
      <c r="W70" s="678">
        <f t="shared" si="11"/>
        <v>-2.677815744705992E-10</v>
      </c>
    </row>
    <row r="71" spans="3:63">
      <c r="C71" s="547">
        <v>6.2</v>
      </c>
      <c r="D71" s="683">
        <v>3.0374616000000001E-9</v>
      </c>
      <c r="E71" s="678"/>
      <c r="F71" s="678"/>
      <c r="G71" s="682">
        <v>5.0000000000000001E-9</v>
      </c>
      <c r="H71" s="681">
        <f t="shared" si="4"/>
        <v>5.4290982679509245E-9</v>
      </c>
      <c r="I71" s="678">
        <f t="shared" si="5"/>
        <v>-4.2909826795092436E-10</v>
      </c>
      <c r="K71" s="682">
        <v>4.0000000000000002E-9</v>
      </c>
      <c r="L71" s="681">
        <f t="shared" si="6"/>
        <v>4.8444169750434274E-9</v>
      </c>
      <c r="M71" s="678">
        <f t="shared" si="7"/>
        <v>-8.4441697504342712E-10</v>
      </c>
      <c r="Q71" s="682">
        <v>5.0000000000000001E-9</v>
      </c>
      <c r="R71" s="681">
        <f t="shared" si="8"/>
        <v>5.6981373159369025E-9</v>
      </c>
      <c r="S71" s="678">
        <f t="shared" si="9"/>
        <v>-6.9813731593690236E-10</v>
      </c>
      <c r="U71" s="682">
        <v>4.0000000000000002E-9</v>
      </c>
      <c r="V71" s="681">
        <f t="shared" si="10"/>
        <v>4.4785111723642453E-9</v>
      </c>
      <c r="W71" s="678">
        <f t="shared" si="11"/>
        <v>-4.7851117236424502E-10</v>
      </c>
    </row>
    <row r="72" spans="3:63">
      <c r="C72" s="547">
        <v>6.4</v>
      </c>
      <c r="D72" s="683">
        <v>2.6770230000000001E-9</v>
      </c>
      <c r="E72" s="678"/>
      <c r="F72" s="678"/>
      <c r="G72" s="682">
        <v>5.0000000000000001E-9</v>
      </c>
      <c r="H72" s="681">
        <f t="shared" si="4"/>
        <v>4.9083713472573744E-9</v>
      </c>
      <c r="I72" s="678">
        <f t="shared" si="5"/>
        <v>9.1628652742625689E-11</v>
      </c>
      <c r="K72" s="682">
        <v>4.0000000000000002E-9</v>
      </c>
      <c r="L72" s="681">
        <f t="shared" si="6"/>
        <v>4.4811169683165388E-9</v>
      </c>
      <c r="M72" s="678">
        <f t="shared" si="7"/>
        <v>-4.811169683165386E-10</v>
      </c>
      <c r="Q72" s="682">
        <v>5.0000000000000001E-9</v>
      </c>
      <c r="R72" s="681">
        <f t="shared" si="8"/>
        <v>5.1316137321880529E-9</v>
      </c>
      <c r="S72" s="678">
        <f t="shared" si="9"/>
        <v>-1.3161373218805277E-10</v>
      </c>
      <c r="U72" s="682">
        <v>4.0000000000000002E-9</v>
      </c>
      <c r="V72" s="681">
        <f t="shared" si="10"/>
        <v>4.0012910815732307E-9</v>
      </c>
      <c r="W72" s="678">
        <f t="shared" si="11"/>
        <v>-1.2910815732304776E-12</v>
      </c>
    </row>
    <row r="73" spans="3:63">
      <c r="C73" s="547">
        <v>6.6</v>
      </c>
      <c r="D73" s="683">
        <v>2.6305677E-9</v>
      </c>
      <c r="E73" s="678"/>
      <c r="F73" s="678"/>
      <c r="G73" s="682">
        <v>5.0000000000000001E-9</v>
      </c>
      <c r="H73" s="681">
        <f t="shared" si="4"/>
        <v>4.7165766464473155E-9</v>
      </c>
      <c r="I73" s="678">
        <f t="shared" si="5"/>
        <v>2.8342335355268456E-10</v>
      </c>
      <c r="K73" s="682">
        <v>4.0000000000000002E-9</v>
      </c>
      <c r="L73" s="681">
        <f t="shared" si="6"/>
        <v>4.4329297142439308E-9</v>
      </c>
      <c r="M73" s="678">
        <f t="shared" si="7"/>
        <v>-4.329297142439306E-10</v>
      </c>
      <c r="Q73" s="682">
        <v>5.0000000000000001E-9</v>
      </c>
      <c r="R73" s="681">
        <f t="shared" si="8"/>
        <v>4.8982934882894051E-9</v>
      </c>
      <c r="S73" s="678">
        <f t="shared" si="9"/>
        <v>1.0170651171059505E-10</v>
      </c>
      <c r="U73" s="682">
        <v>4.0000000000000002E-9</v>
      </c>
      <c r="V73" s="681">
        <f t="shared" si="10"/>
        <v>3.8489456466973295E-9</v>
      </c>
      <c r="W73" s="678">
        <f t="shared" si="11"/>
        <v>1.5105435330267075E-10</v>
      </c>
    </row>
    <row r="74" spans="3:63">
      <c r="C74" s="547">
        <v>6.8</v>
      </c>
      <c r="D74" s="683">
        <v>2.5476428000000002E-9</v>
      </c>
      <c r="E74" s="678"/>
      <c r="F74" s="678"/>
      <c r="G74" s="682">
        <v>5.0000000000000001E-9</v>
      </c>
      <c r="H74" s="681">
        <f t="shared" si="4"/>
        <v>4.5026974867799302E-9</v>
      </c>
      <c r="I74" s="678">
        <f t="shared" si="5"/>
        <v>4.9730251322006993E-10</v>
      </c>
      <c r="K74" s="682">
        <v>4.0000000000000002E-9</v>
      </c>
      <c r="L74" s="681">
        <f t="shared" si="6"/>
        <v>4.3489785791415138E-9</v>
      </c>
      <c r="M74" s="678">
        <f t="shared" si="7"/>
        <v>-3.4897857914151355E-10</v>
      </c>
      <c r="Q74" s="682">
        <v>5.0000000000000001E-9</v>
      </c>
      <c r="R74" s="681">
        <f t="shared" si="8"/>
        <v>4.6469988258599099E-9</v>
      </c>
      <c r="S74" s="678">
        <f t="shared" si="9"/>
        <v>3.5300117414009021E-10</v>
      </c>
      <c r="U74" s="682">
        <v>4.0000000000000002E-9</v>
      </c>
      <c r="V74" s="681">
        <f t="shared" si="10"/>
        <v>3.6706112146539491E-9</v>
      </c>
      <c r="W74" s="678">
        <f t="shared" si="11"/>
        <v>3.2938878534605112E-10</v>
      </c>
    </row>
    <row r="75" spans="3:63">
      <c r="C75" s="547">
        <v>7</v>
      </c>
      <c r="D75" s="683">
        <v>2.8068757E-9</v>
      </c>
      <c r="E75" s="678"/>
      <c r="F75" s="678"/>
      <c r="G75" s="682">
        <v>5.0000000000000001E-9</v>
      </c>
      <c r="H75" s="681">
        <f t="shared" si="4"/>
        <v>4.6446702719330508E-9</v>
      </c>
      <c r="I75" s="678">
        <f t="shared" si="5"/>
        <v>3.5532972806694931E-10</v>
      </c>
      <c r="K75" s="682">
        <v>4.0000000000000002E-9</v>
      </c>
      <c r="L75" s="681">
        <f t="shared" si="6"/>
        <v>4.6076161588245198E-9</v>
      </c>
      <c r="M75" s="678">
        <f t="shared" si="7"/>
        <v>-6.0761615882451956E-10</v>
      </c>
      <c r="Q75" s="682">
        <v>5.0000000000000001E-9</v>
      </c>
      <c r="R75" s="681">
        <f t="shared" si="8"/>
        <v>4.7554687210567791E-9</v>
      </c>
      <c r="S75" s="678">
        <f t="shared" si="9"/>
        <v>2.4453127894322103E-10</v>
      </c>
      <c r="U75" s="682">
        <v>4.0000000000000002E-9</v>
      </c>
      <c r="V75" s="681">
        <f t="shared" si="10"/>
        <v>3.8444117452655086E-9</v>
      </c>
      <c r="W75" s="678">
        <f t="shared" si="11"/>
        <v>1.5558825473449163E-10</v>
      </c>
    </row>
    <row r="76" spans="3:63">
      <c r="C76" s="547">
        <v>7.2</v>
      </c>
      <c r="D76" s="683">
        <v>3.1685701E-9</v>
      </c>
      <c r="E76" s="678"/>
      <c r="F76" s="678"/>
      <c r="G76" s="682">
        <v>5.0000000000000001E-9</v>
      </c>
      <c r="H76" s="681">
        <f t="shared" si="4"/>
        <v>4.902010191645871E-9</v>
      </c>
      <c r="I76" s="678">
        <f t="shared" ref="I76:I80" si="12">G76-H76</f>
        <v>9.7989808354129134E-11</v>
      </c>
      <c r="K76" s="682">
        <v>4.0000000000000002E-9</v>
      </c>
      <c r="L76" s="681">
        <f t="shared" si="6"/>
        <v>4.9689724289458165E-9</v>
      </c>
      <c r="M76" s="678">
        <f t="shared" si="7"/>
        <v>-9.689724289458163E-10</v>
      </c>
      <c r="Q76" s="682">
        <v>5.0000000000000001E-9</v>
      </c>
      <c r="R76" s="681">
        <f t="shared" si="8"/>
        <v>4.9829930749732628E-9</v>
      </c>
      <c r="S76" s="678">
        <f>Q76-R76</f>
        <v>1.700692502673735E-11</v>
      </c>
      <c r="U76" s="682">
        <v>4.0000000000000002E-9</v>
      </c>
      <c r="V76" s="681">
        <f t="shared" si="10"/>
        <v>4.1300764524848489E-9</v>
      </c>
      <c r="W76" s="678">
        <f t="shared" si="11"/>
        <v>-1.3007645248484863E-10</v>
      </c>
    </row>
    <row r="77" spans="3:63">
      <c r="C77" s="547">
        <v>7.4</v>
      </c>
      <c r="D77" s="683">
        <v>3.3123959999999998E-9</v>
      </c>
      <c r="E77" s="678"/>
      <c r="F77" s="678"/>
      <c r="G77" s="682">
        <v>5.0000000000000001E-9</v>
      </c>
      <c r="H77" s="681">
        <f t="shared" si="4"/>
        <v>4.9535291831030978E-9</v>
      </c>
      <c r="I77" s="678">
        <f t="shared" si="12"/>
        <v>4.6470816896902324E-11</v>
      </c>
      <c r="K77" s="682">
        <v>4.0000000000000002E-9</v>
      </c>
      <c r="L77" s="681">
        <f t="shared" si="6"/>
        <v>5.1126102770978494E-9</v>
      </c>
      <c r="M77" s="678">
        <f t="shared" si="7"/>
        <v>-1.1126102770978492E-9</v>
      </c>
      <c r="Q77" s="682">
        <v>5.0000000000000001E-9</v>
      </c>
      <c r="R77" s="681">
        <f t="shared" si="8"/>
        <v>5.0081386639896967E-9</v>
      </c>
      <c r="S77" s="678">
        <f t="shared" si="9"/>
        <v>-8.1386639896965751E-12</v>
      </c>
      <c r="U77" s="682">
        <v>4.0000000000000002E-9</v>
      </c>
      <c r="V77" s="681">
        <f t="shared" si="10"/>
        <v>4.2066501762608282E-9</v>
      </c>
      <c r="W77" s="678">
        <f t="shared" si="11"/>
        <v>-2.0665017626082794E-10</v>
      </c>
    </row>
    <row r="78" spans="3:63">
      <c r="C78" s="547">
        <v>7.6</v>
      </c>
      <c r="D78" s="683">
        <v>3.0853417000000001E-9</v>
      </c>
      <c r="E78" s="678"/>
      <c r="F78" s="678"/>
      <c r="G78" s="682">
        <v>5.0000000000000001E-9</v>
      </c>
      <c r="H78" s="681">
        <f t="shared" si="4"/>
        <v>4.6453136125925198E-9</v>
      </c>
      <c r="I78" s="678">
        <f t="shared" si="12"/>
        <v>3.5468638740748029E-10</v>
      </c>
      <c r="K78" s="682">
        <v>4.0000000000000002E-9</v>
      </c>
      <c r="L78" s="681">
        <f t="shared" si="6"/>
        <v>4.8854535624539893E-9</v>
      </c>
      <c r="M78" s="678">
        <f t="shared" si="7"/>
        <v>-8.8545356245398909E-10</v>
      </c>
      <c r="Q78" s="682">
        <v>5.0000000000000001E-9</v>
      </c>
      <c r="R78" s="681">
        <f t="shared" si="8"/>
        <v>4.6767341590475261E-9</v>
      </c>
      <c r="S78" s="678">
        <f t="shared" si="9"/>
        <v>3.2326584095247401E-10</v>
      </c>
      <c r="U78" s="682">
        <v>4.0000000000000002E-9</v>
      </c>
      <c r="V78" s="681">
        <f t="shared" si="10"/>
        <v>3.920464093460265E-9</v>
      </c>
      <c r="W78" s="678">
        <f t="shared" si="11"/>
        <v>7.9535906539735265E-11</v>
      </c>
    </row>
    <row r="79" spans="3:63">
      <c r="C79" s="547">
        <v>7.8</v>
      </c>
      <c r="D79" s="683">
        <v>2.9139084999999999E-9</v>
      </c>
      <c r="E79" s="678"/>
      <c r="F79" s="678"/>
      <c r="G79" s="682">
        <v>5.0000000000000001E-9</v>
      </c>
      <c r="H79" s="681">
        <f t="shared" si="4"/>
        <v>4.4029419882803813E-9</v>
      </c>
      <c r="I79" s="678">
        <f t="shared" si="12"/>
        <v>5.9705801171961878E-10</v>
      </c>
      <c r="K79" s="682">
        <v>4.0000000000000002E-9</v>
      </c>
      <c r="L79" s="681">
        <f t="shared" si="6"/>
        <v>4.7139657409772378E-9</v>
      </c>
      <c r="M79" s="678">
        <f t="shared" si="7"/>
        <v>-7.139657409772376E-10</v>
      </c>
      <c r="Q79" s="682">
        <v>5.0000000000000001E-9</v>
      </c>
      <c r="R79" s="681">
        <f t="shared" si="8"/>
        <v>4.4140944135033473E-9</v>
      </c>
      <c r="S79" s="678">
        <f t="shared" si="9"/>
        <v>5.859055864966528E-10</v>
      </c>
      <c r="U79" s="682">
        <v>4.0000000000000002E-9</v>
      </c>
      <c r="V79" s="681">
        <f t="shared" si="10"/>
        <v>3.6973471843185637E-9</v>
      </c>
      <c r="W79" s="678">
        <f t="shared" si="11"/>
        <v>3.0265281568143657E-10</v>
      </c>
    </row>
    <row r="80" spans="3:63">
      <c r="C80" s="547">
        <v>8</v>
      </c>
      <c r="D80" s="683">
        <v>2.6977739999999999E-9</v>
      </c>
      <c r="E80" s="678"/>
      <c r="F80" s="678"/>
      <c r="G80" s="682">
        <v>5.0000000000000001E-9</v>
      </c>
      <c r="H80" s="681">
        <f t="shared" si="4"/>
        <v>4.1251683566877127E-9</v>
      </c>
      <c r="I80" s="678">
        <f t="shared" si="12"/>
        <v>8.7483164331228743E-10</v>
      </c>
      <c r="K80" s="682">
        <v>4.0000000000000002E-9</v>
      </c>
      <c r="L80" s="681">
        <f t="shared" si="6"/>
        <v>4.4978027107043524E-9</v>
      </c>
      <c r="M80" s="678">
        <f t="shared" si="7"/>
        <v>-4.978027107043521E-10</v>
      </c>
      <c r="Q80" s="682">
        <v>5.0000000000000001E-9</v>
      </c>
      <c r="R80" s="681">
        <f t="shared" si="8"/>
        <v>4.1187096014556307E-9</v>
      </c>
      <c r="S80" s="678">
        <f t="shared" si="9"/>
        <v>8.8129039854436942E-10</v>
      </c>
      <c r="U80" s="682">
        <v>4.0000000000000002E-9</v>
      </c>
      <c r="V80" s="681">
        <f t="shared" si="10"/>
        <v>3.4363041741581906E-9</v>
      </c>
      <c r="W80" s="678">
        <f t="shared" si="11"/>
        <v>5.6369582584180965E-10</v>
      </c>
    </row>
    <row r="81" spans="1:29">
      <c r="A81" s="708"/>
      <c r="B81" s="708"/>
      <c r="C81" s="709"/>
      <c r="D81" s="709"/>
      <c r="E81" s="710"/>
      <c r="F81" s="709"/>
      <c r="G81" s="709"/>
      <c r="H81" s="709"/>
      <c r="I81" s="709"/>
      <c r="J81" s="708"/>
      <c r="K81" s="708"/>
      <c r="L81" s="708"/>
      <c r="M81" s="708"/>
      <c r="N81" s="708"/>
      <c r="O81" s="708"/>
      <c r="P81" s="708"/>
      <c r="Q81" s="708"/>
      <c r="R81" s="708"/>
      <c r="S81" s="708"/>
      <c r="T81" s="708"/>
      <c r="U81" s="708"/>
      <c r="V81" s="708"/>
      <c r="W81" s="708"/>
      <c r="X81" s="708"/>
      <c r="Y81" s="708"/>
      <c r="Z81" s="708"/>
      <c r="AA81" s="708"/>
      <c r="AB81" s="708"/>
      <c r="AC81" s="708"/>
    </row>
    <row r="82" spans="1:29">
      <c r="A82" s="708"/>
      <c r="B82" s="708"/>
      <c r="C82" s="709"/>
      <c r="D82" s="709"/>
      <c r="E82" s="709"/>
      <c r="F82" s="709"/>
      <c r="G82" s="709"/>
      <c r="H82" s="709"/>
      <c r="I82" s="709"/>
      <c r="J82" s="708"/>
      <c r="K82" s="708"/>
      <c r="L82" s="708"/>
      <c r="M82" s="708"/>
      <c r="N82" s="708"/>
      <c r="O82" s="708"/>
      <c r="P82" s="708"/>
      <c r="Q82" s="708"/>
      <c r="R82" s="708"/>
      <c r="S82" s="708"/>
      <c r="T82" s="708"/>
      <c r="U82" s="708"/>
      <c r="V82" s="708"/>
      <c r="W82" s="708"/>
      <c r="X82" s="708"/>
      <c r="Y82" s="708"/>
      <c r="Z82" s="708"/>
      <c r="AA82" s="708"/>
      <c r="AB82" s="708"/>
      <c r="AC82" s="708"/>
    </row>
    <row r="83" spans="1:29">
      <c r="A83" s="708"/>
      <c r="B83" s="708"/>
      <c r="C83" s="709"/>
      <c r="D83" s="709"/>
      <c r="E83" s="709"/>
      <c r="F83" s="709"/>
      <c r="G83" s="709"/>
      <c r="H83" s="709"/>
      <c r="I83" s="708"/>
      <c r="J83" s="708"/>
      <c r="K83" s="708"/>
      <c r="L83" s="708"/>
      <c r="M83" s="708"/>
      <c r="N83" s="708"/>
      <c r="O83" s="708"/>
      <c r="P83" s="708"/>
      <c r="Q83" s="708"/>
      <c r="R83" s="708"/>
      <c r="S83" s="708"/>
      <c r="T83" s="708"/>
      <c r="U83" s="708"/>
      <c r="V83" s="708"/>
      <c r="W83" s="708"/>
      <c r="X83" s="708"/>
      <c r="Y83" s="708"/>
      <c r="Z83" s="708"/>
      <c r="AA83" s="708"/>
      <c r="AB83" s="708"/>
      <c r="AC83" s="708"/>
    </row>
    <row r="84" spans="1:29">
      <c r="A84" s="708"/>
      <c r="B84" s="708"/>
      <c r="C84" s="709"/>
      <c r="D84" s="709"/>
      <c r="E84" s="709"/>
      <c r="F84" s="709"/>
      <c r="G84" s="709"/>
      <c r="H84" s="709"/>
      <c r="I84" s="708"/>
      <c r="J84" s="708"/>
      <c r="K84" s="708"/>
      <c r="L84" s="708"/>
      <c r="M84" s="708"/>
      <c r="N84" s="708"/>
      <c r="O84" s="708"/>
      <c r="P84" s="708"/>
      <c r="Q84" s="708"/>
      <c r="R84" s="708"/>
      <c r="S84" s="708"/>
      <c r="T84" s="708"/>
      <c r="U84" s="708"/>
      <c r="V84" s="708"/>
      <c r="W84" s="708"/>
      <c r="X84" s="708"/>
      <c r="Y84" s="708"/>
      <c r="Z84" s="708"/>
      <c r="AA84" s="708"/>
      <c r="AB84" s="708"/>
      <c r="AC84" s="708"/>
    </row>
    <row r="85" spans="1:29">
      <c r="A85" s="708"/>
      <c r="B85" s="708"/>
      <c r="C85" s="709"/>
      <c r="D85" s="709"/>
      <c r="E85" s="709"/>
      <c r="F85" s="709"/>
      <c r="G85" s="709"/>
      <c r="H85" s="709"/>
      <c r="I85" s="708"/>
      <c r="J85" s="708"/>
      <c r="K85" s="708"/>
      <c r="L85" s="708"/>
      <c r="M85" s="708"/>
      <c r="N85" s="708"/>
      <c r="O85" s="708"/>
      <c r="P85" s="708"/>
      <c r="Q85" s="708"/>
      <c r="R85" s="708"/>
      <c r="S85" s="708"/>
      <c r="T85" s="708"/>
      <c r="U85" s="708"/>
      <c r="V85" s="708"/>
      <c r="W85" s="708"/>
      <c r="X85" s="708"/>
      <c r="Y85" s="708"/>
      <c r="Z85" s="708"/>
      <c r="AA85" s="708"/>
      <c r="AB85" s="708"/>
      <c r="AC85" s="708"/>
    </row>
    <row r="86" spans="1:29">
      <c r="A86" s="708"/>
      <c r="B86" s="708"/>
      <c r="C86" s="709"/>
      <c r="D86" s="709"/>
      <c r="E86" s="709"/>
      <c r="F86" s="709"/>
      <c r="G86" s="709"/>
      <c r="H86" s="709"/>
      <c r="I86" s="708"/>
      <c r="J86" s="708"/>
      <c r="K86" s="708"/>
      <c r="L86" s="708"/>
      <c r="M86" s="708"/>
      <c r="N86" s="708"/>
      <c r="O86" s="708"/>
      <c r="P86" s="708"/>
      <c r="Q86" s="708"/>
      <c r="R86" s="708"/>
      <c r="S86" s="708"/>
      <c r="T86" s="708"/>
      <c r="U86" s="708"/>
      <c r="V86" s="708"/>
      <c r="W86" s="708"/>
      <c r="X86" s="708"/>
      <c r="Y86" s="708"/>
      <c r="Z86" s="708"/>
      <c r="AA86" s="708"/>
      <c r="AB86" s="708"/>
      <c r="AC86" s="708"/>
    </row>
    <row r="87" spans="1:29">
      <c r="A87" s="708"/>
      <c r="B87" s="708"/>
      <c r="C87" s="709"/>
      <c r="D87" s="709"/>
      <c r="E87" s="709"/>
      <c r="F87" s="709"/>
      <c r="G87" s="709"/>
      <c r="H87" s="709"/>
      <c r="I87" s="708"/>
      <c r="J87" s="708"/>
      <c r="K87" s="708"/>
      <c r="L87" s="708"/>
      <c r="M87" s="708"/>
      <c r="N87" s="708"/>
      <c r="O87" s="708"/>
      <c r="P87" s="708"/>
      <c r="Q87" s="708"/>
      <c r="R87" s="708"/>
      <c r="S87" s="708"/>
      <c r="T87" s="708"/>
      <c r="U87" s="708"/>
      <c r="V87" s="708"/>
      <c r="W87" s="708"/>
      <c r="X87" s="708"/>
      <c r="Y87" s="708"/>
      <c r="Z87" s="708"/>
      <c r="AA87" s="708"/>
      <c r="AB87" s="708"/>
      <c r="AC87" s="708"/>
    </row>
    <row r="88" spans="1:29">
      <c r="A88" s="708"/>
      <c r="B88" s="708"/>
      <c r="C88" s="709"/>
      <c r="D88" s="709"/>
      <c r="E88" s="709"/>
      <c r="F88" s="709"/>
      <c r="G88" s="709"/>
      <c r="H88" s="709"/>
      <c r="I88" s="708"/>
      <c r="J88" s="708"/>
      <c r="K88" s="708"/>
      <c r="L88" s="708"/>
      <c r="M88" s="708"/>
      <c r="N88" s="708"/>
      <c r="O88" s="708"/>
      <c r="P88" s="708"/>
      <c r="Q88" s="708"/>
      <c r="R88" s="708"/>
      <c r="S88" s="708"/>
      <c r="T88" s="708"/>
      <c r="U88" s="708"/>
      <c r="V88" s="708"/>
      <c r="W88" s="708"/>
      <c r="X88" s="708"/>
      <c r="Y88" s="708"/>
      <c r="Z88" s="708"/>
      <c r="AA88" s="708"/>
      <c r="AB88" s="708"/>
      <c r="AC88" s="708"/>
    </row>
    <row r="89" spans="1:29">
      <c r="A89" s="708"/>
      <c r="B89" s="708"/>
      <c r="C89" s="709"/>
      <c r="D89" s="709"/>
      <c r="E89" s="709"/>
      <c r="F89" s="709"/>
      <c r="G89" s="709"/>
      <c r="H89" s="709"/>
      <c r="I89" s="708"/>
      <c r="J89" s="708"/>
      <c r="K89" s="708"/>
      <c r="L89" s="708"/>
      <c r="M89" s="708"/>
      <c r="N89" s="708"/>
      <c r="O89" s="708"/>
      <c r="P89" s="708"/>
      <c r="Q89" s="708"/>
      <c r="R89" s="708"/>
      <c r="S89" s="708"/>
      <c r="T89" s="708"/>
      <c r="U89" s="708"/>
      <c r="V89" s="708"/>
      <c r="W89" s="708"/>
      <c r="X89" s="708"/>
      <c r="Y89" s="708"/>
      <c r="Z89" s="708"/>
      <c r="AA89" s="708"/>
      <c r="AB89" s="708"/>
      <c r="AC89" s="708"/>
    </row>
    <row r="90" spans="1:29">
      <c r="A90" s="708"/>
      <c r="B90" s="708"/>
      <c r="C90" s="709"/>
      <c r="D90" s="709"/>
      <c r="E90" s="709"/>
      <c r="F90" s="709"/>
      <c r="G90" s="709"/>
      <c r="H90" s="709"/>
      <c r="I90" s="708"/>
      <c r="J90" s="708"/>
      <c r="K90" s="708"/>
      <c r="L90" s="708"/>
      <c r="M90" s="708"/>
      <c r="N90" s="708"/>
      <c r="O90" s="708"/>
      <c r="P90" s="708"/>
      <c r="Q90" s="708"/>
      <c r="R90" s="708"/>
      <c r="S90" s="708"/>
      <c r="T90" s="708"/>
      <c r="U90" s="708"/>
      <c r="V90" s="708"/>
      <c r="W90" s="708"/>
      <c r="X90" s="708"/>
      <c r="Y90" s="708"/>
      <c r="Z90" s="708"/>
      <c r="AA90" s="708"/>
      <c r="AB90" s="708"/>
      <c r="AC90" s="708"/>
    </row>
    <row r="91" spans="1:29">
      <c r="A91" s="708"/>
      <c r="B91" s="708"/>
      <c r="C91" s="709"/>
      <c r="D91" s="709"/>
      <c r="E91" s="709"/>
      <c r="F91" s="709"/>
      <c r="G91" s="709"/>
      <c r="H91" s="709"/>
      <c r="I91" s="708"/>
      <c r="J91" s="708"/>
      <c r="K91" s="708"/>
      <c r="L91" s="708"/>
      <c r="M91" s="708"/>
      <c r="N91" s="708"/>
      <c r="O91" s="708"/>
      <c r="P91" s="708"/>
      <c r="Q91" s="708"/>
      <c r="R91" s="708"/>
      <c r="S91" s="708"/>
      <c r="T91" s="708"/>
      <c r="U91" s="708"/>
      <c r="V91" s="708"/>
      <c r="W91" s="708"/>
      <c r="X91" s="708"/>
      <c r="Y91" s="708"/>
      <c r="Z91" s="708"/>
      <c r="AA91" s="708"/>
      <c r="AB91" s="708"/>
      <c r="AC91" s="708"/>
    </row>
    <row r="92" spans="1:29">
      <c r="A92" s="708"/>
      <c r="B92" s="708"/>
      <c r="C92" s="709"/>
      <c r="D92" s="709"/>
      <c r="E92" s="709"/>
      <c r="F92" s="709"/>
      <c r="G92" s="709"/>
      <c r="H92" s="709"/>
      <c r="I92" s="708"/>
      <c r="J92" s="708"/>
      <c r="K92" s="708"/>
      <c r="L92" s="708"/>
      <c r="M92" s="708"/>
      <c r="N92" s="708"/>
      <c r="O92" s="708"/>
      <c r="P92" s="708"/>
      <c r="Q92" s="708"/>
      <c r="R92" s="708"/>
      <c r="S92" s="708"/>
      <c r="T92" s="708"/>
      <c r="U92" s="708"/>
      <c r="V92" s="708"/>
      <c r="W92" s="708"/>
      <c r="X92" s="708"/>
      <c r="Y92" s="708"/>
      <c r="Z92" s="708"/>
      <c r="AA92" s="708"/>
      <c r="AB92" s="708"/>
      <c r="AC92" s="708"/>
    </row>
    <row r="93" spans="1:29">
      <c r="A93" s="708"/>
      <c r="B93" s="708"/>
      <c r="C93" s="709"/>
      <c r="D93" s="709"/>
      <c r="E93" s="709"/>
      <c r="F93" s="709"/>
      <c r="G93" s="709"/>
      <c r="H93" s="709"/>
      <c r="I93" s="708"/>
      <c r="J93" s="708"/>
      <c r="K93" s="708"/>
      <c r="L93" s="708"/>
      <c r="M93" s="708"/>
      <c r="N93" s="708"/>
      <c r="O93" s="708"/>
      <c r="P93" s="708"/>
      <c r="Q93" s="708"/>
      <c r="R93" s="708"/>
      <c r="S93" s="708"/>
      <c r="T93" s="708"/>
      <c r="U93" s="708"/>
      <c r="V93" s="708"/>
      <c r="W93" s="708"/>
      <c r="X93" s="708"/>
      <c r="Y93" s="708"/>
      <c r="Z93" s="708"/>
      <c r="AA93" s="708"/>
      <c r="AB93" s="708"/>
      <c r="AC93" s="708"/>
    </row>
    <row r="94" spans="1:29">
      <c r="A94" s="708"/>
      <c r="B94" s="708"/>
      <c r="C94" s="709"/>
      <c r="D94" s="709"/>
      <c r="E94" s="709"/>
      <c r="F94" s="709"/>
      <c r="G94" s="709"/>
      <c r="H94" s="709"/>
      <c r="I94" s="708"/>
      <c r="J94" s="708"/>
      <c r="K94" s="708"/>
      <c r="L94" s="708"/>
      <c r="M94" s="708"/>
      <c r="N94" s="708"/>
      <c r="O94" s="708"/>
      <c r="P94" s="708"/>
      <c r="Q94" s="708"/>
      <c r="R94" s="708"/>
      <c r="S94" s="708"/>
      <c r="T94" s="708"/>
      <c r="U94" s="708"/>
      <c r="V94" s="708"/>
      <c r="W94" s="708"/>
      <c r="X94" s="708"/>
      <c r="Y94" s="708"/>
      <c r="Z94" s="708"/>
      <c r="AA94" s="708"/>
      <c r="AB94" s="708"/>
      <c r="AC94" s="708"/>
    </row>
    <row r="95" spans="1:29">
      <c r="A95" s="708"/>
      <c r="B95" s="708"/>
      <c r="C95" s="709"/>
      <c r="D95" s="709"/>
      <c r="E95" s="709"/>
      <c r="F95" s="709"/>
      <c r="G95" s="709"/>
      <c r="H95" s="709"/>
      <c r="I95" s="708"/>
      <c r="J95" s="708"/>
      <c r="K95" s="708"/>
      <c r="L95" s="708"/>
      <c r="M95" s="708"/>
      <c r="N95" s="708"/>
      <c r="O95" s="708"/>
      <c r="P95" s="708"/>
      <c r="Q95" s="708"/>
      <c r="R95" s="708"/>
      <c r="S95" s="708"/>
      <c r="T95" s="708"/>
      <c r="U95" s="708"/>
      <c r="V95" s="708"/>
      <c r="W95" s="708"/>
      <c r="X95" s="708"/>
      <c r="Y95" s="708"/>
      <c r="Z95" s="708"/>
      <c r="AA95" s="708"/>
      <c r="AB95" s="708"/>
      <c r="AC95" s="708"/>
    </row>
    <row r="96" spans="1:29">
      <c r="A96" s="708"/>
      <c r="B96" s="708"/>
      <c r="C96" s="709"/>
      <c r="D96" s="709"/>
      <c r="E96" s="709"/>
      <c r="F96" s="709"/>
      <c r="G96" s="709"/>
      <c r="H96" s="709"/>
      <c r="I96" s="708"/>
      <c r="J96" s="708"/>
      <c r="K96" s="708"/>
      <c r="L96" s="708"/>
      <c r="M96" s="708"/>
      <c r="N96" s="708"/>
      <c r="O96" s="708"/>
      <c r="P96" s="708"/>
      <c r="Q96" s="708"/>
      <c r="R96" s="708"/>
      <c r="S96" s="708"/>
      <c r="T96" s="708"/>
      <c r="U96" s="708"/>
      <c r="V96" s="708"/>
      <c r="W96" s="708"/>
      <c r="X96" s="708"/>
      <c r="Y96" s="708"/>
      <c r="Z96" s="708"/>
      <c r="AA96" s="708"/>
      <c r="AB96" s="708"/>
      <c r="AC96" s="708"/>
    </row>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405"/>
  <sheetViews>
    <sheetView workbookViewId="0">
      <selection activeCell="L6" sqref="L6"/>
    </sheetView>
  </sheetViews>
  <sheetFormatPr defaultColWidth="12.42578125" defaultRowHeight="15.75"/>
  <cols>
    <col min="1" max="1" width="12.42578125" style="737"/>
    <col min="2" max="2" width="6.42578125" style="737" customWidth="1"/>
    <col min="3" max="3" width="16" style="737" customWidth="1"/>
    <col min="4" max="4" width="14.42578125" style="737" customWidth="1"/>
    <col min="5" max="9" width="12.42578125" style="737"/>
    <col min="10" max="10" width="17.85546875" style="737" customWidth="1"/>
    <col min="11" max="16384" width="12.42578125" style="737"/>
  </cols>
  <sheetData>
    <row r="1" spans="1:82" s="736" customFormat="1" ht="21" customHeight="1">
      <c r="A1" s="736" t="s">
        <v>59</v>
      </c>
    </row>
    <row r="2" spans="1:82">
      <c r="C2" s="738" t="s">
        <v>791</v>
      </c>
      <c r="F2" s="739" t="s">
        <v>792</v>
      </c>
      <c r="G2" s="737" t="s">
        <v>793</v>
      </c>
      <c r="H2" s="740">
        <v>42270</v>
      </c>
      <c r="K2" s="741" t="s">
        <v>794</v>
      </c>
    </row>
    <row r="3" spans="1:82" ht="33">
      <c r="C3" s="737" t="s">
        <v>795</v>
      </c>
      <c r="D3" s="740" t="s">
        <v>796</v>
      </c>
      <c r="J3" s="737">
        <v>0.59</v>
      </c>
      <c r="K3" s="737" t="s">
        <v>797</v>
      </c>
      <c r="L3" s="740">
        <v>42116</v>
      </c>
      <c r="N3" s="738"/>
      <c r="S3" s="742" t="s">
        <v>798</v>
      </c>
      <c r="AI3" s="743" t="s">
        <v>799</v>
      </c>
      <c r="AY3" s="743" t="s">
        <v>800</v>
      </c>
      <c r="BP3" s="743" t="s">
        <v>801</v>
      </c>
    </row>
    <row r="4" spans="1:82">
      <c r="C4" s="744" t="s">
        <v>802</v>
      </c>
      <c r="D4" s="745">
        <v>0.56499999999999995</v>
      </c>
      <c r="E4" s="741" t="s">
        <v>213</v>
      </c>
      <c r="S4" s="746" t="s">
        <v>802</v>
      </c>
      <c r="T4" s="746" t="s">
        <v>803</v>
      </c>
      <c r="U4" s="746" t="s">
        <v>804</v>
      </c>
      <c r="V4" s="746" t="s">
        <v>805</v>
      </c>
      <c r="W4" s="746" t="s">
        <v>806</v>
      </c>
      <c r="X4" s="746" t="s">
        <v>807</v>
      </c>
      <c r="Y4" s="746" t="s">
        <v>808</v>
      </c>
      <c r="Z4" s="746" t="s">
        <v>809</v>
      </c>
      <c r="AA4" s="746" t="s">
        <v>810</v>
      </c>
      <c r="AB4" s="746" t="s">
        <v>811</v>
      </c>
      <c r="AC4" s="746" t="s">
        <v>812</v>
      </c>
      <c r="AD4" s="746" t="s">
        <v>813</v>
      </c>
      <c r="AE4" s="746" t="s">
        <v>814</v>
      </c>
      <c r="AF4" s="746" t="s">
        <v>815</v>
      </c>
      <c r="AG4" s="746" t="s">
        <v>816</v>
      </c>
      <c r="AI4" s="746" t="s">
        <v>802</v>
      </c>
      <c r="AJ4" s="746" t="s">
        <v>803</v>
      </c>
      <c r="AK4" s="746" t="s">
        <v>804</v>
      </c>
      <c r="AL4" s="746" t="s">
        <v>805</v>
      </c>
      <c r="AM4" s="746" t="s">
        <v>806</v>
      </c>
      <c r="AN4" s="746" t="s">
        <v>807</v>
      </c>
      <c r="AO4" s="746" t="s">
        <v>808</v>
      </c>
      <c r="AP4" s="746" t="s">
        <v>809</v>
      </c>
      <c r="AQ4" s="746" t="s">
        <v>810</v>
      </c>
      <c r="AR4" s="746" t="s">
        <v>811</v>
      </c>
      <c r="AS4" s="746" t="s">
        <v>812</v>
      </c>
      <c r="AT4" s="746" t="s">
        <v>813</v>
      </c>
      <c r="AU4" s="746" t="s">
        <v>814</v>
      </c>
      <c r="AV4" s="746" t="s">
        <v>815</v>
      </c>
      <c r="AW4" s="746" t="s">
        <v>816</v>
      </c>
      <c r="AY4" s="746" t="s">
        <v>802</v>
      </c>
      <c r="AZ4" s="746" t="s">
        <v>803</v>
      </c>
      <c r="BA4" s="746" t="s">
        <v>804</v>
      </c>
      <c r="BB4" s="746" t="s">
        <v>805</v>
      </c>
      <c r="BC4" s="746" t="s">
        <v>806</v>
      </c>
      <c r="BD4" s="746" t="s">
        <v>807</v>
      </c>
      <c r="BE4" s="746" t="s">
        <v>808</v>
      </c>
      <c r="BF4" s="746" t="s">
        <v>809</v>
      </c>
      <c r="BG4" s="746" t="s">
        <v>810</v>
      </c>
      <c r="BH4" s="746" t="s">
        <v>811</v>
      </c>
      <c r="BI4" s="746" t="s">
        <v>812</v>
      </c>
      <c r="BJ4" s="746" t="s">
        <v>813</v>
      </c>
      <c r="BK4" s="746" t="s">
        <v>814</v>
      </c>
      <c r="BL4" s="746" t="s">
        <v>815</v>
      </c>
      <c r="BM4" s="746" t="s">
        <v>816</v>
      </c>
      <c r="BP4" s="746" t="s">
        <v>802</v>
      </c>
      <c r="BQ4" s="746" t="s">
        <v>803</v>
      </c>
      <c r="BR4" s="746" t="s">
        <v>804</v>
      </c>
      <c r="BS4" s="746" t="s">
        <v>805</v>
      </c>
      <c r="BT4" s="746" t="s">
        <v>806</v>
      </c>
      <c r="BU4" s="746" t="s">
        <v>807</v>
      </c>
      <c r="BV4" s="746" t="s">
        <v>808</v>
      </c>
      <c r="BW4" s="746" t="s">
        <v>809</v>
      </c>
      <c r="BX4" s="746" t="s">
        <v>810</v>
      </c>
      <c r="BY4" s="746" t="s">
        <v>811</v>
      </c>
      <c r="BZ4" s="746" t="s">
        <v>812</v>
      </c>
      <c r="CA4" s="746" t="s">
        <v>813</v>
      </c>
      <c r="CB4" s="746" t="s">
        <v>814</v>
      </c>
      <c r="CC4" s="746" t="s">
        <v>815</v>
      </c>
      <c r="CD4" s="746" t="s">
        <v>816</v>
      </c>
    </row>
    <row r="5" spans="1:82">
      <c r="C5" s="744"/>
      <c r="S5">
        <v>0.43</v>
      </c>
      <c r="T5">
        <v>0.90030239999999995</v>
      </c>
      <c r="U5">
        <v>0.90030239999999995</v>
      </c>
      <c r="V5">
        <v>2.1550000000000001E-4</v>
      </c>
      <c r="W5">
        <v>2.1550000000000001E-4</v>
      </c>
      <c r="X5">
        <v>9.9482000000000001E-2</v>
      </c>
      <c r="Y5">
        <v>9.9482000000000001E-2</v>
      </c>
      <c r="Z5">
        <v>171.3434</v>
      </c>
      <c r="AA5">
        <v>171.3434</v>
      </c>
      <c r="AB5">
        <v>71.029200000000003</v>
      </c>
      <c r="AC5">
        <v>71.029200000000003</v>
      </c>
      <c r="AD5">
        <v>0</v>
      </c>
      <c r="AE5">
        <v>0</v>
      </c>
      <c r="AF5">
        <v>0</v>
      </c>
      <c r="AG5">
        <v>180</v>
      </c>
      <c r="AI5">
        <v>0.43</v>
      </c>
      <c r="AJ5">
        <v>0.91598360000000001</v>
      </c>
      <c r="AK5">
        <v>0.91598360000000001</v>
      </c>
      <c r="AL5">
        <v>2.297E-4</v>
      </c>
      <c r="AM5">
        <v>2.297E-4</v>
      </c>
      <c r="AN5">
        <v>8.3786700000000006E-2</v>
      </c>
      <c r="AO5">
        <v>8.3786700000000006E-2</v>
      </c>
      <c r="AP5">
        <v>-169.21029999999999</v>
      </c>
      <c r="AQ5">
        <v>-169.21029999999999</v>
      </c>
      <c r="AR5">
        <v>108.77889999999999</v>
      </c>
      <c r="AS5">
        <v>108.77889999999999</v>
      </c>
      <c r="AT5">
        <v>0</v>
      </c>
      <c r="AU5">
        <v>0</v>
      </c>
      <c r="AV5">
        <v>0</v>
      </c>
      <c r="AW5">
        <v>180</v>
      </c>
      <c r="AY5">
        <v>0.43</v>
      </c>
      <c r="AZ5">
        <v>8.3840000000000008E-3</v>
      </c>
      <c r="BA5">
        <v>8.3840000000000008E-3</v>
      </c>
      <c r="BB5">
        <v>0.98724449999999997</v>
      </c>
      <c r="BC5">
        <v>0.98724449999999997</v>
      </c>
      <c r="BD5">
        <v>4.3715000000000004E-3</v>
      </c>
      <c r="BE5">
        <v>4.3715000000000004E-3</v>
      </c>
      <c r="BF5">
        <v>148.8236</v>
      </c>
      <c r="BG5">
        <v>148.8236</v>
      </c>
      <c r="BH5">
        <v>-146.2484</v>
      </c>
      <c r="BI5">
        <v>-146.2484</v>
      </c>
      <c r="BJ5">
        <v>0</v>
      </c>
      <c r="BK5">
        <v>0</v>
      </c>
      <c r="BL5">
        <v>0</v>
      </c>
      <c r="BM5">
        <v>180</v>
      </c>
      <c r="BP5">
        <v>0.43</v>
      </c>
      <c r="BQ5">
        <v>0.92645299999999997</v>
      </c>
      <c r="BR5">
        <v>0.92645299999999997</v>
      </c>
      <c r="BS5">
        <v>0</v>
      </c>
      <c r="BT5">
        <v>0</v>
      </c>
      <c r="BU5">
        <v>7.3547000000000001E-2</v>
      </c>
      <c r="BV5">
        <v>7.3547000000000001E-2</v>
      </c>
      <c r="BW5">
        <v>-1.0207999999999999</v>
      </c>
      <c r="BX5">
        <v>-1.0207999999999999</v>
      </c>
      <c r="BY5">
        <v>156.54490000000001</v>
      </c>
      <c r="BZ5">
        <v>156.54490000000001</v>
      </c>
      <c r="CA5">
        <v>0</v>
      </c>
      <c r="CB5">
        <v>0</v>
      </c>
      <c r="CC5">
        <v>0</v>
      </c>
      <c r="CD5">
        <v>180</v>
      </c>
    </row>
    <row r="6" spans="1:82">
      <c r="C6" s="744"/>
      <c r="S6">
        <v>0.43135000000000001</v>
      </c>
      <c r="T6">
        <v>0.90350770000000002</v>
      </c>
      <c r="U6">
        <v>0.90350770000000002</v>
      </c>
      <c r="V6">
        <v>2.041E-4</v>
      </c>
      <c r="W6">
        <v>2.041E-4</v>
      </c>
      <c r="X6">
        <v>9.6288200000000004E-2</v>
      </c>
      <c r="Y6">
        <v>9.6288200000000004E-2</v>
      </c>
      <c r="Z6">
        <v>172.7724</v>
      </c>
      <c r="AA6">
        <v>172.7724</v>
      </c>
      <c r="AB6">
        <v>73.393699999999995</v>
      </c>
      <c r="AC6">
        <v>73.393699999999995</v>
      </c>
      <c r="AD6">
        <v>0</v>
      </c>
      <c r="AE6">
        <v>0</v>
      </c>
      <c r="AF6">
        <v>0</v>
      </c>
      <c r="AG6">
        <v>180</v>
      </c>
      <c r="AI6">
        <v>0.43135000000000001</v>
      </c>
      <c r="AJ6">
        <v>0.91927159999999997</v>
      </c>
      <c r="AK6">
        <v>0.91927159999999997</v>
      </c>
      <c r="AL6">
        <v>2.165E-4</v>
      </c>
      <c r="AM6">
        <v>2.165E-4</v>
      </c>
      <c r="AN6">
        <v>8.0511899999999997E-2</v>
      </c>
      <c r="AO6">
        <v>8.0511899999999997E-2</v>
      </c>
      <c r="AP6">
        <v>-168.04300000000001</v>
      </c>
      <c r="AQ6">
        <v>-168.04300000000001</v>
      </c>
      <c r="AR6">
        <v>110.5498</v>
      </c>
      <c r="AS6">
        <v>110.5498</v>
      </c>
      <c r="AT6">
        <v>0</v>
      </c>
      <c r="AU6">
        <v>0</v>
      </c>
      <c r="AV6">
        <v>0</v>
      </c>
      <c r="AW6">
        <v>180</v>
      </c>
      <c r="AY6">
        <v>0.43135000000000001</v>
      </c>
      <c r="AZ6">
        <v>8.4729000000000002E-3</v>
      </c>
      <c r="BA6">
        <v>8.4729000000000002E-3</v>
      </c>
      <c r="BB6">
        <v>0.98732779999999998</v>
      </c>
      <c r="BC6">
        <v>0.98732779999999998</v>
      </c>
      <c r="BD6">
        <v>4.1992000000000002E-3</v>
      </c>
      <c r="BE6">
        <v>4.1992000000000002E-3</v>
      </c>
      <c r="BF6">
        <v>150.95009999999999</v>
      </c>
      <c r="BG6">
        <v>150.95009999999999</v>
      </c>
      <c r="BH6">
        <v>-145.7073</v>
      </c>
      <c r="BI6">
        <v>-145.7073</v>
      </c>
      <c r="BJ6">
        <v>0</v>
      </c>
      <c r="BK6">
        <v>0</v>
      </c>
      <c r="BL6">
        <v>0</v>
      </c>
      <c r="BM6">
        <v>180</v>
      </c>
      <c r="BP6">
        <v>0.43135000000000001</v>
      </c>
      <c r="BQ6">
        <v>0.92646700000000004</v>
      </c>
      <c r="BR6">
        <v>0.92646700000000004</v>
      </c>
      <c r="BS6">
        <v>0</v>
      </c>
      <c r="BT6">
        <v>0</v>
      </c>
      <c r="BU6">
        <v>7.3533000000000001E-2</v>
      </c>
      <c r="BV6">
        <v>7.3533000000000001E-2</v>
      </c>
      <c r="BW6">
        <v>-1.0996999999999999</v>
      </c>
      <c r="BX6">
        <v>-1.0996999999999999</v>
      </c>
      <c r="BY6">
        <v>156.6157</v>
      </c>
      <c r="BZ6">
        <v>156.6157</v>
      </c>
      <c r="CA6">
        <v>0</v>
      </c>
      <c r="CB6">
        <v>0</v>
      </c>
      <c r="CC6">
        <v>0</v>
      </c>
      <c r="CD6">
        <v>180</v>
      </c>
    </row>
    <row r="7" spans="1:82">
      <c r="C7" s="747" t="s">
        <v>817</v>
      </c>
      <c r="D7" s="747" t="s">
        <v>798</v>
      </c>
      <c r="E7" s="747" t="s">
        <v>818</v>
      </c>
      <c r="F7" s="747" t="s">
        <v>819</v>
      </c>
      <c r="G7" s="747" t="s">
        <v>800</v>
      </c>
      <c r="H7" s="748" t="s">
        <v>820</v>
      </c>
      <c r="I7" s="749" t="s">
        <v>821</v>
      </c>
      <c r="J7" s="737" t="s">
        <v>822</v>
      </c>
      <c r="S7">
        <v>0.43269999999999997</v>
      </c>
      <c r="T7">
        <v>0.90661170000000002</v>
      </c>
      <c r="U7">
        <v>0.90661170000000002</v>
      </c>
      <c r="V7">
        <v>1.9330000000000001E-4</v>
      </c>
      <c r="W7">
        <v>1.9330000000000001E-4</v>
      </c>
      <c r="X7">
        <v>9.3195E-2</v>
      </c>
      <c r="Y7">
        <v>9.3195E-2</v>
      </c>
      <c r="Z7">
        <v>174.1679</v>
      </c>
      <c r="AA7">
        <v>174.1679</v>
      </c>
      <c r="AB7">
        <v>75.691599999999994</v>
      </c>
      <c r="AC7">
        <v>75.691599999999994</v>
      </c>
      <c r="AD7">
        <v>0</v>
      </c>
      <c r="AE7">
        <v>0</v>
      </c>
      <c r="AF7">
        <v>0</v>
      </c>
      <c r="AG7">
        <v>180</v>
      </c>
      <c r="AI7">
        <v>0.43269999999999997</v>
      </c>
      <c r="AJ7">
        <v>0.92239150000000003</v>
      </c>
      <c r="AK7">
        <v>0.92239150000000003</v>
      </c>
      <c r="AL7">
        <v>2.042E-4</v>
      </c>
      <c r="AM7">
        <v>2.042E-4</v>
      </c>
      <c r="AN7">
        <v>7.7404399999999998E-2</v>
      </c>
      <c r="AO7">
        <v>7.7404399999999998E-2</v>
      </c>
      <c r="AP7">
        <v>-166.90629999999999</v>
      </c>
      <c r="AQ7">
        <v>-166.90629999999999</v>
      </c>
      <c r="AR7">
        <v>112.2632</v>
      </c>
      <c r="AS7">
        <v>112.2632</v>
      </c>
      <c r="AT7">
        <v>0</v>
      </c>
      <c r="AU7">
        <v>0</v>
      </c>
      <c r="AV7">
        <v>0</v>
      </c>
      <c r="AW7">
        <v>180</v>
      </c>
      <c r="AY7">
        <v>0.43269999999999997</v>
      </c>
      <c r="AZ7">
        <v>8.5313000000000003E-3</v>
      </c>
      <c r="BA7">
        <v>8.5313000000000003E-3</v>
      </c>
      <c r="BB7">
        <v>0.98744019999999999</v>
      </c>
      <c r="BC7">
        <v>0.98744019999999999</v>
      </c>
      <c r="BD7">
        <v>4.0285E-3</v>
      </c>
      <c r="BE7">
        <v>4.0285E-3</v>
      </c>
      <c r="BF7">
        <v>153.0625</v>
      </c>
      <c r="BG7">
        <v>153.0625</v>
      </c>
      <c r="BH7">
        <v>-145.15450000000001</v>
      </c>
      <c r="BI7">
        <v>-145.15450000000001</v>
      </c>
      <c r="BJ7">
        <v>0</v>
      </c>
      <c r="BK7">
        <v>0</v>
      </c>
      <c r="BL7">
        <v>0</v>
      </c>
      <c r="BM7">
        <v>180</v>
      </c>
      <c r="BP7">
        <v>0.43269999999999997</v>
      </c>
      <c r="BQ7">
        <v>0.92648209999999998</v>
      </c>
      <c r="BR7">
        <v>0.92648209999999998</v>
      </c>
      <c r="BS7">
        <v>0</v>
      </c>
      <c r="BT7">
        <v>0</v>
      </c>
      <c r="BU7">
        <v>7.3517899999999997E-2</v>
      </c>
      <c r="BV7">
        <v>7.3517899999999997E-2</v>
      </c>
      <c r="BW7">
        <v>-1.1779999999999999</v>
      </c>
      <c r="BX7">
        <v>-1.1779999999999999</v>
      </c>
      <c r="BY7">
        <v>156.68600000000001</v>
      </c>
      <c r="BZ7">
        <v>156.68600000000001</v>
      </c>
      <c r="CA7">
        <v>0</v>
      </c>
      <c r="CB7">
        <v>0</v>
      </c>
      <c r="CC7">
        <v>0</v>
      </c>
      <c r="CD7">
        <v>180</v>
      </c>
    </row>
    <row r="8" spans="1:82">
      <c r="C8" s="750" t="s">
        <v>823</v>
      </c>
      <c r="D8" s="751">
        <f>VLOOKUP( D4,S5:AG405,2,TRUE)</f>
        <v>0.98219270000000003</v>
      </c>
      <c r="E8" s="751">
        <f>VLOOKUP(D4,AI5:AW405,2,TRUE)</f>
        <v>0.98364700000000005</v>
      </c>
      <c r="F8" s="751">
        <f>VLOOKUP(D4,BP5:CD405,2,TRUE)</f>
        <v>0.91547060000000002</v>
      </c>
      <c r="G8" s="752">
        <f>VLOOKUP(D4,AY5:BM405,2,TRUE)</f>
        <v>5.8677E-3</v>
      </c>
      <c r="M8" s="741" t="s">
        <v>824</v>
      </c>
      <c r="S8">
        <v>0.43404999999999999</v>
      </c>
      <c r="T8">
        <v>0.90961420000000004</v>
      </c>
      <c r="U8">
        <v>0.90961420000000004</v>
      </c>
      <c r="V8">
        <v>1.83E-4</v>
      </c>
      <c r="W8">
        <v>1.83E-4</v>
      </c>
      <c r="X8">
        <v>9.02028E-2</v>
      </c>
      <c r="Y8">
        <v>9.02028E-2</v>
      </c>
      <c r="Z8">
        <v>175.53059999999999</v>
      </c>
      <c r="AA8">
        <v>175.53059999999999</v>
      </c>
      <c r="AB8">
        <v>77.924800000000005</v>
      </c>
      <c r="AC8">
        <v>77.924800000000005</v>
      </c>
      <c r="AD8">
        <v>0</v>
      </c>
      <c r="AE8">
        <v>0</v>
      </c>
      <c r="AF8">
        <v>0</v>
      </c>
      <c r="AG8">
        <v>180</v>
      </c>
      <c r="AI8">
        <v>0.43404999999999999</v>
      </c>
      <c r="AJ8">
        <v>0.92535219999999996</v>
      </c>
      <c r="AK8">
        <v>0.92535219999999996</v>
      </c>
      <c r="AL8">
        <v>1.9269999999999999E-4</v>
      </c>
      <c r="AM8">
        <v>1.9269999999999999E-4</v>
      </c>
      <c r="AN8">
        <v>7.4455099999999996E-2</v>
      </c>
      <c r="AO8">
        <v>7.4455099999999996E-2</v>
      </c>
      <c r="AP8">
        <v>-165.7989</v>
      </c>
      <c r="AQ8">
        <v>-165.7989</v>
      </c>
      <c r="AR8">
        <v>113.9221</v>
      </c>
      <c r="AS8">
        <v>113.9221</v>
      </c>
      <c r="AT8">
        <v>0</v>
      </c>
      <c r="AU8">
        <v>0</v>
      </c>
      <c r="AV8">
        <v>0</v>
      </c>
      <c r="AW8">
        <v>180</v>
      </c>
      <c r="AY8">
        <v>0.43404999999999999</v>
      </c>
      <c r="AZ8">
        <v>8.5597999999999994E-3</v>
      </c>
      <c r="BA8">
        <v>8.5597999999999994E-3</v>
      </c>
      <c r="BB8">
        <v>0.98758089999999998</v>
      </c>
      <c r="BC8">
        <v>0.98758089999999998</v>
      </c>
      <c r="BD8">
        <v>3.8593E-3</v>
      </c>
      <c r="BE8">
        <v>3.8593E-3</v>
      </c>
      <c r="BF8">
        <v>155.1609</v>
      </c>
      <c r="BG8">
        <v>155.1609</v>
      </c>
      <c r="BH8">
        <v>-144.59739999999999</v>
      </c>
      <c r="BI8">
        <v>-144.59739999999999</v>
      </c>
      <c r="BJ8">
        <v>0</v>
      </c>
      <c r="BK8">
        <v>0</v>
      </c>
      <c r="BL8">
        <v>0</v>
      </c>
      <c r="BM8">
        <v>180</v>
      </c>
      <c r="BP8">
        <v>0.43404999999999999</v>
      </c>
      <c r="BQ8">
        <v>0.92649840000000006</v>
      </c>
      <c r="BR8">
        <v>0.92649840000000006</v>
      </c>
      <c r="BS8">
        <v>0</v>
      </c>
      <c r="BT8">
        <v>0</v>
      </c>
      <c r="BU8">
        <v>7.35016E-2</v>
      </c>
      <c r="BV8">
        <v>7.35016E-2</v>
      </c>
      <c r="BW8">
        <v>-1.2558</v>
      </c>
      <c r="BX8">
        <v>-1.2558</v>
      </c>
      <c r="BY8">
        <v>156.756</v>
      </c>
      <c r="BZ8">
        <v>156.756</v>
      </c>
      <c r="CA8">
        <v>0</v>
      </c>
      <c r="CB8">
        <v>0</v>
      </c>
      <c r="CC8">
        <v>0</v>
      </c>
      <c r="CD8">
        <v>180</v>
      </c>
    </row>
    <row r="9" spans="1:82">
      <c r="C9" s="748" t="s">
        <v>825</v>
      </c>
      <c r="H9" s="753">
        <v>0.99</v>
      </c>
      <c r="I9" s="754">
        <v>0.9</v>
      </c>
      <c r="J9" s="755">
        <v>0.48499999999999999</v>
      </c>
      <c r="M9" s="737" t="s">
        <v>826</v>
      </c>
      <c r="S9">
        <v>0.43540000000000001</v>
      </c>
      <c r="T9">
        <v>0.91251519999999997</v>
      </c>
      <c r="U9">
        <v>0.91251519999999997</v>
      </c>
      <c r="V9">
        <v>1.7340000000000001E-4</v>
      </c>
      <c r="W9">
        <v>1.7340000000000001E-4</v>
      </c>
      <c r="X9">
        <v>8.7311399999999997E-2</v>
      </c>
      <c r="Y9">
        <v>8.7311399999999997E-2</v>
      </c>
      <c r="Z9">
        <v>176.8614</v>
      </c>
      <c r="AA9">
        <v>176.8614</v>
      </c>
      <c r="AB9">
        <v>80.095200000000006</v>
      </c>
      <c r="AC9">
        <v>80.095200000000006</v>
      </c>
      <c r="AD9">
        <v>0</v>
      </c>
      <c r="AE9">
        <v>0</v>
      </c>
      <c r="AF9">
        <v>0</v>
      </c>
      <c r="AG9">
        <v>180</v>
      </c>
      <c r="AI9">
        <v>0.43540000000000001</v>
      </c>
      <c r="AJ9">
        <v>0.92816259999999995</v>
      </c>
      <c r="AK9">
        <v>0.92816259999999995</v>
      </c>
      <c r="AL9">
        <v>1.819E-4</v>
      </c>
      <c r="AM9">
        <v>1.819E-4</v>
      </c>
      <c r="AN9">
        <v>7.1655499999999997E-2</v>
      </c>
      <c r="AO9">
        <v>7.1655499999999997E-2</v>
      </c>
      <c r="AP9">
        <v>-164.71950000000001</v>
      </c>
      <c r="AQ9">
        <v>-164.71950000000001</v>
      </c>
      <c r="AR9">
        <v>115.5292</v>
      </c>
      <c r="AS9">
        <v>115.5292</v>
      </c>
      <c r="AT9">
        <v>0</v>
      </c>
      <c r="AU9">
        <v>0</v>
      </c>
      <c r="AV9">
        <v>0</v>
      </c>
      <c r="AW9">
        <v>180</v>
      </c>
      <c r="AY9">
        <v>0.43540000000000001</v>
      </c>
      <c r="AZ9">
        <v>8.5594999999999994E-3</v>
      </c>
      <c r="BA9">
        <v>8.5594999999999994E-3</v>
      </c>
      <c r="BB9">
        <v>0.98774890000000004</v>
      </c>
      <c r="BC9">
        <v>0.98774890000000004</v>
      </c>
      <c r="BD9">
        <v>3.6916000000000002E-3</v>
      </c>
      <c r="BE9">
        <v>3.6916000000000002E-3</v>
      </c>
      <c r="BF9">
        <v>157.2457</v>
      </c>
      <c r="BG9">
        <v>157.2457</v>
      </c>
      <c r="BH9">
        <v>-144.04239999999999</v>
      </c>
      <c r="BI9">
        <v>-144.04239999999999</v>
      </c>
      <c r="BJ9">
        <v>0</v>
      </c>
      <c r="BK9">
        <v>0</v>
      </c>
      <c r="BL9">
        <v>0</v>
      </c>
      <c r="BM9">
        <v>180</v>
      </c>
      <c r="BP9">
        <v>0.43540000000000001</v>
      </c>
      <c r="BQ9">
        <v>0.92651570000000005</v>
      </c>
      <c r="BR9">
        <v>0.92651570000000005</v>
      </c>
      <c r="BS9">
        <v>0</v>
      </c>
      <c r="BT9">
        <v>0</v>
      </c>
      <c r="BU9">
        <v>7.3484300000000002E-2</v>
      </c>
      <c r="BV9">
        <v>7.3484300000000002E-2</v>
      </c>
      <c r="BW9">
        <v>-1.3331</v>
      </c>
      <c r="BX9">
        <v>-1.3331</v>
      </c>
      <c r="BY9">
        <v>156.82550000000001</v>
      </c>
      <c r="BZ9">
        <v>156.82550000000001</v>
      </c>
      <c r="CA9">
        <v>0</v>
      </c>
      <c r="CB9">
        <v>0</v>
      </c>
      <c r="CC9">
        <v>0</v>
      </c>
      <c r="CD9">
        <v>180</v>
      </c>
    </row>
    <row r="10" spans="1:82">
      <c r="C10" s="744"/>
      <c r="S10">
        <v>0.43675000000000003</v>
      </c>
      <c r="T10">
        <v>0.91531580000000001</v>
      </c>
      <c r="U10">
        <v>0.91531580000000001</v>
      </c>
      <c r="V10">
        <v>1.6420000000000001E-4</v>
      </c>
      <c r="W10">
        <v>1.6420000000000001E-4</v>
      </c>
      <c r="X10">
        <v>8.4519899999999995E-2</v>
      </c>
      <c r="Y10">
        <v>8.4519899999999995E-2</v>
      </c>
      <c r="Z10">
        <v>178.1609</v>
      </c>
      <c r="AA10">
        <v>178.1609</v>
      </c>
      <c r="AB10">
        <v>82.204899999999995</v>
      </c>
      <c r="AC10">
        <v>82.204899999999995</v>
      </c>
      <c r="AD10">
        <v>0</v>
      </c>
      <c r="AE10">
        <v>0</v>
      </c>
      <c r="AF10">
        <v>0</v>
      </c>
      <c r="AG10">
        <v>180</v>
      </c>
      <c r="AI10">
        <v>0.43675000000000003</v>
      </c>
      <c r="AJ10">
        <v>0.93082790000000004</v>
      </c>
      <c r="AK10">
        <v>0.93082790000000004</v>
      </c>
      <c r="AL10">
        <v>1.719E-4</v>
      </c>
      <c r="AM10">
        <v>1.719E-4</v>
      </c>
      <c r="AN10">
        <v>6.9000099999999995E-2</v>
      </c>
      <c r="AO10">
        <v>6.9000099999999995E-2</v>
      </c>
      <c r="AP10">
        <v>-163.66839999999999</v>
      </c>
      <c r="AQ10">
        <v>-163.66839999999999</v>
      </c>
      <c r="AR10">
        <v>117.0844</v>
      </c>
      <c r="AS10">
        <v>117.0844</v>
      </c>
      <c r="AT10">
        <v>0</v>
      </c>
      <c r="AU10">
        <v>0</v>
      </c>
      <c r="AV10">
        <v>0</v>
      </c>
      <c r="AW10">
        <v>180</v>
      </c>
      <c r="AY10">
        <v>0.43675000000000003</v>
      </c>
      <c r="AZ10">
        <v>8.5318000000000008E-3</v>
      </c>
      <c r="BA10">
        <v>8.5318000000000008E-3</v>
      </c>
      <c r="BB10">
        <v>0.98794289999999996</v>
      </c>
      <c r="BC10">
        <v>0.98794289999999996</v>
      </c>
      <c r="BD10">
        <v>3.5252999999999999E-3</v>
      </c>
      <c r="BE10">
        <v>3.5252999999999999E-3</v>
      </c>
      <c r="BF10">
        <v>159.3169</v>
      </c>
      <c r="BG10">
        <v>159.3169</v>
      </c>
      <c r="BH10">
        <v>-143.49549999999999</v>
      </c>
      <c r="BI10">
        <v>-143.49549999999999</v>
      </c>
      <c r="BJ10">
        <v>0</v>
      </c>
      <c r="BK10">
        <v>0</v>
      </c>
      <c r="BL10">
        <v>0</v>
      </c>
      <c r="BM10">
        <v>180</v>
      </c>
      <c r="BP10">
        <v>0.43675000000000003</v>
      </c>
      <c r="BQ10">
        <v>0.92644559999999998</v>
      </c>
      <c r="BR10">
        <v>0.92644559999999998</v>
      </c>
      <c r="BS10">
        <v>0</v>
      </c>
      <c r="BT10">
        <v>0</v>
      </c>
      <c r="BU10">
        <v>7.3554400000000006E-2</v>
      </c>
      <c r="BV10">
        <v>7.3554400000000006E-2</v>
      </c>
      <c r="BW10">
        <v>-1.4984</v>
      </c>
      <c r="BX10">
        <v>-1.4984</v>
      </c>
      <c r="BY10">
        <v>156.8972</v>
      </c>
      <c r="BZ10">
        <v>156.8972</v>
      </c>
      <c r="CA10">
        <v>0</v>
      </c>
      <c r="CB10">
        <v>0</v>
      </c>
      <c r="CC10">
        <v>0</v>
      </c>
      <c r="CD10">
        <v>180</v>
      </c>
    </row>
    <row r="11" spans="1:82">
      <c r="D11" s="842" t="s">
        <v>827</v>
      </c>
      <c r="E11" s="842"/>
      <c r="F11" s="842"/>
      <c r="G11" s="842"/>
      <c r="H11" s="842"/>
      <c r="I11" s="842"/>
      <c r="K11" s="842" t="s">
        <v>828</v>
      </c>
      <c r="L11" s="842"/>
      <c r="M11" s="842"/>
      <c r="N11" s="842"/>
      <c r="O11" s="842"/>
      <c r="P11" s="842"/>
      <c r="S11">
        <v>0.43809999999999999</v>
      </c>
      <c r="T11">
        <v>0.91801719999999998</v>
      </c>
      <c r="U11">
        <v>0.91801719999999998</v>
      </c>
      <c r="V11">
        <v>1.5559999999999999E-4</v>
      </c>
      <c r="W11">
        <v>1.5559999999999999E-4</v>
      </c>
      <c r="X11">
        <v>8.18271E-2</v>
      </c>
      <c r="Y11">
        <v>8.18271E-2</v>
      </c>
      <c r="Z11">
        <v>179.43020000000001</v>
      </c>
      <c r="AA11">
        <v>179.43020000000001</v>
      </c>
      <c r="AB11">
        <v>84.255799999999994</v>
      </c>
      <c r="AC11">
        <v>84.255799999999994</v>
      </c>
      <c r="AD11">
        <v>0</v>
      </c>
      <c r="AE11">
        <v>0</v>
      </c>
      <c r="AF11">
        <v>0</v>
      </c>
      <c r="AG11">
        <v>180</v>
      </c>
      <c r="AI11">
        <v>0.43809999999999999</v>
      </c>
      <c r="AJ11">
        <v>0.93335820000000003</v>
      </c>
      <c r="AK11">
        <v>0.93335820000000003</v>
      </c>
      <c r="AL11">
        <v>1.6259999999999999E-4</v>
      </c>
      <c r="AM11">
        <v>1.6259999999999999E-4</v>
      </c>
      <c r="AN11">
        <v>6.6479200000000002E-2</v>
      </c>
      <c r="AO11">
        <v>6.6479200000000002E-2</v>
      </c>
      <c r="AP11">
        <v>-162.64349999999999</v>
      </c>
      <c r="AQ11">
        <v>-162.64349999999999</v>
      </c>
      <c r="AR11">
        <v>118.59180000000001</v>
      </c>
      <c r="AS11">
        <v>118.59180000000001</v>
      </c>
      <c r="AT11">
        <v>0</v>
      </c>
      <c r="AU11">
        <v>0</v>
      </c>
      <c r="AV11">
        <v>0</v>
      </c>
      <c r="AW11">
        <v>180</v>
      </c>
      <c r="AY11">
        <v>0.43809999999999999</v>
      </c>
      <c r="AZ11">
        <v>8.4781000000000006E-3</v>
      </c>
      <c r="BA11">
        <v>8.4781000000000006E-3</v>
      </c>
      <c r="BB11">
        <v>0.98816150000000003</v>
      </c>
      <c r="BC11">
        <v>0.98816150000000003</v>
      </c>
      <c r="BD11">
        <v>3.3603999999999999E-3</v>
      </c>
      <c r="BE11">
        <v>3.3603999999999999E-3</v>
      </c>
      <c r="BF11">
        <v>161.375</v>
      </c>
      <c r="BG11">
        <v>161.375</v>
      </c>
      <c r="BH11">
        <v>-142.96250000000001</v>
      </c>
      <c r="BI11">
        <v>-142.96250000000001</v>
      </c>
      <c r="BJ11">
        <v>0</v>
      </c>
      <c r="BK11">
        <v>0</v>
      </c>
      <c r="BL11">
        <v>0</v>
      </c>
      <c r="BM11">
        <v>180</v>
      </c>
      <c r="BP11">
        <v>0.43809999999999999</v>
      </c>
      <c r="BQ11">
        <v>0.9263074</v>
      </c>
      <c r="BR11">
        <v>0.9263074</v>
      </c>
      <c r="BS11">
        <v>0</v>
      </c>
      <c r="BT11">
        <v>0</v>
      </c>
      <c r="BU11">
        <v>7.3692599999999997E-2</v>
      </c>
      <c r="BV11">
        <v>7.3692599999999997E-2</v>
      </c>
      <c r="BW11">
        <v>-1.7330000000000001</v>
      </c>
      <c r="BX11">
        <v>-1.7330000000000001</v>
      </c>
      <c r="BY11">
        <v>156.97059999999999</v>
      </c>
      <c r="BZ11">
        <v>156.97059999999999</v>
      </c>
      <c r="CA11">
        <v>0</v>
      </c>
      <c r="CB11">
        <v>0</v>
      </c>
      <c r="CC11">
        <v>0</v>
      </c>
      <c r="CD11">
        <v>180</v>
      </c>
    </row>
    <row r="12" spans="1:82">
      <c r="C12" s="756"/>
      <c r="D12" s="843" t="s">
        <v>829</v>
      </c>
      <c r="E12" s="844"/>
      <c r="F12" s="843" t="s">
        <v>830</v>
      </c>
      <c r="G12" s="844"/>
      <c r="H12" s="843" t="s">
        <v>831</v>
      </c>
      <c r="I12" s="844"/>
      <c r="K12" s="843" t="s">
        <v>829</v>
      </c>
      <c r="L12" s="844"/>
      <c r="M12" s="843" t="s">
        <v>832</v>
      </c>
      <c r="N12" s="844"/>
      <c r="O12" s="843" t="s">
        <v>831</v>
      </c>
      <c r="P12" s="844"/>
      <c r="S12">
        <v>0.43945000000000001</v>
      </c>
      <c r="T12">
        <v>0.92065929999999996</v>
      </c>
      <c r="U12">
        <v>0.92065929999999996</v>
      </c>
      <c r="V12">
        <v>1.4760000000000001E-4</v>
      </c>
      <c r="W12">
        <v>1.4760000000000001E-4</v>
      </c>
      <c r="X12">
        <v>7.9193100000000002E-2</v>
      </c>
      <c r="Y12">
        <v>7.9193100000000002E-2</v>
      </c>
      <c r="Z12">
        <v>-179.3297</v>
      </c>
      <c r="AA12">
        <v>-179.3297</v>
      </c>
      <c r="AB12">
        <v>86.247100000000003</v>
      </c>
      <c r="AC12">
        <v>86.247100000000003</v>
      </c>
      <c r="AD12">
        <v>0</v>
      </c>
      <c r="AE12">
        <v>0</v>
      </c>
      <c r="AF12">
        <v>0</v>
      </c>
      <c r="AG12">
        <v>180</v>
      </c>
      <c r="AI12">
        <v>0.43945000000000001</v>
      </c>
      <c r="AJ12">
        <v>0.93577160000000004</v>
      </c>
      <c r="AK12">
        <v>0.93577160000000004</v>
      </c>
      <c r="AL12">
        <v>1.539E-4</v>
      </c>
      <c r="AM12">
        <v>1.539E-4</v>
      </c>
      <c r="AN12">
        <v>6.4074599999999995E-2</v>
      </c>
      <c r="AO12">
        <v>6.4074599999999995E-2</v>
      </c>
      <c r="AP12">
        <v>-161.64769999999999</v>
      </c>
      <c r="AQ12">
        <v>-161.64769999999999</v>
      </c>
      <c r="AR12">
        <v>120.04389999999999</v>
      </c>
      <c r="AS12">
        <v>120.04389999999999</v>
      </c>
      <c r="AT12">
        <v>0</v>
      </c>
      <c r="AU12">
        <v>0</v>
      </c>
      <c r="AV12">
        <v>0</v>
      </c>
      <c r="AW12">
        <v>180</v>
      </c>
      <c r="AY12">
        <v>0.43945000000000001</v>
      </c>
      <c r="AZ12">
        <v>8.3999999999999995E-3</v>
      </c>
      <c r="BA12">
        <v>8.3999999999999995E-3</v>
      </c>
      <c r="BB12">
        <v>0.98840320000000004</v>
      </c>
      <c r="BC12">
        <v>0.98840320000000004</v>
      </c>
      <c r="BD12">
        <v>3.1968000000000001E-3</v>
      </c>
      <c r="BE12">
        <v>3.1968000000000001E-3</v>
      </c>
      <c r="BF12">
        <v>163.41999999999999</v>
      </c>
      <c r="BG12">
        <v>163.41999999999999</v>
      </c>
      <c r="BH12">
        <v>-142.44829999999999</v>
      </c>
      <c r="BI12">
        <v>-142.44829999999999</v>
      </c>
      <c r="BJ12">
        <v>0</v>
      </c>
      <c r="BK12">
        <v>0</v>
      </c>
      <c r="BL12">
        <v>0</v>
      </c>
      <c r="BM12">
        <v>180</v>
      </c>
      <c r="BP12">
        <v>0.43945000000000001</v>
      </c>
      <c r="BQ12">
        <v>0.92617240000000001</v>
      </c>
      <c r="BR12">
        <v>0.92617240000000001</v>
      </c>
      <c r="BS12">
        <v>0</v>
      </c>
      <c r="BT12">
        <v>0</v>
      </c>
      <c r="BU12">
        <v>7.3827599999999993E-2</v>
      </c>
      <c r="BV12">
        <v>7.3827599999999993E-2</v>
      </c>
      <c r="BW12">
        <v>-1.9661999999999999</v>
      </c>
      <c r="BX12">
        <v>-1.9661999999999999</v>
      </c>
      <c r="BY12">
        <v>157.04349999999999</v>
      </c>
      <c r="BZ12">
        <v>157.04349999999999</v>
      </c>
      <c r="CA12">
        <v>0</v>
      </c>
      <c r="CB12">
        <v>0</v>
      </c>
      <c r="CC12">
        <v>0</v>
      </c>
      <c r="CD12">
        <v>180</v>
      </c>
    </row>
    <row r="13" spans="1:82">
      <c r="C13" s="757" t="s">
        <v>833</v>
      </c>
      <c r="D13" s="758" t="s">
        <v>834</v>
      </c>
      <c r="E13" s="759" t="s">
        <v>835</v>
      </c>
      <c r="F13" s="758" t="s">
        <v>834</v>
      </c>
      <c r="G13" s="759" t="s">
        <v>835</v>
      </c>
      <c r="H13" s="758" t="s">
        <v>834</v>
      </c>
      <c r="I13" s="759" t="s">
        <v>835</v>
      </c>
      <c r="K13" s="758" t="s">
        <v>834</v>
      </c>
      <c r="L13" s="759" t="s">
        <v>835</v>
      </c>
      <c r="M13" s="758" t="s">
        <v>834</v>
      </c>
      <c r="N13" s="759" t="s">
        <v>835</v>
      </c>
      <c r="O13" s="758" t="s">
        <v>834</v>
      </c>
      <c r="P13" s="759" t="s">
        <v>835</v>
      </c>
      <c r="S13">
        <v>0.44080000000000003</v>
      </c>
      <c r="T13">
        <v>0.92320409999999997</v>
      </c>
      <c r="U13">
        <v>0.92320409999999997</v>
      </c>
      <c r="V13">
        <v>1.3990000000000001E-4</v>
      </c>
      <c r="W13">
        <v>1.3990000000000001E-4</v>
      </c>
      <c r="X13">
        <v>7.6655899999999999E-2</v>
      </c>
      <c r="Y13">
        <v>7.6655899999999999E-2</v>
      </c>
      <c r="Z13">
        <v>-178.11789999999999</v>
      </c>
      <c r="AA13">
        <v>-178.11789999999999</v>
      </c>
      <c r="AB13">
        <v>88.183700000000002</v>
      </c>
      <c r="AC13">
        <v>88.183700000000002</v>
      </c>
      <c r="AD13">
        <v>0</v>
      </c>
      <c r="AE13">
        <v>0</v>
      </c>
      <c r="AF13">
        <v>0</v>
      </c>
      <c r="AG13">
        <v>180</v>
      </c>
      <c r="AI13">
        <v>0.44080000000000003</v>
      </c>
      <c r="AJ13">
        <v>0.93806400000000001</v>
      </c>
      <c r="AK13">
        <v>0.93806400000000001</v>
      </c>
      <c r="AL13">
        <v>1.4569999999999999E-4</v>
      </c>
      <c r="AM13">
        <v>1.4569999999999999E-4</v>
      </c>
      <c r="AN13">
        <v>6.1790299999999999E-2</v>
      </c>
      <c r="AO13">
        <v>6.1790299999999999E-2</v>
      </c>
      <c r="AP13">
        <v>-160.67599999999999</v>
      </c>
      <c r="AQ13">
        <v>-160.67599999999999</v>
      </c>
      <c r="AR13">
        <v>121.4522</v>
      </c>
      <c r="AS13">
        <v>121.4522</v>
      </c>
      <c r="AT13">
        <v>0</v>
      </c>
      <c r="AU13">
        <v>0</v>
      </c>
      <c r="AV13">
        <v>0</v>
      </c>
      <c r="AW13">
        <v>180</v>
      </c>
      <c r="AY13">
        <v>0.44080000000000003</v>
      </c>
      <c r="AZ13">
        <v>8.2994000000000002E-3</v>
      </c>
      <c r="BA13">
        <v>8.2994000000000002E-3</v>
      </c>
      <c r="BB13">
        <v>0.98866609999999999</v>
      </c>
      <c r="BC13">
        <v>0.98866609999999999</v>
      </c>
      <c r="BD13">
        <v>3.0346000000000001E-3</v>
      </c>
      <c r="BE13">
        <v>3.0346000000000001E-3</v>
      </c>
      <c r="BF13">
        <v>165.4522</v>
      </c>
      <c r="BG13">
        <v>165.4522</v>
      </c>
      <c r="BH13">
        <v>-141.958</v>
      </c>
      <c r="BI13">
        <v>-141.958</v>
      </c>
      <c r="BJ13">
        <v>0</v>
      </c>
      <c r="BK13">
        <v>0</v>
      </c>
      <c r="BL13">
        <v>0</v>
      </c>
      <c r="BM13">
        <v>180</v>
      </c>
      <c r="BP13">
        <v>0.44080000000000003</v>
      </c>
      <c r="BQ13">
        <v>0.92604050000000004</v>
      </c>
      <c r="BR13">
        <v>0.92604050000000004</v>
      </c>
      <c r="BS13">
        <v>0</v>
      </c>
      <c r="BT13">
        <v>0</v>
      </c>
      <c r="BU13">
        <v>7.3959499999999997E-2</v>
      </c>
      <c r="BV13">
        <v>7.3959499999999997E-2</v>
      </c>
      <c r="BW13">
        <v>-2.198</v>
      </c>
      <c r="BX13">
        <v>-2.198</v>
      </c>
      <c r="BY13">
        <v>157.11600000000001</v>
      </c>
      <c r="BZ13">
        <v>157.11600000000001</v>
      </c>
      <c r="CA13">
        <v>0</v>
      </c>
      <c r="CB13">
        <v>0</v>
      </c>
      <c r="CC13">
        <v>0</v>
      </c>
      <c r="CD13">
        <v>180</v>
      </c>
    </row>
    <row r="14" spans="1:82">
      <c r="C14" s="760" t="s">
        <v>836</v>
      </c>
      <c r="D14" s="761">
        <v>1</v>
      </c>
      <c r="E14" s="762">
        <v>0.83699999999999997</v>
      </c>
      <c r="F14" s="761"/>
      <c r="G14" s="762"/>
      <c r="H14" s="761">
        <v>1</v>
      </c>
      <c r="I14" s="762">
        <v>0.83699999999999997</v>
      </c>
      <c r="K14" s="761">
        <v>1</v>
      </c>
      <c r="L14" s="762">
        <v>0.83699999999999997</v>
      </c>
      <c r="M14" s="761">
        <v>1</v>
      </c>
      <c r="N14" s="762">
        <v>0.83699999999999997</v>
      </c>
      <c r="O14" s="761">
        <v>1</v>
      </c>
      <c r="P14" s="762">
        <v>0.83699999999999997</v>
      </c>
      <c r="S14">
        <v>0.44214999999999999</v>
      </c>
      <c r="T14">
        <v>0.92565399999999998</v>
      </c>
      <c r="U14">
        <v>0.92565399999999998</v>
      </c>
      <c r="V14">
        <v>1.327E-4</v>
      </c>
      <c r="W14">
        <v>1.327E-4</v>
      </c>
      <c r="X14">
        <v>7.4213299999999996E-2</v>
      </c>
      <c r="Y14">
        <v>7.4213299999999996E-2</v>
      </c>
      <c r="Z14">
        <v>-176.93360000000001</v>
      </c>
      <c r="AA14">
        <v>-176.93360000000001</v>
      </c>
      <c r="AB14">
        <v>90.067400000000006</v>
      </c>
      <c r="AC14">
        <v>90.067400000000006</v>
      </c>
      <c r="AD14">
        <v>0</v>
      </c>
      <c r="AE14">
        <v>0</v>
      </c>
      <c r="AF14">
        <v>0</v>
      </c>
      <c r="AG14">
        <v>180</v>
      </c>
      <c r="AI14">
        <v>0.44214999999999999</v>
      </c>
      <c r="AJ14">
        <v>0.94024490000000005</v>
      </c>
      <c r="AK14">
        <v>0.94024490000000005</v>
      </c>
      <c r="AL14">
        <v>1.381E-4</v>
      </c>
      <c r="AM14">
        <v>1.381E-4</v>
      </c>
      <c r="AN14">
        <v>5.9617000000000003E-2</v>
      </c>
      <c r="AO14">
        <v>5.9617000000000003E-2</v>
      </c>
      <c r="AP14">
        <v>-159.72630000000001</v>
      </c>
      <c r="AQ14">
        <v>-159.72630000000001</v>
      </c>
      <c r="AR14">
        <v>122.82080000000001</v>
      </c>
      <c r="AS14">
        <v>122.82080000000001</v>
      </c>
      <c r="AT14">
        <v>0</v>
      </c>
      <c r="AU14">
        <v>0</v>
      </c>
      <c r="AV14">
        <v>0</v>
      </c>
      <c r="AW14">
        <v>180</v>
      </c>
      <c r="AY14">
        <v>0.44214999999999999</v>
      </c>
      <c r="AZ14">
        <v>8.1781000000000006E-3</v>
      </c>
      <c r="BA14">
        <v>8.1781000000000006E-3</v>
      </c>
      <c r="BB14">
        <v>0.9889483</v>
      </c>
      <c r="BC14">
        <v>0.9889483</v>
      </c>
      <c r="BD14">
        <v>2.8736E-3</v>
      </c>
      <c r="BE14">
        <v>2.8736E-3</v>
      </c>
      <c r="BF14">
        <v>167.4717</v>
      </c>
      <c r="BG14">
        <v>167.4717</v>
      </c>
      <c r="BH14">
        <v>-141.49629999999999</v>
      </c>
      <c r="BI14">
        <v>-141.49629999999999</v>
      </c>
      <c r="BJ14">
        <v>0</v>
      </c>
      <c r="BK14">
        <v>0</v>
      </c>
      <c r="BL14">
        <v>0</v>
      </c>
      <c r="BM14">
        <v>180</v>
      </c>
      <c r="BP14">
        <v>0.44214999999999999</v>
      </c>
      <c r="BQ14">
        <v>0.92591159999999995</v>
      </c>
      <c r="BR14">
        <v>0.92591159999999995</v>
      </c>
      <c r="BS14">
        <v>0</v>
      </c>
      <c r="BT14">
        <v>0</v>
      </c>
      <c r="BU14">
        <v>7.4088399999999999E-2</v>
      </c>
      <c r="BV14">
        <v>7.4088399999999999E-2</v>
      </c>
      <c r="BW14">
        <v>-2.4283000000000001</v>
      </c>
      <c r="BX14">
        <v>-2.4283000000000001</v>
      </c>
      <c r="BY14">
        <v>157.18809999999999</v>
      </c>
      <c r="BZ14">
        <v>157.18809999999999</v>
      </c>
      <c r="CA14">
        <v>0</v>
      </c>
      <c r="CB14">
        <v>0</v>
      </c>
      <c r="CC14">
        <v>0</v>
      </c>
      <c r="CD14">
        <v>180</v>
      </c>
    </row>
    <row r="15" spans="1:82">
      <c r="C15" s="763" t="s">
        <v>837</v>
      </c>
      <c r="D15" s="761">
        <f>HRC</f>
        <v>0.98219270000000003</v>
      </c>
      <c r="E15" s="762"/>
      <c r="F15" s="761"/>
      <c r="G15" s="762"/>
      <c r="H15" s="761">
        <f>HRC</f>
        <v>0.98219270000000003</v>
      </c>
      <c r="I15" s="762"/>
      <c r="K15" s="761">
        <f>HRC</f>
        <v>0.98219270000000003</v>
      </c>
      <c r="L15" s="762"/>
      <c r="M15" s="761">
        <f>HRC</f>
        <v>0.98219270000000003</v>
      </c>
      <c r="N15" s="762"/>
      <c r="O15" s="761">
        <f>HRC</f>
        <v>0.98219270000000003</v>
      </c>
      <c r="P15" s="762"/>
      <c r="S15">
        <v>0.44350000000000001</v>
      </c>
      <c r="T15">
        <v>0.92801140000000004</v>
      </c>
      <c r="U15">
        <v>0.92801140000000004</v>
      </c>
      <c r="V15">
        <v>1.26E-4</v>
      </c>
      <c r="W15">
        <v>1.26E-4</v>
      </c>
      <c r="X15">
        <v>7.1862700000000002E-2</v>
      </c>
      <c r="Y15">
        <v>7.1862700000000002E-2</v>
      </c>
      <c r="Z15">
        <v>-175.7758</v>
      </c>
      <c r="AA15">
        <v>-175.7758</v>
      </c>
      <c r="AB15">
        <v>91.9</v>
      </c>
      <c r="AC15">
        <v>91.9</v>
      </c>
      <c r="AD15">
        <v>0</v>
      </c>
      <c r="AE15">
        <v>0</v>
      </c>
      <c r="AF15">
        <v>0</v>
      </c>
      <c r="AG15">
        <v>180</v>
      </c>
      <c r="AI15">
        <v>0.44350000000000001</v>
      </c>
      <c r="AJ15">
        <v>0.94232059999999995</v>
      </c>
      <c r="AK15">
        <v>0.94232059999999995</v>
      </c>
      <c r="AL15">
        <v>1.3100000000000001E-4</v>
      </c>
      <c r="AM15">
        <v>1.3100000000000001E-4</v>
      </c>
      <c r="AN15">
        <v>5.75484E-2</v>
      </c>
      <c r="AO15">
        <v>5.75484E-2</v>
      </c>
      <c r="AP15">
        <v>-158.79769999999999</v>
      </c>
      <c r="AQ15">
        <v>-158.79769999999999</v>
      </c>
      <c r="AR15">
        <v>124.15170000000001</v>
      </c>
      <c r="AS15">
        <v>124.15170000000001</v>
      </c>
      <c r="AT15">
        <v>0</v>
      </c>
      <c r="AU15">
        <v>0</v>
      </c>
      <c r="AV15">
        <v>0</v>
      </c>
      <c r="AW15">
        <v>180</v>
      </c>
      <c r="AY15">
        <v>0.44350000000000001</v>
      </c>
      <c r="AZ15">
        <v>8.0380999999999994E-3</v>
      </c>
      <c r="BA15">
        <v>8.0380999999999994E-3</v>
      </c>
      <c r="BB15">
        <v>0.98924809999999996</v>
      </c>
      <c r="BC15">
        <v>0.98924809999999996</v>
      </c>
      <c r="BD15">
        <v>2.7138000000000002E-3</v>
      </c>
      <c r="BE15">
        <v>2.7138000000000002E-3</v>
      </c>
      <c r="BF15">
        <v>169.4787</v>
      </c>
      <c r="BG15">
        <v>169.4787</v>
      </c>
      <c r="BH15">
        <v>-141.0676</v>
      </c>
      <c r="BI15">
        <v>-141.0676</v>
      </c>
      <c r="BJ15">
        <v>0</v>
      </c>
      <c r="BK15">
        <v>0</v>
      </c>
      <c r="BL15">
        <v>0</v>
      </c>
      <c r="BM15">
        <v>180</v>
      </c>
      <c r="BP15">
        <v>0.44350000000000001</v>
      </c>
      <c r="BQ15">
        <v>0.92578579999999999</v>
      </c>
      <c r="BR15">
        <v>0.92578579999999999</v>
      </c>
      <c r="BS15">
        <v>0</v>
      </c>
      <c r="BT15">
        <v>0</v>
      </c>
      <c r="BU15">
        <v>7.4214199999999994E-2</v>
      </c>
      <c r="BV15">
        <v>7.4214199999999994E-2</v>
      </c>
      <c r="BW15">
        <v>-2.6573000000000002</v>
      </c>
      <c r="BX15">
        <v>-2.6573000000000002</v>
      </c>
      <c r="BY15">
        <v>157.25970000000001</v>
      </c>
      <c r="BZ15">
        <v>157.25970000000001</v>
      </c>
      <c r="CA15">
        <v>0</v>
      </c>
      <c r="CB15">
        <v>0</v>
      </c>
      <c r="CC15">
        <v>0</v>
      </c>
      <c r="CD15">
        <v>180</v>
      </c>
    </row>
    <row r="16" spans="1:82">
      <c r="C16" s="763" t="s">
        <v>838</v>
      </c>
      <c r="D16" s="761">
        <f>HRC</f>
        <v>0.98219270000000003</v>
      </c>
      <c r="E16" s="762"/>
      <c r="F16" s="761"/>
      <c r="G16" s="762"/>
      <c r="H16" s="761">
        <f>HRC</f>
        <v>0.98219270000000003</v>
      </c>
      <c r="I16" s="762"/>
      <c r="K16" s="761">
        <f>HRC</f>
        <v>0.98219270000000003</v>
      </c>
      <c r="L16" s="762"/>
      <c r="M16" s="761">
        <f>HRC</f>
        <v>0.98219270000000003</v>
      </c>
      <c r="N16" s="762"/>
      <c r="O16" s="761">
        <f>HRC</f>
        <v>0.98219270000000003</v>
      </c>
      <c r="P16" s="762"/>
      <c r="S16">
        <v>0.44485000000000002</v>
      </c>
      <c r="T16">
        <v>0.93027890000000002</v>
      </c>
      <c r="U16">
        <v>0.93027890000000002</v>
      </c>
      <c r="V16">
        <v>1.1959999999999999E-4</v>
      </c>
      <c r="W16">
        <v>1.1959999999999999E-4</v>
      </c>
      <c r="X16">
        <v>6.9601499999999997E-2</v>
      </c>
      <c r="Y16">
        <v>6.9601499999999997E-2</v>
      </c>
      <c r="Z16">
        <v>-174.6438</v>
      </c>
      <c r="AA16">
        <v>-174.6438</v>
      </c>
      <c r="AB16">
        <v>93.683300000000003</v>
      </c>
      <c r="AC16">
        <v>93.683300000000003</v>
      </c>
      <c r="AD16">
        <v>0</v>
      </c>
      <c r="AE16">
        <v>0</v>
      </c>
      <c r="AF16">
        <v>0</v>
      </c>
      <c r="AG16">
        <v>180</v>
      </c>
      <c r="AI16">
        <v>0.44485000000000002</v>
      </c>
      <c r="AJ16">
        <v>0.94429700000000005</v>
      </c>
      <c r="AK16">
        <v>0.94429700000000005</v>
      </c>
      <c r="AL16">
        <v>1.2430000000000001E-4</v>
      </c>
      <c r="AM16">
        <v>1.2430000000000001E-4</v>
      </c>
      <c r="AN16">
        <v>5.5578700000000002E-2</v>
      </c>
      <c r="AO16">
        <v>5.5578700000000002E-2</v>
      </c>
      <c r="AP16">
        <v>-157.88919999999999</v>
      </c>
      <c r="AQ16">
        <v>-157.88919999999999</v>
      </c>
      <c r="AR16">
        <v>125.44670000000001</v>
      </c>
      <c r="AS16">
        <v>125.44670000000001</v>
      </c>
      <c r="AT16">
        <v>0</v>
      </c>
      <c r="AU16">
        <v>0</v>
      </c>
      <c r="AV16">
        <v>0</v>
      </c>
      <c r="AW16">
        <v>180</v>
      </c>
      <c r="AY16">
        <v>0.44485000000000002</v>
      </c>
      <c r="AZ16">
        <v>7.8790000000000006E-3</v>
      </c>
      <c r="BA16">
        <v>7.8790000000000006E-3</v>
      </c>
      <c r="BB16">
        <v>0.98948230000000004</v>
      </c>
      <c r="BC16">
        <v>0.98948230000000004</v>
      </c>
      <c r="BD16">
        <v>2.6386999999999999E-3</v>
      </c>
      <c r="BE16">
        <v>2.6386999999999999E-3</v>
      </c>
      <c r="BF16">
        <v>171.44460000000001</v>
      </c>
      <c r="BG16">
        <v>171.44460000000001</v>
      </c>
      <c r="BH16">
        <v>-140.6687</v>
      </c>
      <c r="BI16">
        <v>-140.6687</v>
      </c>
      <c r="BJ16">
        <v>0</v>
      </c>
      <c r="BK16">
        <v>0</v>
      </c>
      <c r="BL16">
        <v>0</v>
      </c>
      <c r="BM16">
        <v>180</v>
      </c>
      <c r="BP16">
        <v>0.44485000000000002</v>
      </c>
      <c r="BQ16">
        <v>0.92566280000000001</v>
      </c>
      <c r="BR16">
        <v>0.92566280000000001</v>
      </c>
      <c r="BS16">
        <v>0</v>
      </c>
      <c r="BT16">
        <v>0</v>
      </c>
      <c r="BU16">
        <v>7.4337200000000006E-2</v>
      </c>
      <c r="BV16">
        <v>7.4337200000000006E-2</v>
      </c>
      <c r="BW16">
        <v>-2.8847999999999998</v>
      </c>
      <c r="BX16">
        <v>-2.8847999999999998</v>
      </c>
      <c r="BY16">
        <v>157.33090000000001</v>
      </c>
      <c r="BZ16">
        <v>157.33090000000001</v>
      </c>
      <c r="CA16">
        <v>0</v>
      </c>
      <c r="CB16">
        <v>0</v>
      </c>
      <c r="CC16">
        <v>0</v>
      </c>
      <c r="CD16">
        <v>180</v>
      </c>
    </row>
    <row r="17" spans="3:82">
      <c r="C17" s="763" t="s">
        <v>839</v>
      </c>
      <c r="D17" s="761">
        <f t="shared" ref="D17:D27" si="0">FSS99_600</f>
        <v>0.98364700000000005</v>
      </c>
      <c r="E17" s="762"/>
      <c r="F17" s="761"/>
      <c r="G17" s="762"/>
      <c r="H17" s="761">
        <f t="shared" ref="H17:H27" si="1">FSS99_600</f>
        <v>0.98364700000000005</v>
      </c>
      <c r="I17" s="762"/>
      <c r="K17" s="761">
        <f t="shared" ref="K17:K27" si="2">FSS99_600</f>
        <v>0.98364700000000005</v>
      </c>
      <c r="L17" s="762"/>
      <c r="M17" s="761">
        <f t="shared" ref="M17:M27" si="3">FSS99_600</f>
        <v>0.98364700000000005</v>
      </c>
      <c r="N17" s="762"/>
      <c r="O17" s="761">
        <f t="shared" ref="O17:O27" si="4">FSS99_600</f>
        <v>0.98364700000000005</v>
      </c>
      <c r="P17" s="762"/>
      <c r="S17">
        <v>0.44619999999999999</v>
      </c>
      <c r="T17">
        <v>0.93245929999999999</v>
      </c>
      <c r="U17">
        <v>0.93245929999999999</v>
      </c>
      <c r="V17">
        <v>1.1349999999999999E-4</v>
      </c>
      <c r="W17">
        <v>1.1349999999999999E-4</v>
      </c>
      <c r="X17">
        <v>6.7427100000000004E-2</v>
      </c>
      <c r="Y17">
        <v>6.7427100000000004E-2</v>
      </c>
      <c r="Z17">
        <v>-173.5368</v>
      </c>
      <c r="AA17">
        <v>-173.5368</v>
      </c>
      <c r="AB17">
        <v>95.4191</v>
      </c>
      <c r="AC17">
        <v>95.4191</v>
      </c>
      <c r="AD17">
        <v>0</v>
      </c>
      <c r="AE17">
        <v>0</v>
      </c>
      <c r="AF17">
        <v>0</v>
      </c>
      <c r="AG17">
        <v>180</v>
      </c>
      <c r="AI17">
        <v>0.44619999999999999</v>
      </c>
      <c r="AJ17">
        <v>0.94617949999999995</v>
      </c>
      <c r="AK17">
        <v>0.94617949999999995</v>
      </c>
      <c r="AL17">
        <v>1.18E-4</v>
      </c>
      <c r="AM17">
        <v>1.18E-4</v>
      </c>
      <c r="AN17">
        <v>5.37025E-2</v>
      </c>
      <c r="AO17">
        <v>5.37025E-2</v>
      </c>
      <c r="AP17">
        <v>-157</v>
      </c>
      <c r="AQ17">
        <v>-157</v>
      </c>
      <c r="AR17">
        <v>126.7073</v>
      </c>
      <c r="AS17">
        <v>126.7073</v>
      </c>
      <c r="AT17">
        <v>0</v>
      </c>
      <c r="AU17">
        <v>0</v>
      </c>
      <c r="AV17">
        <v>0</v>
      </c>
      <c r="AW17">
        <v>180</v>
      </c>
      <c r="AY17">
        <v>0.44619999999999999</v>
      </c>
      <c r="AZ17">
        <v>7.7041999999999996E-3</v>
      </c>
      <c r="BA17">
        <v>7.7041999999999996E-3</v>
      </c>
      <c r="BB17">
        <v>0.98968259999999997</v>
      </c>
      <c r="BC17">
        <v>0.98968259999999997</v>
      </c>
      <c r="BD17">
        <v>2.6132E-3</v>
      </c>
      <c r="BE17">
        <v>2.6132E-3</v>
      </c>
      <c r="BF17">
        <v>173.38149999999999</v>
      </c>
      <c r="BG17">
        <v>173.38149999999999</v>
      </c>
      <c r="BH17">
        <v>-140.3056</v>
      </c>
      <c r="BI17">
        <v>-140.3056</v>
      </c>
      <c r="BJ17">
        <v>0</v>
      </c>
      <c r="BK17">
        <v>0</v>
      </c>
      <c r="BL17">
        <v>0</v>
      </c>
      <c r="BM17">
        <v>180</v>
      </c>
      <c r="BP17">
        <v>0.44619999999999999</v>
      </c>
      <c r="BQ17">
        <v>0.9255428</v>
      </c>
      <c r="BR17">
        <v>0.9255428</v>
      </c>
      <c r="BS17">
        <v>0</v>
      </c>
      <c r="BT17">
        <v>0</v>
      </c>
      <c r="BU17">
        <v>7.4457200000000001E-2</v>
      </c>
      <c r="BV17">
        <v>7.4457200000000001E-2</v>
      </c>
      <c r="BW17">
        <v>-3.1111</v>
      </c>
      <c r="BX17">
        <v>-3.1111</v>
      </c>
      <c r="BY17">
        <v>157.40170000000001</v>
      </c>
      <c r="BZ17">
        <v>157.40170000000001</v>
      </c>
      <c r="CA17">
        <v>0</v>
      </c>
      <c r="CB17">
        <v>0</v>
      </c>
      <c r="CC17">
        <v>0</v>
      </c>
      <c r="CD17">
        <v>180</v>
      </c>
    </row>
    <row r="18" spans="3:82">
      <c r="C18" s="763" t="s">
        <v>840</v>
      </c>
      <c r="D18" s="761">
        <f t="shared" si="0"/>
        <v>0.98364700000000005</v>
      </c>
      <c r="E18" s="762"/>
      <c r="F18" s="761"/>
      <c r="G18" s="762"/>
      <c r="H18" s="761">
        <f t="shared" si="1"/>
        <v>0.98364700000000005</v>
      </c>
      <c r="I18" s="762"/>
      <c r="K18" s="761">
        <f t="shared" si="2"/>
        <v>0.98364700000000005</v>
      </c>
      <c r="L18" s="762"/>
      <c r="M18" s="761">
        <f t="shared" si="3"/>
        <v>0.98364700000000005</v>
      </c>
      <c r="N18" s="762"/>
      <c r="O18" s="761">
        <f t="shared" si="4"/>
        <v>0.98364700000000005</v>
      </c>
      <c r="P18" s="762"/>
      <c r="S18">
        <v>0.44755</v>
      </c>
      <c r="T18">
        <v>0.93455549999999998</v>
      </c>
      <c r="U18">
        <v>0.93455549999999998</v>
      </c>
      <c r="V18">
        <v>1.078E-4</v>
      </c>
      <c r="W18">
        <v>1.078E-4</v>
      </c>
      <c r="X18">
        <v>6.5336699999999998E-2</v>
      </c>
      <c r="Y18">
        <v>6.5336699999999998E-2</v>
      </c>
      <c r="Z18">
        <v>-172.4539</v>
      </c>
      <c r="AA18">
        <v>-172.4539</v>
      </c>
      <c r="AB18">
        <v>97.109099999999998</v>
      </c>
      <c r="AC18">
        <v>97.109099999999998</v>
      </c>
      <c r="AD18">
        <v>0</v>
      </c>
      <c r="AE18">
        <v>0</v>
      </c>
      <c r="AF18">
        <v>0</v>
      </c>
      <c r="AG18">
        <v>180</v>
      </c>
      <c r="AI18">
        <v>0.44755</v>
      </c>
      <c r="AJ18">
        <v>0.94797350000000002</v>
      </c>
      <c r="AK18">
        <v>0.94797350000000002</v>
      </c>
      <c r="AL18">
        <v>1.121E-4</v>
      </c>
      <c r="AM18">
        <v>1.121E-4</v>
      </c>
      <c r="AN18">
        <v>5.1914399999999999E-2</v>
      </c>
      <c r="AO18">
        <v>5.1914399999999999E-2</v>
      </c>
      <c r="AP18">
        <v>-156.1293</v>
      </c>
      <c r="AQ18">
        <v>-156.1293</v>
      </c>
      <c r="AR18">
        <v>127.93519999999999</v>
      </c>
      <c r="AS18">
        <v>127.93519999999999</v>
      </c>
      <c r="AT18">
        <v>0</v>
      </c>
      <c r="AU18">
        <v>0</v>
      </c>
      <c r="AV18">
        <v>0</v>
      </c>
      <c r="AW18">
        <v>180</v>
      </c>
      <c r="AY18">
        <v>0.44755</v>
      </c>
      <c r="AZ18">
        <v>7.5174999999999999E-3</v>
      </c>
      <c r="BA18">
        <v>7.5174999999999999E-3</v>
      </c>
      <c r="BB18">
        <v>0.98989459999999996</v>
      </c>
      <c r="BC18">
        <v>0.98989459999999996</v>
      </c>
      <c r="BD18">
        <v>2.588E-3</v>
      </c>
      <c r="BE18">
        <v>2.588E-3</v>
      </c>
      <c r="BF18">
        <v>175.30680000000001</v>
      </c>
      <c r="BG18">
        <v>175.30680000000001</v>
      </c>
      <c r="BH18">
        <v>-139.9864</v>
      </c>
      <c r="BI18">
        <v>-139.9864</v>
      </c>
      <c r="BJ18">
        <v>0</v>
      </c>
      <c r="BK18">
        <v>0</v>
      </c>
      <c r="BL18">
        <v>0</v>
      </c>
      <c r="BM18">
        <v>180</v>
      </c>
      <c r="BP18">
        <v>0.44755</v>
      </c>
      <c r="BQ18">
        <v>0.92542570000000002</v>
      </c>
      <c r="BR18">
        <v>0.92542570000000002</v>
      </c>
      <c r="BS18">
        <v>0</v>
      </c>
      <c r="BT18">
        <v>0</v>
      </c>
      <c r="BU18">
        <v>7.4574299999999996E-2</v>
      </c>
      <c r="BV18">
        <v>7.4574299999999996E-2</v>
      </c>
      <c r="BW18">
        <v>-3.3359000000000001</v>
      </c>
      <c r="BX18">
        <v>-3.3359000000000001</v>
      </c>
      <c r="BY18">
        <v>157.47200000000001</v>
      </c>
      <c r="BZ18">
        <v>157.47200000000001</v>
      </c>
      <c r="CA18">
        <v>0</v>
      </c>
      <c r="CB18">
        <v>0</v>
      </c>
      <c r="CC18">
        <v>0</v>
      </c>
      <c r="CD18">
        <v>180</v>
      </c>
    </row>
    <row r="19" spans="3:82">
      <c r="C19" s="763" t="s">
        <v>841</v>
      </c>
      <c r="D19" s="761">
        <f t="shared" si="0"/>
        <v>0.98364700000000005</v>
      </c>
      <c r="E19" s="762"/>
      <c r="F19" s="761"/>
      <c r="G19" s="762"/>
      <c r="H19" s="761">
        <f t="shared" si="1"/>
        <v>0.98364700000000005</v>
      </c>
      <c r="I19" s="762"/>
      <c r="K19" s="761">
        <f t="shared" si="2"/>
        <v>0.98364700000000005</v>
      </c>
      <c r="L19" s="762"/>
      <c r="M19" s="761">
        <f t="shared" si="3"/>
        <v>0.98364700000000005</v>
      </c>
      <c r="N19" s="762"/>
      <c r="O19" s="761">
        <f t="shared" si="4"/>
        <v>0.98364700000000005</v>
      </c>
      <c r="P19" s="762"/>
      <c r="S19">
        <v>0.44890000000000002</v>
      </c>
      <c r="T19">
        <v>0.93657020000000002</v>
      </c>
      <c r="U19">
        <v>0.93657020000000002</v>
      </c>
      <c r="V19">
        <v>1.025E-4</v>
      </c>
      <c r="W19">
        <v>1.025E-4</v>
      </c>
      <c r="X19">
        <v>6.3327300000000003E-2</v>
      </c>
      <c r="Y19">
        <v>6.3327300000000003E-2</v>
      </c>
      <c r="Z19">
        <v>-171.39439999999999</v>
      </c>
      <c r="AA19">
        <v>-171.39439999999999</v>
      </c>
      <c r="AB19">
        <v>98.754900000000006</v>
      </c>
      <c r="AC19">
        <v>98.754900000000006</v>
      </c>
      <c r="AD19">
        <v>0</v>
      </c>
      <c r="AE19">
        <v>0</v>
      </c>
      <c r="AF19">
        <v>0</v>
      </c>
      <c r="AG19">
        <v>180</v>
      </c>
      <c r="AI19">
        <v>0.44890000000000002</v>
      </c>
      <c r="AJ19">
        <v>0.94968379999999997</v>
      </c>
      <c r="AK19">
        <v>0.94968379999999997</v>
      </c>
      <c r="AL19">
        <v>1.066E-4</v>
      </c>
      <c r="AM19">
        <v>1.066E-4</v>
      </c>
      <c r="AN19">
        <v>5.02096E-2</v>
      </c>
      <c r="AO19">
        <v>5.02096E-2</v>
      </c>
      <c r="AP19">
        <v>-155.2764</v>
      </c>
      <c r="AQ19">
        <v>-155.2764</v>
      </c>
      <c r="AR19">
        <v>129.1318</v>
      </c>
      <c r="AS19">
        <v>129.1318</v>
      </c>
      <c r="AT19">
        <v>0</v>
      </c>
      <c r="AU19">
        <v>0</v>
      </c>
      <c r="AV19">
        <v>0</v>
      </c>
      <c r="AW19">
        <v>180</v>
      </c>
      <c r="AY19">
        <v>0.44890000000000002</v>
      </c>
      <c r="AZ19">
        <v>7.3207999999999997E-3</v>
      </c>
      <c r="BA19">
        <v>7.3207999999999997E-3</v>
      </c>
      <c r="BB19">
        <v>0.99011629999999995</v>
      </c>
      <c r="BC19">
        <v>0.99011629999999995</v>
      </c>
      <c r="BD19">
        <v>2.5628999999999999E-3</v>
      </c>
      <c r="BE19">
        <v>2.5628999999999999E-3</v>
      </c>
      <c r="BF19">
        <v>177.22059999999999</v>
      </c>
      <c r="BG19">
        <v>177.22059999999999</v>
      </c>
      <c r="BH19">
        <v>-139.71510000000001</v>
      </c>
      <c r="BI19">
        <v>-139.71510000000001</v>
      </c>
      <c r="BJ19">
        <v>0</v>
      </c>
      <c r="BK19">
        <v>0</v>
      </c>
      <c r="BL19">
        <v>0</v>
      </c>
      <c r="BM19">
        <v>180</v>
      </c>
      <c r="BP19">
        <v>0.44890000000000002</v>
      </c>
      <c r="BQ19">
        <v>0.92531129999999995</v>
      </c>
      <c r="BR19">
        <v>0.92531129999999995</v>
      </c>
      <c r="BS19">
        <v>0</v>
      </c>
      <c r="BT19">
        <v>0</v>
      </c>
      <c r="BU19">
        <v>7.4688699999999997E-2</v>
      </c>
      <c r="BV19">
        <v>7.4688699999999997E-2</v>
      </c>
      <c r="BW19">
        <v>-3.5594000000000001</v>
      </c>
      <c r="BX19">
        <v>-3.5594000000000001</v>
      </c>
      <c r="BY19">
        <v>157.5419</v>
      </c>
      <c r="BZ19">
        <v>157.5419</v>
      </c>
      <c r="CA19">
        <v>0</v>
      </c>
      <c r="CB19">
        <v>0</v>
      </c>
      <c r="CC19">
        <v>0</v>
      </c>
      <c r="CD19">
        <v>180</v>
      </c>
    </row>
    <row r="20" spans="3:82">
      <c r="C20" s="763" t="s">
        <v>842</v>
      </c>
      <c r="D20" s="761">
        <f t="shared" si="0"/>
        <v>0.98364700000000005</v>
      </c>
      <c r="E20" s="762"/>
      <c r="F20" s="761"/>
      <c r="G20" s="762"/>
      <c r="H20" s="761">
        <f t="shared" si="1"/>
        <v>0.98364700000000005</v>
      </c>
      <c r="I20" s="762"/>
      <c r="K20" s="761">
        <f t="shared" si="2"/>
        <v>0.98364700000000005</v>
      </c>
      <c r="L20" s="762"/>
      <c r="M20" s="761">
        <f t="shared" si="3"/>
        <v>0.98364700000000005</v>
      </c>
      <c r="N20" s="762"/>
      <c r="O20" s="761">
        <f t="shared" si="4"/>
        <v>0.98364700000000005</v>
      </c>
      <c r="P20" s="762"/>
      <c r="S20">
        <v>0.45024999999999998</v>
      </c>
      <c r="T20">
        <v>0.93845120000000004</v>
      </c>
      <c r="U20">
        <v>0.93845120000000004</v>
      </c>
      <c r="V20">
        <v>9.7499999999999998E-5</v>
      </c>
      <c r="W20">
        <v>9.7499999999999998E-5</v>
      </c>
      <c r="X20">
        <v>6.14513E-2</v>
      </c>
      <c r="Y20">
        <v>6.14513E-2</v>
      </c>
      <c r="Z20">
        <v>-170.37190000000001</v>
      </c>
      <c r="AA20">
        <v>-170.37190000000001</v>
      </c>
      <c r="AB20">
        <v>100.35469999999999</v>
      </c>
      <c r="AC20">
        <v>100.35469999999999</v>
      </c>
      <c r="AD20">
        <v>0</v>
      </c>
      <c r="AE20">
        <v>0</v>
      </c>
      <c r="AF20">
        <v>0</v>
      </c>
      <c r="AG20">
        <v>180</v>
      </c>
      <c r="AI20">
        <v>0.45024999999999998</v>
      </c>
      <c r="AJ20">
        <v>0.95126140000000003</v>
      </c>
      <c r="AK20">
        <v>0.95126140000000003</v>
      </c>
      <c r="AL20">
        <v>1.014E-4</v>
      </c>
      <c r="AM20">
        <v>1.014E-4</v>
      </c>
      <c r="AN20">
        <v>4.8637199999999998E-2</v>
      </c>
      <c r="AO20">
        <v>4.8637199999999998E-2</v>
      </c>
      <c r="AP20">
        <v>-154.45519999999999</v>
      </c>
      <c r="AQ20">
        <v>-154.45519999999999</v>
      </c>
      <c r="AR20">
        <v>130.29509999999999</v>
      </c>
      <c r="AS20">
        <v>130.29509999999999</v>
      </c>
      <c r="AT20">
        <v>0</v>
      </c>
      <c r="AU20">
        <v>0</v>
      </c>
      <c r="AV20">
        <v>0</v>
      </c>
      <c r="AW20">
        <v>180</v>
      </c>
      <c r="AY20">
        <v>0.45024999999999998</v>
      </c>
      <c r="AZ20">
        <v>7.1161000000000002E-3</v>
      </c>
      <c r="BA20">
        <v>7.1161000000000002E-3</v>
      </c>
      <c r="BB20">
        <v>0.99034580000000005</v>
      </c>
      <c r="BC20">
        <v>0.99034580000000005</v>
      </c>
      <c r="BD20">
        <v>2.5381000000000002E-3</v>
      </c>
      <c r="BE20">
        <v>2.5381000000000002E-3</v>
      </c>
      <c r="BF20">
        <v>179.12289999999999</v>
      </c>
      <c r="BG20">
        <v>179.12289999999999</v>
      </c>
      <c r="BH20">
        <v>-139.49529999999999</v>
      </c>
      <c r="BI20">
        <v>-139.49529999999999</v>
      </c>
      <c r="BJ20">
        <v>0</v>
      </c>
      <c r="BK20">
        <v>0</v>
      </c>
      <c r="BL20">
        <v>0</v>
      </c>
      <c r="BM20">
        <v>180</v>
      </c>
      <c r="BP20">
        <v>0.45024999999999998</v>
      </c>
      <c r="BQ20">
        <v>0.92519479999999998</v>
      </c>
      <c r="BR20">
        <v>0.92519479999999998</v>
      </c>
      <c r="BS20">
        <v>0</v>
      </c>
      <c r="BT20">
        <v>0</v>
      </c>
      <c r="BU20">
        <v>7.4805200000000002E-2</v>
      </c>
      <c r="BV20">
        <v>7.4805200000000002E-2</v>
      </c>
      <c r="BW20">
        <v>-3.7885</v>
      </c>
      <c r="BX20">
        <v>-3.7885</v>
      </c>
      <c r="BY20">
        <v>157.61199999999999</v>
      </c>
      <c r="BZ20">
        <v>157.61199999999999</v>
      </c>
      <c r="CA20">
        <v>0</v>
      </c>
      <c r="CB20">
        <v>0</v>
      </c>
      <c r="CC20">
        <v>0</v>
      </c>
      <c r="CD20">
        <v>180</v>
      </c>
    </row>
    <row r="21" spans="3:82">
      <c r="C21" s="763" t="s">
        <v>843</v>
      </c>
      <c r="D21" s="761">
        <f t="shared" si="0"/>
        <v>0.98364700000000005</v>
      </c>
      <c r="E21" s="762"/>
      <c r="F21" s="761"/>
      <c r="G21" s="762"/>
      <c r="H21" s="761">
        <f t="shared" si="1"/>
        <v>0.98364700000000005</v>
      </c>
      <c r="I21" s="762"/>
      <c r="K21" s="761">
        <f t="shared" si="2"/>
        <v>0.98364700000000005</v>
      </c>
      <c r="L21" s="762"/>
      <c r="M21" s="761">
        <f t="shared" si="3"/>
        <v>0.98364700000000005</v>
      </c>
      <c r="N21" s="762"/>
      <c r="O21" s="761">
        <f t="shared" si="4"/>
        <v>0.98364700000000005</v>
      </c>
      <c r="P21" s="762"/>
      <c r="S21">
        <v>0.4516</v>
      </c>
      <c r="T21">
        <v>0.94002319999999995</v>
      </c>
      <c r="U21">
        <v>0.94002319999999995</v>
      </c>
      <c r="V21">
        <v>9.3200000000000002E-5</v>
      </c>
      <c r="W21">
        <v>9.3200000000000002E-5</v>
      </c>
      <c r="X21">
        <v>5.9883600000000002E-2</v>
      </c>
      <c r="Y21">
        <v>5.9883600000000002E-2</v>
      </c>
      <c r="Z21">
        <v>-169.43389999999999</v>
      </c>
      <c r="AA21">
        <v>-169.43389999999999</v>
      </c>
      <c r="AB21">
        <v>101.89870000000001</v>
      </c>
      <c r="AC21">
        <v>101.89870000000001</v>
      </c>
      <c r="AD21">
        <v>0</v>
      </c>
      <c r="AE21">
        <v>0</v>
      </c>
      <c r="AF21">
        <v>0</v>
      </c>
      <c r="AG21">
        <v>180</v>
      </c>
      <c r="AI21">
        <v>0.4516</v>
      </c>
      <c r="AJ21">
        <v>0.95253739999999998</v>
      </c>
      <c r="AK21">
        <v>0.95253739999999998</v>
      </c>
      <c r="AL21">
        <v>9.7E-5</v>
      </c>
      <c r="AM21">
        <v>9.7E-5</v>
      </c>
      <c r="AN21">
        <v>4.7365600000000001E-2</v>
      </c>
      <c r="AO21">
        <v>4.7365600000000001E-2</v>
      </c>
      <c r="AP21">
        <v>-153.71360000000001</v>
      </c>
      <c r="AQ21">
        <v>-153.71360000000001</v>
      </c>
      <c r="AR21">
        <v>131.4151</v>
      </c>
      <c r="AS21">
        <v>131.4151</v>
      </c>
      <c r="AT21">
        <v>0</v>
      </c>
      <c r="AU21">
        <v>0</v>
      </c>
      <c r="AV21">
        <v>0</v>
      </c>
      <c r="AW21">
        <v>180</v>
      </c>
      <c r="AY21">
        <v>0.4516</v>
      </c>
      <c r="AZ21">
        <v>6.9052000000000002E-3</v>
      </c>
      <c r="BA21">
        <v>6.9052000000000002E-3</v>
      </c>
      <c r="BB21">
        <v>0.99058120000000005</v>
      </c>
      <c r="BC21">
        <v>0.99058120000000005</v>
      </c>
      <c r="BD21">
        <v>2.5135999999999999E-3</v>
      </c>
      <c r="BE21">
        <v>2.5135999999999999E-3</v>
      </c>
      <c r="BF21">
        <v>-178.98599999999999</v>
      </c>
      <c r="BG21">
        <v>-178.98599999999999</v>
      </c>
      <c r="BH21">
        <v>-139.33099999999999</v>
      </c>
      <c r="BI21">
        <v>-139.33099999999999</v>
      </c>
      <c r="BJ21">
        <v>0</v>
      </c>
      <c r="BK21">
        <v>0</v>
      </c>
      <c r="BL21">
        <v>0</v>
      </c>
      <c r="BM21">
        <v>180</v>
      </c>
      <c r="BP21">
        <v>0.4516</v>
      </c>
      <c r="BQ21">
        <v>0.92505950000000003</v>
      </c>
      <c r="BR21">
        <v>0.92505950000000003</v>
      </c>
      <c r="BS21">
        <v>0</v>
      </c>
      <c r="BT21">
        <v>0</v>
      </c>
      <c r="BU21">
        <v>7.4940499999999993E-2</v>
      </c>
      <c r="BV21">
        <v>7.4940499999999993E-2</v>
      </c>
      <c r="BW21">
        <v>-4.0468999999999999</v>
      </c>
      <c r="BX21">
        <v>-4.0468999999999999</v>
      </c>
      <c r="BY21">
        <v>157.6841</v>
      </c>
      <c r="BZ21">
        <v>157.6841</v>
      </c>
      <c r="CA21">
        <v>0</v>
      </c>
      <c r="CB21">
        <v>0</v>
      </c>
      <c r="CC21">
        <v>0</v>
      </c>
      <c r="CD21">
        <v>180</v>
      </c>
    </row>
    <row r="22" spans="3:82">
      <c r="C22" s="763" t="s">
        <v>844</v>
      </c>
      <c r="D22" s="761">
        <f t="shared" si="0"/>
        <v>0.98364700000000005</v>
      </c>
      <c r="E22" s="762"/>
      <c r="F22" s="761"/>
      <c r="G22" s="762"/>
      <c r="H22" s="761">
        <f t="shared" si="1"/>
        <v>0.98364700000000005</v>
      </c>
      <c r="I22" s="762"/>
      <c r="K22" s="761">
        <f t="shared" si="2"/>
        <v>0.98364700000000005</v>
      </c>
      <c r="L22" s="762"/>
      <c r="M22" s="761">
        <f t="shared" si="3"/>
        <v>0.98364700000000005</v>
      </c>
      <c r="N22" s="762"/>
      <c r="O22" s="761">
        <f t="shared" si="4"/>
        <v>0.98364700000000005</v>
      </c>
      <c r="P22" s="762"/>
      <c r="S22">
        <v>0.45295000000000002</v>
      </c>
      <c r="T22">
        <v>0.94153869999999995</v>
      </c>
      <c r="U22">
        <v>0.94153869999999995</v>
      </c>
      <c r="V22">
        <v>8.9099999999999997E-5</v>
      </c>
      <c r="W22">
        <v>8.9099999999999997E-5</v>
      </c>
      <c r="X22">
        <v>5.8372199999999999E-2</v>
      </c>
      <c r="Y22">
        <v>5.8372199999999999E-2</v>
      </c>
      <c r="Z22">
        <v>-168.51589999999999</v>
      </c>
      <c r="AA22">
        <v>-168.51589999999999</v>
      </c>
      <c r="AB22">
        <v>103.40430000000001</v>
      </c>
      <c r="AC22">
        <v>103.40430000000001</v>
      </c>
      <c r="AD22">
        <v>0</v>
      </c>
      <c r="AE22">
        <v>0</v>
      </c>
      <c r="AF22">
        <v>0</v>
      </c>
      <c r="AG22">
        <v>180</v>
      </c>
      <c r="AI22">
        <v>0.45295000000000002</v>
      </c>
      <c r="AJ22">
        <v>0.95375849999999995</v>
      </c>
      <c r="AK22">
        <v>0.95375849999999995</v>
      </c>
      <c r="AL22">
        <v>9.2899999999999995E-5</v>
      </c>
      <c r="AM22">
        <v>9.2899999999999995E-5</v>
      </c>
      <c r="AN22">
        <v>4.6148599999999998E-2</v>
      </c>
      <c r="AO22">
        <v>4.6148599999999998E-2</v>
      </c>
      <c r="AP22">
        <v>-152.98660000000001</v>
      </c>
      <c r="AQ22">
        <v>-152.98660000000001</v>
      </c>
      <c r="AR22">
        <v>132.5087</v>
      </c>
      <c r="AS22">
        <v>132.5087</v>
      </c>
      <c r="AT22">
        <v>0</v>
      </c>
      <c r="AU22">
        <v>0</v>
      </c>
      <c r="AV22">
        <v>0</v>
      </c>
      <c r="AW22">
        <v>180</v>
      </c>
      <c r="AY22">
        <v>0.45295000000000002</v>
      </c>
      <c r="AZ22">
        <v>6.6902000000000003E-3</v>
      </c>
      <c r="BA22">
        <v>6.6902000000000003E-3</v>
      </c>
      <c r="BB22">
        <v>0.99082060000000005</v>
      </c>
      <c r="BC22">
        <v>0.99082060000000005</v>
      </c>
      <c r="BD22">
        <v>2.4892E-3</v>
      </c>
      <c r="BE22">
        <v>2.4892E-3</v>
      </c>
      <c r="BF22">
        <v>-177.1061</v>
      </c>
      <c r="BG22">
        <v>-177.1061</v>
      </c>
      <c r="BH22">
        <v>-139.22579999999999</v>
      </c>
      <c r="BI22">
        <v>-139.22579999999999</v>
      </c>
      <c r="BJ22">
        <v>0</v>
      </c>
      <c r="BK22">
        <v>0</v>
      </c>
      <c r="BL22">
        <v>0</v>
      </c>
      <c r="BM22">
        <v>180</v>
      </c>
      <c r="BP22">
        <v>0.45295000000000002</v>
      </c>
      <c r="BQ22">
        <v>0.92492730000000001</v>
      </c>
      <c r="BR22">
        <v>0.92492730000000001</v>
      </c>
      <c r="BS22">
        <v>0</v>
      </c>
      <c r="BT22">
        <v>0</v>
      </c>
      <c r="BU22">
        <v>7.5072700000000006E-2</v>
      </c>
      <c r="BV22">
        <v>7.5072700000000006E-2</v>
      </c>
      <c r="BW22">
        <v>-4.3037000000000001</v>
      </c>
      <c r="BX22">
        <v>-4.3037000000000001</v>
      </c>
      <c r="BY22">
        <v>157.75569999999999</v>
      </c>
      <c r="BZ22">
        <v>157.75569999999999</v>
      </c>
      <c r="CA22">
        <v>0</v>
      </c>
      <c r="CB22">
        <v>0</v>
      </c>
      <c r="CC22">
        <v>0</v>
      </c>
      <c r="CD22">
        <v>180</v>
      </c>
    </row>
    <row r="23" spans="3:82">
      <c r="C23" s="763" t="s">
        <v>845</v>
      </c>
      <c r="D23" s="761">
        <f t="shared" si="0"/>
        <v>0.98364700000000005</v>
      </c>
      <c r="E23" s="762"/>
      <c r="F23" s="761"/>
      <c r="G23" s="762"/>
      <c r="H23" s="761">
        <f t="shared" si="1"/>
        <v>0.98364700000000005</v>
      </c>
      <c r="I23" s="762"/>
      <c r="K23" s="761">
        <f t="shared" si="2"/>
        <v>0.98364700000000005</v>
      </c>
      <c r="L23" s="762"/>
      <c r="M23" s="761">
        <f t="shared" si="3"/>
        <v>0.98364700000000005</v>
      </c>
      <c r="N23" s="762"/>
      <c r="O23" s="761">
        <f t="shared" si="4"/>
        <v>0.98364700000000005</v>
      </c>
      <c r="P23" s="762"/>
      <c r="S23">
        <v>0.45429999999999998</v>
      </c>
      <c r="T23">
        <v>0.94299949999999999</v>
      </c>
      <c r="U23">
        <v>0.94299949999999999</v>
      </c>
      <c r="V23">
        <v>8.5199999999999997E-5</v>
      </c>
      <c r="W23">
        <v>8.5199999999999997E-5</v>
      </c>
      <c r="X23">
        <v>5.6915300000000002E-2</v>
      </c>
      <c r="Y23">
        <v>5.6915300000000002E-2</v>
      </c>
      <c r="Z23">
        <v>-167.6174</v>
      </c>
      <c r="AA23">
        <v>-167.6174</v>
      </c>
      <c r="AB23">
        <v>104.87269999999999</v>
      </c>
      <c r="AC23">
        <v>104.87269999999999</v>
      </c>
      <c r="AD23">
        <v>0</v>
      </c>
      <c r="AE23">
        <v>0</v>
      </c>
      <c r="AF23">
        <v>0</v>
      </c>
      <c r="AG23">
        <v>180</v>
      </c>
      <c r="AI23">
        <v>0.45429999999999998</v>
      </c>
      <c r="AJ23">
        <v>0.95492770000000005</v>
      </c>
      <c r="AK23">
        <v>0.95492770000000005</v>
      </c>
      <c r="AL23">
        <v>8.8900000000000006E-5</v>
      </c>
      <c r="AM23">
        <v>8.8900000000000006E-5</v>
      </c>
      <c r="AN23">
        <v>4.49834E-2</v>
      </c>
      <c r="AO23">
        <v>4.49834E-2</v>
      </c>
      <c r="AP23">
        <v>-152.27359999999999</v>
      </c>
      <c r="AQ23">
        <v>-152.27359999999999</v>
      </c>
      <c r="AR23">
        <v>133.5772</v>
      </c>
      <c r="AS23">
        <v>133.5772</v>
      </c>
      <c r="AT23">
        <v>0</v>
      </c>
      <c r="AU23">
        <v>0</v>
      </c>
      <c r="AV23">
        <v>0</v>
      </c>
      <c r="AW23">
        <v>180</v>
      </c>
      <c r="AY23">
        <v>0.45429999999999998</v>
      </c>
      <c r="AZ23">
        <v>6.4726000000000002E-3</v>
      </c>
      <c r="BA23">
        <v>6.4726000000000002E-3</v>
      </c>
      <c r="BB23">
        <v>0.99106240000000001</v>
      </c>
      <c r="BC23">
        <v>0.99106240000000001</v>
      </c>
      <c r="BD23">
        <v>2.4650000000000002E-3</v>
      </c>
      <c r="BE23">
        <v>2.4650000000000002E-3</v>
      </c>
      <c r="BF23">
        <v>-175.2373</v>
      </c>
      <c r="BG23">
        <v>-175.2373</v>
      </c>
      <c r="BH23">
        <v>-139.1833</v>
      </c>
      <c r="BI23">
        <v>-139.1833</v>
      </c>
      <c r="BJ23">
        <v>0</v>
      </c>
      <c r="BK23">
        <v>0</v>
      </c>
      <c r="BL23">
        <v>0</v>
      </c>
      <c r="BM23">
        <v>180</v>
      </c>
      <c r="BP23">
        <v>0.45429999999999998</v>
      </c>
      <c r="BQ23">
        <v>0.92479829999999996</v>
      </c>
      <c r="BR23">
        <v>0.92479829999999996</v>
      </c>
      <c r="BS23">
        <v>0</v>
      </c>
      <c r="BT23">
        <v>0</v>
      </c>
      <c r="BU23">
        <v>7.5201699999999996E-2</v>
      </c>
      <c r="BV23">
        <v>7.5201699999999996E-2</v>
      </c>
      <c r="BW23">
        <v>-4.5590999999999999</v>
      </c>
      <c r="BX23">
        <v>-4.5590999999999999</v>
      </c>
      <c r="BY23">
        <v>157.82689999999999</v>
      </c>
      <c r="BZ23">
        <v>157.82689999999999</v>
      </c>
      <c r="CA23">
        <v>0</v>
      </c>
      <c r="CB23">
        <v>0</v>
      </c>
      <c r="CC23">
        <v>0</v>
      </c>
      <c r="CD23">
        <v>180</v>
      </c>
    </row>
    <row r="24" spans="3:82">
      <c r="C24" s="763" t="s">
        <v>846</v>
      </c>
      <c r="D24" s="761">
        <f t="shared" si="0"/>
        <v>0.98364700000000005</v>
      </c>
      <c r="E24" s="762"/>
      <c r="F24" s="761"/>
      <c r="G24" s="762"/>
      <c r="H24" s="761">
        <f t="shared" si="1"/>
        <v>0.98364700000000005</v>
      </c>
      <c r="I24" s="762"/>
      <c r="K24" s="761">
        <f t="shared" si="2"/>
        <v>0.98364700000000005</v>
      </c>
      <c r="L24" s="762"/>
      <c r="M24" s="761">
        <f t="shared" si="3"/>
        <v>0.98364700000000005</v>
      </c>
      <c r="N24" s="762"/>
      <c r="O24" s="761">
        <f t="shared" si="4"/>
        <v>0.98364700000000005</v>
      </c>
      <c r="P24" s="762"/>
      <c r="S24">
        <v>0.45565</v>
      </c>
      <c r="T24">
        <v>0.94440760000000001</v>
      </c>
      <c r="U24">
        <v>0.94440760000000001</v>
      </c>
      <c r="V24">
        <v>8.1500000000000002E-5</v>
      </c>
      <c r="W24">
        <v>8.1500000000000002E-5</v>
      </c>
      <c r="X24">
        <v>5.5510900000000002E-2</v>
      </c>
      <c r="Y24">
        <v>5.5510900000000002E-2</v>
      </c>
      <c r="Z24">
        <v>-166.73769999999999</v>
      </c>
      <c r="AA24">
        <v>-166.73769999999999</v>
      </c>
      <c r="AB24">
        <v>106.30540000000001</v>
      </c>
      <c r="AC24">
        <v>106.30540000000001</v>
      </c>
      <c r="AD24">
        <v>0</v>
      </c>
      <c r="AE24">
        <v>0</v>
      </c>
      <c r="AF24">
        <v>0</v>
      </c>
      <c r="AG24">
        <v>180</v>
      </c>
      <c r="AI24">
        <v>0.45565</v>
      </c>
      <c r="AJ24">
        <v>0.95604750000000005</v>
      </c>
      <c r="AK24">
        <v>0.95604750000000005</v>
      </c>
      <c r="AL24">
        <v>8.5199999999999997E-5</v>
      </c>
      <c r="AM24">
        <v>8.5199999999999997E-5</v>
      </c>
      <c r="AN24">
        <v>4.3867400000000001E-2</v>
      </c>
      <c r="AO24">
        <v>4.3867400000000001E-2</v>
      </c>
      <c r="AP24">
        <v>-151.57419999999999</v>
      </c>
      <c r="AQ24">
        <v>-151.57419999999999</v>
      </c>
      <c r="AR24">
        <v>134.62139999999999</v>
      </c>
      <c r="AS24">
        <v>134.62139999999999</v>
      </c>
      <c r="AT24">
        <v>0</v>
      </c>
      <c r="AU24">
        <v>0</v>
      </c>
      <c r="AV24">
        <v>0</v>
      </c>
      <c r="AW24">
        <v>180</v>
      </c>
      <c r="AY24">
        <v>0.45565</v>
      </c>
      <c r="AZ24">
        <v>6.2544000000000002E-3</v>
      </c>
      <c r="BA24">
        <v>6.2544000000000002E-3</v>
      </c>
      <c r="BB24">
        <v>0.99130459999999998</v>
      </c>
      <c r="BC24">
        <v>0.99130459999999998</v>
      </c>
      <c r="BD24">
        <v>2.441E-3</v>
      </c>
      <c r="BE24">
        <v>2.441E-3</v>
      </c>
      <c r="BF24">
        <v>-173.3794</v>
      </c>
      <c r="BG24">
        <v>-173.3794</v>
      </c>
      <c r="BH24">
        <v>-139.20699999999999</v>
      </c>
      <c r="BI24">
        <v>-139.20699999999999</v>
      </c>
      <c r="BJ24">
        <v>0</v>
      </c>
      <c r="BK24">
        <v>0</v>
      </c>
      <c r="BL24">
        <v>0</v>
      </c>
      <c r="BM24">
        <v>180</v>
      </c>
      <c r="BP24">
        <v>0.45565</v>
      </c>
      <c r="BQ24">
        <v>0.92467239999999995</v>
      </c>
      <c r="BR24">
        <v>0.92467239999999995</v>
      </c>
      <c r="BS24">
        <v>0</v>
      </c>
      <c r="BT24">
        <v>0</v>
      </c>
      <c r="BU24">
        <v>7.5327599999999995E-2</v>
      </c>
      <c r="BV24">
        <v>7.5327599999999995E-2</v>
      </c>
      <c r="BW24">
        <v>-4.8129</v>
      </c>
      <c r="BX24">
        <v>-4.8129</v>
      </c>
      <c r="BY24">
        <v>157.89769999999999</v>
      </c>
      <c r="BZ24">
        <v>157.89769999999999</v>
      </c>
      <c r="CA24">
        <v>0</v>
      </c>
      <c r="CB24">
        <v>0</v>
      </c>
      <c r="CC24">
        <v>0</v>
      </c>
      <c r="CD24">
        <v>180</v>
      </c>
    </row>
    <row r="25" spans="3:82">
      <c r="C25" s="763" t="s">
        <v>847</v>
      </c>
      <c r="D25" s="761">
        <f t="shared" si="0"/>
        <v>0.98364700000000005</v>
      </c>
      <c r="E25" s="762"/>
      <c r="F25" s="761"/>
      <c r="G25" s="762"/>
      <c r="H25" s="761">
        <f t="shared" si="1"/>
        <v>0.98364700000000005</v>
      </c>
      <c r="I25" s="762"/>
      <c r="K25" s="761">
        <f t="shared" si="2"/>
        <v>0.98364700000000005</v>
      </c>
      <c r="L25" s="762"/>
      <c r="M25" s="761">
        <f t="shared" si="3"/>
        <v>0.98364700000000005</v>
      </c>
      <c r="N25" s="762"/>
      <c r="O25" s="761">
        <f t="shared" si="4"/>
        <v>0.98364700000000005</v>
      </c>
      <c r="P25" s="762"/>
      <c r="S25">
        <v>0.45700000000000002</v>
      </c>
      <c r="T25">
        <v>0.94570430000000005</v>
      </c>
      <c r="U25">
        <v>0.94570430000000005</v>
      </c>
      <c r="V25">
        <v>7.7999999999999999E-5</v>
      </c>
      <c r="W25">
        <v>7.7999999999999999E-5</v>
      </c>
      <c r="X25">
        <v>5.4217700000000001E-2</v>
      </c>
      <c r="Y25">
        <v>5.4217700000000001E-2</v>
      </c>
      <c r="Z25">
        <v>-165.8817</v>
      </c>
      <c r="AA25">
        <v>-165.8817</v>
      </c>
      <c r="AB25">
        <v>107.7029</v>
      </c>
      <c r="AC25">
        <v>107.7029</v>
      </c>
      <c r="AD25">
        <v>0</v>
      </c>
      <c r="AE25">
        <v>0</v>
      </c>
      <c r="AF25">
        <v>0</v>
      </c>
      <c r="AG25">
        <v>180</v>
      </c>
      <c r="AI25">
        <v>0.45700000000000002</v>
      </c>
      <c r="AJ25">
        <v>0.95708990000000005</v>
      </c>
      <c r="AK25">
        <v>0.95708990000000005</v>
      </c>
      <c r="AL25">
        <v>8.1600000000000005E-5</v>
      </c>
      <c r="AM25">
        <v>8.1600000000000005E-5</v>
      </c>
      <c r="AN25">
        <v>4.2828499999999999E-2</v>
      </c>
      <c r="AO25">
        <v>4.2828499999999999E-2</v>
      </c>
      <c r="AP25">
        <v>-150.88939999999999</v>
      </c>
      <c r="AQ25">
        <v>-150.88939999999999</v>
      </c>
      <c r="AR25">
        <v>135.6422</v>
      </c>
      <c r="AS25">
        <v>135.6422</v>
      </c>
      <c r="AT25">
        <v>0</v>
      </c>
      <c r="AU25">
        <v>0</v>
      </c>
      <c r="AV25">
        <v>0</v>
      </c>
      <c r="AW25">
        <v>180</v>
      </c>
      <c r="AY25">
        <v>0.45700000000000002</v>
      </c>
      <c r="AZ25">
        <v>6.0369999999999998E-3</v>
      </c>
      <c r="BA25">
        <v>6.0369999999999998E-3</v>
      </c>
      <c r="BB25">
        <v>0.99154580000000003</v>
      </c>
      <c r="BC25">
        <v>0.99154580000000003</v>
      </c>
      <c r="BD25">
        <v>2.4172E-3</v>
      </c>
      <c r="BE25">
        <v>2.4172E-3</v>
      </c>
      <c r="BF25">
        <v>-171.53229999999999</v>
      </c>
      <c r="BG25">
        <v>-171.53229999999999</v>
      </c>
      <c r="BH25">
        <v>-139.30029999999999</v>
      </c>
      <c r="BI25">
        <v>-139.30029999999999</v>
      </c>
      <c r="BJ25">
        <v>0</v>
      </c>
      <c r="BK25">
        <v>0</v>
      </c>
      <c r="BL25">
        <v>0</v>
      </c>
      <c r="BM25">
        <v>180</v>
      </c>
      <c r="BP25">
        <v>0.45700000000000002</v>
      </c>
      <c r="BQ25">
        <v>0.92454959999999997</v>
      </c>
      <c r="BR25">
        <v>0.92454959999999997</v>
      </c>
      <c r="BS25">
        <v>0</v>
      </c>
      <c r="BT25">
        <v>0</v>
      </c>
      <c r="BU25">
        <v>7.5450400000000001E-2</v>
      </c>
      <c r="BV25">
        <v>7.5450400000000001E-2</v>
      </c>
      <c r="BW25">
        <v>-5.0652999999999997</v>
      </c>
      <c r="BX25">
        <v>-5.0652999999999997</v>
      </c>
      <c r="BY25">
        <v>157.96799999999999</v>
      </c>
      <c r="BZ25">
        <v>157.96799999999999</v>
      </c>
      <c r="CA25">
        <v>0</v>
      </c>
      <c r="CB25">
        <v>0</v>
      </c>
      <c r="CC25">
        <v>0</v>
      </c>
      <c r="CD25">
        <v>180</v>
      </c>
    </row>
    <row r="26" spans="3:82">
      <c r="C26" s="763" t="s">
        <v>848</v>
      </c>
      <c r="D26" s="761">
        <f t="shared" si="0"/>
        <v>0.98364700000000005</v>
      </c>
      <c r="E26" s="762"/>
      <c r="F26" s="761"/>
      <c r="G26" s="762"/>
      <c r="H26" s="761">
        <f t="shared" si="1"/>
        <v>0.98364700000000005</v>
      </c>
      <c r="I26" s="762"/>
      <c r="K26" s="761">
        <f t="shared" si="2"/>
        <v>0.98364700000000005</v>
      </c>
      <c r="L26" s="762"/>
      <c r="M26" s="761">
        <f t="shared" si="3"/>
        <v>0.98364700000000005</v>
      </c>
      <c r="N26" s="762"/>
      <c r="O26" s="761">
        <f t="shared" si="4"/>
        <v>0.98364700000000005</v>
      </c>
      <c r="P26" s="762"/>
      <c r="S26">
        <v>0.45834999999999998</v>
      </c>
      <c r="T26">
        <v>0.94694769999999995</v>
      </c>
      <c r="U26">
        <v>0.94694769999999995</v>
      </c>
      <c r="V26">
        <v>7.47E-5</v>
      </c>
      <c r="W26">
        <v>7.47E-5</v>
      </c>
      <c r="X26">
        <v>5.29776E-2</v>
      </c>
      <c r="Y26">
        <v>5.29776E-2</v>
      </c>
      <c r="Z26">
        <v>-165.04390000000001</v>
      </c>
      <c r="AA26">
        <v>-165.04390000000001</v>
      </c>
      <c r="AB26">
        <v>109.0671</v>
      </c>
      <c r="AC26">
        <v>109.0671</v>
      </c>
      <c r="AD26">
        <v>0</v>
      </c>
      <c r="AE26">
        <v>0</v>
      </c>
      <c r="AF26">
        <v>0</v>
      </c>
      <c r="AG26">
        <v>180</v>
      </c>
      <c r="AI26">
        <v>0.45834999999999998</v>
      </c>
      <c r="AJ26">
        <v>0.95808559999999998</v>
      </c>
      <c r="AK26">
        <v>0.95808559999999998</v>
      </c>
      <c r="AL26">
        <v>7.8300000000000006E-5</v>
      </c>
      <c r="AM26">
        <v>7.8300000000000006E-5</v>
      </c>
      <c r="AN26">
        <v>4.1836100000000001E-2</v>
      </c>
      <c r="AO26">
        <v>4.1836100000000001E-2</v>
      </c>
      <c r="AP26">
        <v>-150.21729999999999</v>
      </c>
      <c r="AQ26">
        <v>-150.21729999999999</v>
      </c>
      <c r="AR26">
        <v>136.64070000000001</v>
      </c>
      <c r="AS26">
        <v>136.64070000000001</v>
      </c>
      <c r="AT26">
        <v>0</v>
      </c>
      <c r="AU26">
        <v>0</v>
      </c>
      <c r="AV26">
        <v>0</v>
      </c>
      <c r="AW26">
        <v>180</v>
      </c>
      <c r="AY26">
        <v>0.45834999999999998</v>
      </c>
      <c r="AZ26">
        <v>5.8219999999999999E-3</v>
      </c>
      <c r="BA26">
        <v>5.8219999999999999E-3</v>
      </c>
      <c r="BB26">
        <v>0.99178449999999996</v>
      </c>
      <c r="BC26">
        <v>0.99178449999999996</v>
      </c>
      <c r="BD26">
        <v>2.3936000000000001E-3</v>
      </c>
      <c r="BE26">
        <v>2.3936000000000001E-3</v>
      </c>
      <c r="BF26">
        <v>-169.696</v>
      </c>
      <c r="BG26">
        <v>-169.696</v>
      </c>
      <c r="BH26">
        <v>-139.46639999999999</v>
      </c>
      <c r="BI26">
        <v>-139.46639999999999</v>
      </c>
      <c r="BJ26">
        <v>0</v>
      </c>
      <c r="BK26">
        <v>0</v>
      </c>
      <c r="BL26">
        <v>0</v>
      </c>
      <c r="BM26">
        <v>180</v>
      </c>
      <c r="BP26">
        <v>0.45834999999999998</v>
      </c>
      <c r="BQ26">
        <v>0.92442970000000002</v>
      </c>
      <c r="BR26">
        <v>0.92442970000000002</v>
      </c>
      <c r="BS26">
        <v>0</v>
      </c>
      <c r="BT26">
        <v>0</v>
      </c>
      <c r="BU26">
        <v>7.5570300000000007E-2</v>
      </c>
      <c r="BV26">
        <v>7.5570300000000007E-2</v>
      </c>
      <c r="BW26">
        <v>-5.3162000000000003</v>
      </c>
      <c r="BX26">
        <v>-5.3162000000000003</v>
      </c>
      <c r="BY26">
        <v>158.03790000000001</v>
      </c>
      <c r="BZ26">
        <v>158.03790000000001</v>
      </c>
      <c r="CA26">
        <v>0</v>
      </c>
      <c r="CB26">
        <v>0</v>
      </c>
      <c r="CC26">
        <v>0</v>
      </c>
      <c r="CD26">
        <v>180</v>
      </c>
    </row>
    <row r="27" spans="3:82">
      <c r="C27" s="763" t="s">
        <v>849</v>
      </c>
      <c r="D27" s="761">
        <f t="shared" si="0"/>
        <v>0.98364700000000005</v>
      </c>
      <c r="E27" s="762"/>
      <c r="F27" s="761"/>
      <c r="G27" s="762"/>
      <c r="H27" s="761">
        <f t="shared" si="1"/>
        <v>0.98364700000000005</v>
      </c>
      <c r="I27" s="762"/>
      <c r="K27" s="761">
        <f t="shared" si="2"/>
        <v>0.98364700000000005</v>
      </c>
      <c r="L27" s="762"/>
      <c r="M27" s="761">
        <f t="shared" si="3"/>
        <v>0.98364700000000005</v>
      </c>
      <c r="N27" s="762"/>
      <c r="O27" s="761">
        <f t="shared" si="4"/>
        <v>0.98364700000000005</v>
      </c>
      <c r="P27" s="762"/>
      <c r="S27">
        <v>0.4597</v>
      </c>
      <c r="T27">
        <v>0.94814710000000002</v>
      </c>
      <c r="U27">
        <v>0.94814710000000002</v>
      </c>
      <c r="V27">
        <v>7.1500000000000003E-5</v>
      </c>
      <c r="W27">
        <v>7.1500000000000003E-5</v>
      </c>
      <c r="X27">
        <v>5.1781300000000002E-2</v>
      </c>
      <c r="Y27">
        <v>5.1781300000000002E-2</v>
      </c>
      <c r="Z27">
        <v>-164.22300000000001</v>
      </c>
      <c r="AA27">
        <v>-164.22300000000001</v>
      </c>
      <c r="AB27">
        <v>110.39919999999999</v>
      </c>
      <c r="AC27">
        <v>110.39919999999999</v>
      </c>
      <c r="AD27">
        <v>0</v>
      </c>
      <c r="AE27">
        <v>0</v>
      </c>
      <c r="AF27">
        <v>0</v>
      </c>
      <c r="AG27">
        <v>180</v>
      </c>
      <c r="AI27">
        <v>0.4597</v>
      </c>
      <c r="AJ27">
        <v>0.95904069999999997</v>
      </c>
      <c r="AK27">
        <v>0.95904069999999997</v>
      </c>
      <c r="AL27">
        <v>7.5099999999999996E-5</v>
      </c>
      <c r="AM27">
        <v>7.5099999999999996E-5</v>
      </c>
      <c r="AN27">
        <v>4.08841E-2</v>
      </c>
      <c r="AO27">
        <v>4.08841E-2</v>
      </c>
      <c r="AP27">
        <v>-149.55719999999999</v>
      </c>
      <c r="AQ27">
        <v>-149.55719999999999</v>
      </c>
      <c r="AR27">
        <v>137.61799999999999</v>
      </c>
      <c r="AS27">
        <v>137.61799999999999</v>
      </c>
      <c r="AT27">
        <v>0</v>
      </c>
      <c r="AU27">
        <v>0</v>
      </c>
      <c r="AV27">
        <v>0</v>
      </c>
      <c r="AW27">
        <v>180</v>
      </c>
      <c r="AY27">
        <v>0.4597</v>
      </c>
      <c r="AZ27">
        <v>5.6109000000000003E-3</v>
      </c>
      <c r="BA27">
        <v>5.6109000000000003E-3</v>
      </c>
      <c r="BB27">
        <v>0.99201910000000004</v>
      </c>
      <c r="BC27">
        <v>0.99201910000000004</v>
      </c>
      <c r="BD27">
        <v>2.3701E-3</v>
      </c>
      <c r="BE27">
        <v>2.3701E-3</v>
      </c>
      <c r="BF27">
        <v>-167.87039999999999</v>
      </c>
      <c r="BG27">
        <v>-167.87039999999999</v>
      </c>
      <c r="BH27">
        <v>-139.7081</v>
      </c>
      <c r="BI27">
        <v>-139.7081</v>
      </c>
      <c r="BJ27">
        <v>0</v>
      </c>
      <c r="BK27">
        <v>0</v>
      </c>
      <c r="BL27">
        <v>0</v>
      </c>
      <c r="BM27">
        <v>180</v>
      </c>
      <c r="BP27">
        <v>0.4597</v>
      </c>
      <c r="BQ27">
        <v>0.92431280000000005</v>
      </c>
      <c r="BR27">
        <v>0.92431280000000005</v>
      </c>
      <c r="BS27">
        <v>0</v>
      </c>
      <c r="BT27">
        <v>0</v>
      </c>
      <c r="BU27">
        <v>7.5687199999999996E-2</v>
      </c>
      <c r="BV27">
        <v>7.5687199999999996E-2</v>
      </c>
      <c r="BW27">
        <v>-5.5655999999999999</v>
      </c>
      <c r="BX27">
        <v>-5.5655999999999999</v>
      </c>
      <c r="BY27">
        <v>158.10730000000001</v>
      </c>
      <c r="BZ27">
        <v>158.10730000000001</v>
      </c>
      <c r="CA27">
        <v>0</v>
      </c>
      <c r="CB27">
        <v>0</v>
      </c>
      <c r="CC27">
        <v>0</v>
      </c>
      <c r="CD27">
        <v>180</v>
      </c>
    </row>
    <row r="28" spans="3:82">
      <c r="C28" s="763" t="s">
        <v>850</v>
      </c>
      <c r="D28" s="761">
        <f>Al</f>
        <v>0.91547060000000002</v>
      </c>
      <c r="E28" s="762"/>
      <c r="F28" s="761"/>
      <c r="G28" s="762"/>
      <c r="H28" s="761">
        <f>Al</f>
        <v>0.91547060000000002</v>
      </c>
      <c r="I28" s="762"/>
      <c r="K28" s="761">
        <f>Al</f>
        <v>0.91547060000000002</v>
      </c>
      <c r="L28" s="762"/>
      <c r="M28" s="761">
        <f>Al</f>
        <v>0.91547060000000002</v>
      </c>
      <c r="N28" s="762"/>
      <c r="O28" s="761">
        <f>Al</f>
        <v>0.91547060000000002</v>
      </c>
      <c r="P28" s="762"/>
      <c r="S28">
        <v>0.46105000000000002</v>
      </c>
      <c r="T28">
        <v>0.94930190000000003</v>
      </c>
      <c r="U28">
        <v>0.94930190000000003</v>
      </c>
      <c r="V28">
        <v>6.86E-5</v>
      </c>
      <c r="W28">
        <v>6.86E-5</v>
      </c>
      <c r="X28">
        <v>5.0629599999999997E-2</v>
      </c>
      <c r="Y28">
        <v>5.0629599999999997E-2</v>
      </c>
      <c r="Z28">
        <v>-163.4196</v>
      </c>
      <c r="AA28">
        <v>-163.4196</v>
      </c>
      <c r="AB28">
        <v>111.6983</v>
      </c>
      <c r="AC28">
        <v>111.6983</v>
      </c>
      <c r="AD28">
        <v>0</v>
      </c>
      <c r="AE28">
        <v>0</v>
      </c>
      <c r="AF28">
        <v>0</v>
      </c>
      <c r="AG28">
        <v>180</v>
      </c>
      <c r="AI28">
        <v>0.46105000000000002</v>
      </c>
      <c r="AJ28">
        <v>0.95995719999999995</v>
      </c>
      <c r="AK28">
        <v>0.95995719999999995</v>
      </c>
      <c r="AL28">
        <v>7.2100000000000004E-5</v>
      </c>
      <c r="AM28">
        <v>7.2100000000000004E-5</v>
      </c>
      <c r="AN28">
        <v>3.9970699999999998E-2</v>
      </c>
      <c r="AO28">
        <v>3.9970699999999998E-2</v>
      </c>
      <c r="AP28">
        <v>-148.90860000000001</v>
      </c>
      <c r="AQ28">
        <v>-148.90860000000001</v>
      </c>
      <c r="AR28">
        <v>138.57490000000001</v>
      </c>
      <c r="AS28">
        <v>138.57490000000001</v>
      </c>
      <c r="AT28">
        <v>0</v>
      </c>
      <c r="AU28">
        <v>0</v>
      </c>
      <c r="AV28">
        <v>0</v>
      </c>
      <c r="AW28">
        <v>180</v>
      </c>
      <c r="AY28">
        <v>0.46105000000000002</v>
      </c>
      <c r="AZ28">
        <v>5.4057000000000003E-3</v>
      </c>
      <c r="BA28">
        <v>5.4057000000000003E-3</v>
      </c>
      <c r="BB28">
        <v>0.99224749999999995</v>
      </c>
      <c r="BC28">
        <v>0.99224749999999995</v>
      </c>
      <c r="BD28">
        <v>2.3468E-3</v>
      </c>
      <c r="BE28">
        <v>2.3468E-3</v>
      </c>
      <c r="BF28">
        <v>-166.05709999999999</v>
      </c>
      <c r="BG28">
        <v>-166.05709999999999</v>
      </c>
      <c r="BH28">
        <v>-140.0308</v>
      </c>
      <c r="BI28">
        <v>-140.0308</v>
      </c>
      <c r="BJ28">
        <v>0</v>
      </c>
      <c r="BK28">
        <v>0</v>
      </c>
      <c r="BL28">
        <v>0</v>
      </c>
      <c r="BM28">
        <v>180</v>
      </c>
      <c r="BP28">
        <v>0.46105000000000002</v>
      </c>
      <c r="BQ28">
        <v>0.92419879999999999</v>
      </c>
      <c r="BR28">
        <v>0.92419879999999999</v>
      </c>
      <c r="BS28">
        <v>0</v>
      </c>
      <c r="BT28">
        <v>0</v>
      </c>
      <c r="BU28">
        <v>7.5801199999999999E-2</v>
      </c>
      <c r="BV28">
        <v>7.5801199999999999E-2</v>
      </c>
      <c r="BW28">
        <v>-5.8136000000000001</v>
      </c>
      <c r="BX28">
        <v>-5.8136000000000001</v>
      </c>
      <c r="BY28">
        <v>158.1764</v>
      </c>
      <c r="BZ28">
        <v>158.1764</v>
      </c>
      <c r="CA28">
        <v>0</v>
      </c>
      <c r="CB28">
        <v>0</v>
      </c>
      <c r="CC28">
        <v>0</v>
      </c>
      <c r="CD28">
        <v>180</v>
      </c>
    </row>
    <row r="29" spans="3:82">
      <c r="C29" s="763" t="s">
        <v>851</v>
      </c>
      <c r="D29" s="761">
        <f>Al</f>
        <v>0.91547060000000002</v>
      </c>
      <c r="E29" s="762"/>
      <c r="F29" s="761"/>
      <c r="G29" s="762"/>
      <c r="H29" s="761">
        <f>Al</f>
        <v>0.91547060000000002</v>
      </c>
      <c r="I29" s="762"/>
      <c r="K29" s="761">
        <f>Al</f>
        <v>0.91547060000000002</v>
      </c>
      <c r="L29" s="762"/>
      <c r="M29" s="761">
        <f>Al</f>
        <v>0.91547060000000002</v>
      </c>
      <c r="N29" s="762"/>
      <c r="O29" s="761">
        <f>Al</f>
        <v>0.91547060000000002</v>
      </c>
      <c r="P29" s="762"/>
      <c r="S29">
        <v>0.46239999999999998</v>
      </c>
      <c r="T29">
        <v>0.95041529999999996</v>
      </c>
      <c r="U29">
        <v>0.95041529999999996</v>
      </c>
      <c r="V29">
        <v>6.5699999999999998E-5</v>
      </c>
      <c r="W29">
        <v>6.5699999999999998E-5</v>
      </c>
      <c r="X29">
        <v>4.9519000000000001E-2</v>
      </c>
      <c r="Y29">
        <v>4.9519000000000001E-2</v>
      </c>
      <c r="Z29">
        <v>-162.63220000000001</v>
      </c>
      <c r="AA29">
        <v>-162.63220000000001</v>
      </c>
      <c r="AB29">
        <v>112.9671</v>
      </c>
      <c r="AC29">
        <v>112.9671</v>
      </c>
      <c r="AD29">
        <v>0</v>
      </c>
      <c r="AE29">
        <v>0</v>
      </c>
      <c r="AF29">
        <v>0</v>
      </c>
      <c r="AG29">
        <v>180</v>
      </c>
      <c r="AI29">
        <v>0.46239999999999998</v>
      </c>
      <c r="AJ29">
        <v>0.96084179999999997</v>
      </c>
      <c r="AK29">
        <v>0.96084179999999997</v>
      </c>
      <c r="AL29">
        <v>6.9300000000000004E-5</v>
      </c>
      <c r="AM29">
        <v>6.9300000000000004E-5</v>
      </c>
      <c r="AN29">
        <v>3.9088900000000003E-2</v>
      </c>
      <c r="AO29">
        <v>3.9088900000000003E-2</v>
      </c>
      <c r="AP29">
        <v>-148.2713</v>
      </c>
      <c r="AQ29">
        <v>-148.2713</v>
      </c>
      <c r="AR29">
        <v>139.51179999999999</v>
      </c>
      <c r="AS29">
        <v>139.51179999999999</v>
      </c>
      <c r="AT29">
        <v>0</v>
      </c>
      <c r="AU29">
        <v>0</v>
      </c>
      <c r="AV29">
        <v>0</v>
      </c>
      <c r="AW29">
        <v>180</v>
      </c>
      <c r="AY29">
        <v>0.46239999999999998</v>
      </c>
      <c r="AZ29">
        <v>5.2072000000000004E-3</v>
      </c>
      <c r="BA29">
        <v>5.2072000000000004E-3</v>
      </c>
      <c r="BB29">
        <v>0.9924693</v>
      </c>
      <c r="BC29">
        <v>0.9924693</v>
      </c>
      <c r="BD29">
        <v>2.3235999999999999E-3</v>
      </c>
      <c r="BE29">
        <v>2.3235999999999999E-3</v>
      </c>
      <c r="BF29">
        <v>-164.25470000000001</v>
      </c>
      <c r="BG29">
        <v>-164.25470000000001</v>
      </c>
      <c r="BH29">
        <v>-140.435</v>
      </c>
      <c r="BI29">
        <v>-140.435</v>
      </c>
      <c r="BJ29">
        <v>0</v>
      </c>
      <c r="BK29">
        <v>0</v>
      </c>
      <c r="BL29">
        <v>0</v>
      </c>
      <c r="BM29">
        <v>180</v>
      </c>
      <c r="BP29">
        <v>0.46239999999999998</v>
      </c>
      <c r="BQ29">
        <v>0.92408760000000001</v>
      </c>
      <c r="BR29">
        <v>0.92408760000000001</v>
      </c>
      <c r="BS29">
        <v>0</v>
      </c>
      <c r="BT29">
        <v>0</v>
      </c>
      <c r="BU29">
        <v>7.5912400000000005E-2</v>
      </c>
      <c r="BV29">
        <v>7.5912400000000005E-2</v>
      </c>
      <c r="BW29">
        <v>-6.0602</v>
      </c>
      <c r="BX29">
        <v>-6.0602</v>
      </c>
      <c r="BY29">
        <v>158.245</v>
      </c>
      <c r="BZ29">
        <v>158.245</v>
      </c>
      <c r="CA29">
        <v>0</v>
      </c>
      <c r="CB29">
        <v>0</v>
      </c>
      <c r="CC29">
        <v>0</v>
      </c>
      <c r="CD29">
        <v>180</v>
      </c>
    </row>
    <row r="30" spans="3:82">
      <c r="C30" s="763" t="s">
        <v>852</v>
      </c>
      <c r="D30" s="761">
        <f>FSS99_600</f>
        <v>0.98364700000000005</v>
      </c>
      <c r="E30" s="762"/>
      <c r="F30" s="761"/>
      <c r="G30" s="762"/>
      <c r="H30" s="761">
        <f>FSS99_600</f>
        <v>0.98364700000000005</v>
      </c>
      <c r="I30" s="762"/>
      <c r="K30" s="761">
        <f>FSS99_600</f>
        <v>0.98364700000000005</v>
      </c>
      <c r="L30" s="762"/>
      <c r="M30" s="761">
        <f>FSS99_600</f>
        <v>0.98364700000000005</v>
      </c>
      <c r="N30" s="762"/>
      <c r="O30" s="761">
        <f>FSS99_600</f>
        <v>0.98364700000000005</v>
      </c>
      <c r="P30" s="762"/>
      <c r="S30">
        <v>0.46375</v>
      </c>
      <c r="T30">
        <v>0.95148969999999999</v>
      </c>
      <c r="U30">
        <v>0.95148969999999999</v>
      </c>
      <c r="V30">
        <v>6.3E-5</v>
      </c>
      <c r="W30">
        <v>6.3E-5</v>
      </c>
      <c r="X30">
        <v>4.8447299999999999E-2</v>
      </c>
      <c r="Y30">
        <v>4.8447299999999999E-2</v>
      </c>
      <c r="Z30">
        <v>-161.86000000000001</v>
      </c>
      <c r="AA30">
        <v>-161.86000000000001</v>
      </c>
      <c r="AB30">
        <v>114.20740000000001</v>
      </c>
      <c r="AC30">
        <v>114.20740000000001</v>
      </c>
      <c r="AD30">
        <v>0</v>
      </c>
      <c r="AE30">
        <v>0</v>
      </c>
      <c r="AF30">
        <v>0</v>
      </c>
      <c r="AG30">
        <v>180</v>
      </c>
      <c r="AI30">
        <v>0.46375</v>
      </c>
      <c r="AJ30">
        <v>0.96170020000000001</v>
      </c>
      <c r="AK30">
        <v>0.96170020000000001</v>
      </c>
      <c r="AL30">
        <v>6.6600000000000006E-5</v>
      </c>
      <c r="AM30">
        <v>6.6600000000000006E-5</v>
      </c>
      <c r="AN30">
        <v>3.8233299999999998E-2</v>
      </c>
      <c r="AO30">
        <v>3.8233299999999998E-2</v>
      </c>
      <c r="AP30">
        <v>-147.6448</v>
      </c>
      <c r="AQ30">
        <v>-147.6448</v>
      </c>
      <c r="AR30">
        <v>140.42939999999999</v>
      </c>
      <c r="AS30">
        <v>140.42939999999999</v>
      </c>
      <c r="AT30">
        <v>0</v>
      </c>
      <c r="AU30">
        <v>0</v>
      </c>
      <c r="AV30">
        <v>0</v>
      </c>
      <c r="AW30">
        <v>180</v>
      </c>
      <c r="AY30">
        <v>0.46375</v>
      </c>
      <c r="AZ30">
        <v>5.0160999999999999E-3</v>
      </c>
      <c r="BA30">
        <v>5.0160999999999999E-3</v>
      </c>
      <c r="BB30">
        <v>0.99268339999999999</v>
      </c>
      <c r="BC30">
        <v>0.99268339999999999</v>
      </c>
      <c r="BD30">
        <v>2.3005E-3</v>
      </c>
      <c r="BE30">
        <v>2.3005E-3</v>
      </c>
      <c r="BF30">
        <v>-162.46270000000001</v>
      </c>
      <c r="BG30">
        <v>-162.46270000000001</v>
      </c>
      <c r="BH30">
        <v>-140.92150000000001</v>
      </c>
      <c r="BI30">
        <v>-140.92150000000001</v>
      </c>
      <c r="BJ30">
        <v>0</v>
      </c>
      <c r="BK30">
        <v>0</v>
      </c>
      <c r="BL30">
        <v>0</v>
      </c>
      <c r="BM30">
        <v>180</v>
      </c>
      <c r="BP30">
        <v>0.46375</v>
      </c>
      <c r="BQ30">
        <v>0.9239792</v>
      </c>
      <c r="BR30">
        <v>0.9239792</v>
      </c>
      <c r="BS30">
        <v>0</v>
      </c>
      <c r="BT30">
        <v>0</v>
      </c>
      <c r="BU30">
        <v>7.6020799999999999E-2</v>
      </c>
      <c r="BV30">
        <v>7.6020799999999999E-2</v>
      </c>
      <c r="BW30">
        <v>-6.3052999999999999</v>
      </c>
      <c r="BX30">
        <v>-6.3052999999999999</v>
      </c>
      <c r="BY30">
        <v>158.31319999999999</v>
      </c>
      <c r="BZ30">
        <v>158.31319999999999</v>
      </c>
      <c r="CA30">
        <v>0</v>
      </c>
      <c r="CB30">
        <v>0</v>
      </c>
      <c r="CC30">
        <v>0</v>
      </c>
      <c r="CD30">
        <v>180</v>
      </c>
    </row>
    <row r="31" spans="3:82">
      <c r="C31" s="763" t="s">
        <v>853</v>
      </c>
      <c r="D31" s="761">
        <f>FSS99_600</f>
        <v>0.98364700000000005</v>
      </c>
      <c r="E31" s="762"/>
      <c r="F31" s="761"/>
      <c r="G31" s="762"/>
      <c r="H31" s="761">
        <f>FSS99_600</f>
        <v>0.98364700000000005</v>
      </c>
      <c r="I31" s="762"/>
      <c r="K31" s="761">
        <f>FSS99_600</f>
        <v>0.98364700000000005</v>
      </c>
      <c r="L31" s="762"/>
      <c r="M31" s="761">
        <f>FSS99_600</f>
        <v>0.98364700000000005</v>
      </c>
      <c r="N31" s="762"/>
      <c r="O31" s="761">
        <f>FSS99_600</f>
        <v>0.98364700000000005</v>
      </c>
      <c r="P31" s="762"/>
      <c r="S31">
        <v>0.46510000000000001</v>
      </c>
      <c r="T31">
        <v>0.9525264</v>
      </c>
      <c r="U31">
        <v>0.9525264</v>
      </c>
      <c r="V31">
        <v>6.05E-5</v>
      </c>
      <c r="W31">
        <v>6.05E-5</v>
      </c>
      <c r="X31">
        <v>4.74131E-2</v>
      </c>
      <c r="Y31">
        <v>4.74131E-2</v>
      </c>
      <c r="Z31">
        <v>-161.1026</v>
      </c>
      <c r="AA31">
        <v>-161.1026</v>
      </c>
      <c r="AB31">
        <v>115.42</v>
      </c>
      <c r="AC31">
        <v>115.42</v>
      </c>
      <c r="AD31">
        <v>0</v>
      </c>
      <c r="AE31">
        <v>0</v>
      </c>
      <c r="AF31">
        <v>0</v>
      </c>
      <c r="AG31">
        <v>180</v>
      </c>
      <c r="AI31">
        <v>0.46510000000000001</v>
      </c>
      <c r="AJ31">
        <v>0.96252499999999996</v>
      </c>
      <c r="AK31">
        <v>0.96252499999999996</v>
      </c>
      <c r="AL31">
        <v>6.3999999999999997E-5</v>
      </c>
      <c r="AM31">
        <v>6.3999999999999997E-5</v>
      </c>
      <c r="AN31">
        <v>3.7411E-2</v>
      </c>
      <c r="AO31">
        <v>3.7411E-2</v>
      </c>
      <c r="AP31">
        <v>-147.02869999999999</v>
      </c>
      <c r="AQ31">
        <v>-147.02869999999999</v>
      </c>
      <c r="AR31">
        <v>141.3289</v>
      </c>
      <c r="AS31">
        <v>141.3289</v>
      </c>
      <c r="AT31">
        <v>0</v>
      </c>
      <c r="AU31">
        <v>0</v>
      </c>
      <c r="AV31">
        <v>0</v>
      </c>
      <c r="AW31">
        <v>180</v>
      </c>
      <c r="AY31">
        <v>0.46510000000000001</v>
      </c>
      <c r="AZ31">
        <v>4.8333999999999998E-3</v>
      </c>
      <c r="BA31">
        <v>4.8333999999999998E-3</v>
      </c>
      <c r="BB31">
        <v>0.99288889999999996</v>
      </c>
      <c r="BC31">
        <v>0.99288889999999996</v>
      </c>
      <c r="BD31">
        <v>2.2775999999999999E-3</v>
      </c>
      <c r="BE31">
        <v>2.2775999999999999E-3</v>
      </c>
      <c r="BF31">
        <v>-160.68109999999999</v>
      </c>
      <c r="BG31">
        <v>-160.68109999999999</v>
      </c>
      <c r="BH31">
        <v>-141.4914</v>
      </c>
      <c r="BI31">
        <v>-141.4914</v>
      </c>
      <c r="BJ31">
        <v>0</v>
      </c>
      <c r="BK31">
        <v>0</v>
      </c>
      <c r="BL31">
        <v>0</v>
      </c>
      <c r="BM31">
        <v>180</v>
      </c>
      <c r="BP31">
        <v>0.46510000000000001</v>
      </c>
      <c r="BQ31">
        <v>0.92387359999999996</v>
      </c>
      <c r="BR31">
        <v>0.92387359999999996</v>
      </c>
      <c r="BS31">
        <v>0</v>
      </c>
      <c r="BT31">
        <v>0</v>
      </c>
      <c r="BU31">
        <v>7.6126399999999997E-2</v>
      </c>
      <c r="BV31">
        <v>7.6126399999999997E-2</v>
      </c>
      <c r="BW31">
        <v>-6.5491000000000001</v>
      </c>
      <c r="BX31">
        <v>-6.5491000000000001</v>
      </c>
      <c r="BY31">
        <v>158.381</v>
      </c>
      <c r="BZ31">
        <v>158.381</v>
      </c>
      <c r="CA31">
        <v>0</v>
      </c>
      <c r="CB31">
        <v>0</v>
      </c>
      <c r="CC31">
        <v>0</v>
      </c>
      <c r="CD31">
        <v>180</v>
      </c>
    </row>
    <row r="32" spans="3:82">
      <c r="C32" s="763" t="s">
        <v>854</v>
      </c>
      <c r="D32" s="761">
        <f>FSS99_600</f>
        <v>0.98364700000000005</v>
      </c>
      <c r="E32" s="762"/>
      <c r="F32" s="761"/>
      <c r="G32" s="762"/>
      <c r="H32" s="761">
        <f>FSS99_600</f>
        <v>0.98364700000000005</v>
      </c>
      <c r="I32" s="762"/>
      <c r="K32" s="761">
        <f>FSS99_600</f>
        <v>0.98364700000000005</v>
      </c>
      <c r="L32" s="762"/>
      <c r="M32" s="761">
        <f>FSS99_600</f>
        <v>0.98364700000000005</v>
      </c>
      <c r="N32" s="762"/>
      <c r="O32" s="761">
        <f>FSS99_600</f>
        <v>0.98364700000000005</v>
      </c>
      <c r="P32" s="762"/>
      <c r="S32">
        <v>0.46644999999999998</v>
      </c>
      <c r="T32">
        <v>0.95352700000000001</v>
      </c>
      <c r="U32">
        <v>0.95352700000000001</v>
      </c>
      <c r="V32">
        <v>5.8E-5</v>
      </c>
      <c r="W32">
        <v>5.8E-5</v>
      </c>
      <c r="X32">
        <v>4.6414900000000002E-2</v>
      </c>
      <c r="Y32">
        <v>4.6414900000000002E-2</v>
      </c>
      <c r="Z32">
        <v>-160.35939999999999</v>
      </c>
      <c r="AA32">
        <v>-160.35939999999999</v>
      </c>
      <c r="AB32">
        <v>116.6061</v>
      </c>
      <c r="AC32">
        <v>116.6061</v>
      </c>
      <c r="AD32">
        <v>0</v>
      </c>
      <c r="AE32">
        <v>0</v>
      </c>
      <c r="AF32">
        <v>0</v>
      </c>
      <c r="AG32">
        <v>180</v>
      </c>
      <c r="AI32">
        <v>0.46644999999999998</v>
      </c>
      <c r="AJ32">
        <v>0.96331800000000001</v>
      </c>
      <c r="AK32">
        <v>0.96331800000000001</v>
      </c>
      <c r="AL32">
        <v>6.1500000000000004E-5</v>
      </c>
      <c r="AM32">
        <v>6.1500000000000004E-5</v>
      </c>
      <c r="AN32">
        <v>3.66205E-2</v>
      </c>
      <c r="AO32">
        <v>3.66205E-2</v>
      </c>
      <c r="AP32">
        <v>-146.42250000000001</v>
      </c>
      <c r="AQ32">
        <v>-146.42250000000001</v>
      </c>
      <c r="AR32">
        <v>142.21109999999999</v>
      </c>
      <c r="AS32">
        <v>142.21109999999999</v>
      </c>
      <c r="AT32">
        <v>0</v>
      </c>
      <c r="AU32">
        <v>0</v>
      </c>
      <c r="AV32">
        <v>0</v>
      </c>
      <c r="AW32">
        <v>180</v>
      </c>
      <c r="AY32">
        <v>0.46644999999999998</v>
      </c>
      <c r="AZ32">
        <v>4.6601999999999998E-3</v>
      </c>
      <c r="BA32">
        <v>4.6601999999999998E-3</v>
      </c>
      <c r="BB32">
        <v>0.993085</v>
      </c>
      <c r="BC32">
        <v>0.993085</v>
      </c>
      <c r="BD32">
        <v>2.2548999999999998E-3</v>
      </c>
      <c r="BE32">
        <v>2.2548999999999998E-3</v>
      </c>
      <c r="BF32">
        <v>-158.90979999999999</v>
      </c>
      <c r="BG32">
        <v>-158.90979999999999</v>
      </c>
      <c r="BH32">
        <v>-142.14510000000001</v>
      </c>
      <c r="BI32">
        <v>-142.14510000000001</v>
      </c>
      <c r="BJ32">
        <v>0</v>
      </c>
      <c r="BK32">
        <v>0</v>
      </c>
      <c r="BL32">
        <v>0</v>
      </c>
      <c r="BM32">
        <v>180</v>
      </c>
      <c r="BP32">
        <v>0.46644999999999998</v>
      </c>
      <c r="BQ32">
        <v>0.92377069999999994</v>
      </c>
      <c r="BR32">
        <v>0.92377069999999994</v>
      </c>
      <c r="BS32">
        <v>0</v>
      </c>
      <c r="BT32">
        <v>0</v>
      </c>
      <c r="BU32">
        <v>7.62293E-2</v>
      </c>
      <c r="BV32">
        <v>7.62293E-2</v>
      </c>
      <c r="BW32">
        <v>-6.7914000000000003</v>
      </c>
      <c r="BX32">
        <v>-6.7914000000000003</v>
      </c>
      <c r="BY32">
        <v>158.44839999999999</v>
      </c>
      <c r="BZ32">
        <v>158.44839999999999</v>
      </c>
      <c r="CA32">
        <v>0</v>
      </c>
      <c r="CB32">
        <v>0</v>
      </c>
      <c r="CC32">
        <v>0</v>
      </c>
      <c r="CD32">
        <v>180</v>
      </c>
    </row>
    <row r="33" spans="3:82">
      <c r="C33" s="764" t="s">
        <v>855</v>
      </c>
      <c r="D33" s="761">
        <f>FSS99_600</f>
        <v>0.98364700000000005</v>
      </c>
      <c r="E33" s="762">
        <v>1</v>
      </c>
      <c r="F33" s="761"/>
      <c r="G33" s="762"/>
      <c r="H33" s="761">
        <f>FSS99_600</f>
        <v>0.98364700000000005</v>
      </c>
      <c r="I33" s="762">
        <v>1</v>
      </c>
      <c r="K33" s="765" t="s">
        <v>856</v>
      </c>
      <c r="L33" s="766" t="s">
        <v>856</v>
      </c>
      <c r="M33" s="765" t="s">
        <v>856</v>
      </c>
      <c r="N33" s="766" t="s">
        <v>856</v>
      </c>
      <c r="O33" s="765" t="s">
        <v>856</v>
      </c>
      <c r="P33" s="766" t="s">
        <v>856</v>
      </c>
      <c r="S33">
        <v>0.46779999999999999</v>
      </c>
      <c r="T33">
        <v>0.95449289999999998</v>
      </c>
      <c r="U33">
        <v>0.95449289999999998</v>
      </c>
      <c r="V33">
        <v>5.5699999999999999E-5</v>
      </c>
      <c r="W33">
        <v>5.5699999999999999E-5</v>
      </c>
      <c r="X33">
        <v>4.5451400000000003E-2</v>
      </c>
      <c r="Y33">
        <v>4.5451400000000003E-2</v>
      </c>
      <c r="Z33">
        <v>-159.63</v>
      </c>
      <c r="AA33">
        <v>-159.63</v>
      </c>
      <c r="AB33">
        <v>117.7664</v>
      </c>
      <c r="AC33">
        <v>117.7664</v>
      </c>
      <c r="AD33">
        <v>0</v>
      </c>
      <c r="AE33">
        <v>0</v>
      </c>
      <c r="AF33">
        <v>0</v>
      </c>
      <c r="AG33">
        <v>180</v>
      </c>
      <c r="AI33">
        <v>0.46779999999999999</v>
      </c>
      <c r="AJ33">
        <v>0.96408050000000001</v>
      </c>
      <c r="AK33">
        <v>0.96408050000000001</v>
      </c>
      <c r="AL33">
        <v>5.9200000000000002E-5</v>
      </c>
      <c r="AM33">
        <v>5.9200000000000002E-5</v>
      </c>
      <c r="AN33">
        <v>3.5860200000000002E-2</v>
      </c>
      <c r="AO33">
        <v>3.5860200000000002E-2</v>
      </c>
      <c r="AP33">
        <v>-145.82599999999999</v>
      </c>
      <c r="AQ33">
        <v>-145.82599999999999</v>
      </c>
      <c r="AR33">
        <v>143.07660000000001</v>
      </c>
      <c r="AS33">
        <v>143.07660000000001</v>
      </c>
      <c r="AT33">
        <v>0</v>
      </c>
      <c r="AU33">
        <v>0</v>
      </c>
      <c r="AV33">
        <v>0</v>
      </c>
      <c r="AW33">
        <v>180</v>
      </c>
      <c r="AY33">
        <v>0.46779999999999999</v>
      </c>
      <c r="AZ33">
        <v>4.4970000000000001E-3</v>
      </c>
      <c r="BA33">
        <v>4.4970000000000001E-3</v>
      </c>
      <c r="BB33">
        <v>0.99327069999999995</v>
      </c>
      <c r="BC33">
        <v>0.99327069999999995</v>
      </c>
      <c r="BD33">
        <v>2.2323E-3</v>
      </c>
      <c r="BE33">
        <v>2.2323E-3</v>
      </c>
      <c r="BF33">
        <v>-157.14869999999999</v>
      </c>
      <c r="BG33">
        <v>-157.14869999999999</v>
      </c>
      <c r="BH33">
        <v>-142.88210000000001</v>
      </c>
      <c r="BI33">
        <v>-142.88210000000001</v>
      </c>
      <c r="BJ33">
        <v>0</v>
      </c>
      <c r="BK33">
        <v>0</v>
      </c>
      <c r="BL33">
        <v>0</v>
      </c>
      <c r="BM33">
        <v>180</v>
      </c>
      <c r="BP33">
        <v>0.46779999999999999</v>
      </c>
      <c r="BQ33">
        <v>0.92367049999999995</v>
      </c>
      <c r="BR33">
        <v>0.92367049999999995</v>
      </c>
      <c r="BS33">
        <v>0</v>
      </c>
      <c r="BT33">
        <v>0</v>
      </c>
      <c r="BU33">
        <v>7.6329499999999995E-2</v>
      </c>
      <c r="BV33">
        <v>7.6329499999999995E-2</v>
      </c>
      <c r="BW33">
        <v>-7.0324</v>
      </c>
      <c r="BX33">
        <v>-7.0324</v>
      </c>
      <c r="BY33">
        <v>158.5154</v>
      </c>
      <c r="BZ33">
        <v>158.5154</v>
      </c>
      <c r="CA33">
        <v>0</v>
      </c>
      <c r="CB33">
        <v>0</v>
      </c>
      <c r="CC33">
        <v>0</v>
      </c>
      <c r="CD33">
        <v>180</v>
      </c>
    </row>
    <row r="34" spans="3:82">
      <c r="C34" s="764" t="s">
        <v>857</v>
      </c>
      <c r="D34" s="765"/>
      <c r="E34" s="766"/>
      <c r="F34" s="765" t="s">
        <v>856</v>
      </c>
      <c r="G34" s="766"/>
      <c r="H34" s="765" t="s">
        <v>856</v>
      </c>
      <c r="I34" s="766"/>
      <c r="K34" s="761">
        <f>Al</f>
        <v>0.91547060000000002</v>
      </c>
      <c r="L34" s="767">
        <v>0.27</v>
      </c>
      <c r="M34" s="761">
        <f>Al</f>
        <v>0.91547060000000002</v>
      </c>
      <c r="N34" s="767">
        <v>0.27</v>
      </c>
      <c r="O34" s="761">
        <f>Al</f>
        <v>0.91547060000000002</v>
      </c>
      <c r="P34" s="767">
        <v>0.27</v>
      </c>
      <c r="S34">
        <v>0.46915000000000001</v>
      </c>
      <c r="T34">
        <v>0.95542519999999997</v>
      </c>
      <c r="U34">
        <v>0.95542519999999997</v>
      </c>
      <c r="V34">
        <v>5.3499999999999999E-5</v>
      </c>
      <c r="W34">
        <v>5.3499999999999999E-5</v>
      </c>
      <c r="X34">
        <v>4.4521199999999997E-2</v>
      </c>
      <c r="Y34">
        <v>4.4521199999999997E-2</v>
      </c>
      <c r="Z34">
        <v>-158.91419999999999</v>
      </c>
      <c r="AA34">
        <v>-158.91419999999999</v>
      </c>
      <c r="AB34">
        <v>118.902</v>
      </c>
      <c r="AC34">
        <v>118.902</v>
      </c>
      <c r="AD34">
        <v>0</v>
      </c>
      <c r="AE34">
        <v>0</v>
      </c>
      <c r="AF34">
        <v>0</v>
      </c>
      <c r="AG34">
        <v>180</v>
      </c>
      <c r="AI34">
        <v>0.46915000000000001</v>
      </c>
      <c r="AJ34">
        <v>0.96481289999999997</v>
      </c>
      <c r="AK34">
        <v>0.96481289999999997</v>
      </c>
      <c r="AL34">
        <v>5.7000000000000003E-5</v>
      </c>
      <c r="AM34">
        <v>5.7000000000000003E-5</v>
      </c>
      <c r="AN34">
        <v>3.5130099999999997E-2</v>
      </c>
      <c r="AO34">
        <v>3.5130099999999997E-2</v>
      </c>
      <c r="AP34">
        <v>-145.24</v>
      </c>
      <c r="AQ34">
        <v>-145.24</v>
      </c>
      <c r="AR34">
        <v>143.92420000000001</v>
      </c>
      <c r="AS34">
        <v>143.92420000000001</v>
      </c>
      <c r="AT34">
        <v>0</v>
      </c>
      <c r="AU34">
        <v>0</v>
      </c>
      <c r="AV34">
        <v>0</v>
      </c>
      <c r="AW34">
        <v>180</v>
      </c>
      <c r="AY34">
        <v>0.46915000000000001</v>
      </c>
      <c r="AZ34">
        <v>4.3445999999999997E-3</v>
      </c>
      <c r="BA34">
        <v>4.3445999999999997E-3</v>
      </c>
      <c r="BB34">
        <v>0.99344560000000004</v>
      </c>
      <c r="BC34">
        <v>0.99344560000000004</v>
      </c>
      <c r="BD34">
        <v>2.2098E-3</v>
      </c>
      <c r="BE34">
        <v>2.2098E-3</v>
      </c>
      <c r="BF34">
        <v>-155.39769999999999</v>
      </c>
      <c r="BG34">
        <v>-155.39769999999999</v>
      </c>
      <c r="BH34">
        <v>-143.7011</v>
      </c>
      <c r="BI34">
        <v>-143.7011</v>
      </c>
      <c r="BJ34">
        <v>0</v>
      </c>
      <c r="BK34">
        <v>0</v>
      </c>
      <c r="BL34">
        <v>0</v>
      </c>
      <c r="BM34">
        <v>180</v>
      </c>
      <c r="BP34">
        <v>0.46915000000000001</v>
      </c>
      <c r="BQ34">
        <v>0.92357290000000003</v>
      </c>
      <c r="BR34">
        <v>0.92357290000000003</v>
      </c>
      <c r="BS34">
        <v>0</v>
      </c>
      <c r="BT34">
        <v>0</v>
      </c>
      <c r="BU34">
        <v>7.6427099999999998E-2</v>
      </c>
      <c r="BV34">
        <v>7.6427099999999998E-2</v>
      </c>
      <c r="BW34">
        <v>-7.2721999999999998</v>
      </c>
      <c r="BX34">
        <v>-7.2721999999999998</v>
      </c>
      <c r="BY34">
        <v>158.58199999999999</v>
      </c>
      <c r="BZ34">
        <v>158.58199999999999</v>
      </c>
      <c r="CA34">
        <v>0</v>
      </c>
      <c r="CB34">
        <v>0</v>
      </c>
      <c r="CC34">
        <v>0</v>
      </c>
      <c r="CD34">
        <v>180</v>
      </c>
    </row>
    <row r="35" spans="3:82">
      <c r="C35" s="763" t="s">
        <v>858</v>
      </c>
      <c r="D35" s="761">
        <f>FSS99_600</f>
        <v>0.98364700000000005</v>
      </c>
      <c r="E35" s="762"/>
      <c r="F35" s="761"/>
      <c r="G35" s="762"/>
      <c r="H35" s="761">
        <f>FSS99_600</f>
        <v>0.98364700000000005</v>
      </c>
      <c r="I35" s="762"/>
      <c r="K35" s="761">
        <f>FSS99_600</f>
        <v>0.98364700000000005</v>
      </c>
      <c r="L35" s="762"/>
      <c r="M35" s="761">
        <f>FSS99_600</f>
        <v>0.98364700000000005</v>
      </c>
      <c r="N35" s="762"/>
      <c r="O35" s="761">
        <f>FSS99_600</f>
        <v>0.98364700000000005</v>
      </c>
      <c r="P35" s="762"/>
      <c r="S35">
        <v>0.47049999999999997</v>
      </c>
      <c r="T35">
        <v>0.95632539999999999</v>
      </c>
      <c r="U35">
        <v>0.95632539999999999</v>
      </c>
      <c r="V35">
        <v>5.1400000000000003E-5</v>
      </c>
      <c r="W35">
        <v>5.1400000000000003E-5</v>
      </c>
      <c r="X35">
        <v>4.3623099999999998E-2</v>
      </c>
      <c r="Y35">
        <v>4.3623099999999998E-2</v>
      </c>
      <c r="Z35">
        <v>-158.2114</v>
      </c>
      <c r="AA35">
        <v>-158.2114</v>
      </c>
      <c r="AB35">
        <v>120.0137</v>
      </c>
      <c r="AC35">
        <v>120.0137</v>
      </c>
      <c r="AD35">
        <v>0</v>
      </c>
      <c r="AE35">
        <v>0</v>
      </c>
      <c r="AF35">
        <v>0</v>
      </c>
      <c r="AG35">
        <v>180</v>
      </c>
      <c r="AI35">
        <v>0.47049999999999997</v>
      </c>
      <c r="AJ35">
        <v>0.96551770000000003</v>
      </c>
      <c r="AK35">
        <v>0.96551770000000003</v>
      </c>
      <c r="AL35">
        <v>5.49E-5</v>
      </c>
      <c r="AM35">
        <v>5.49E-5</v>
      </c>
      <c r="AN35">
        <v>3.4427399999999997E-2</v>
      </c>
      <c r="AO35">
        <v>3.4427399999999997E-2</v>
      </c>
      <c r="AP35">
        <v>-144.66300000000001</v>
      </c>
      <c r="AQ35">
        <v>-144.66300000000001</v>
      </c>
      <c r="AR35">
        <v>144.75649999999999</v>
      </c>
      <c r="AS35">
        <v>144.75649999999999</v>
      </c>
      <c r="AT35">
        <v>0</v>
      </c>
      <c r="AU35">
        <v>0</v>
      </c>
      <c r="AV35">
        <v>0</v>
      </c>
      <c r="AW35">
        <v>180</v>
      </c>
      <c r="AY35">
        <v>0.47049999999999997</v>
      </c>
      <c r="AZ35">
        <v>4.2036E-3</v>
      </c>
      <c r="BA35">
        <v>4.2036E-3</v>
      </c>
      <c r="BB35">
        <v>0.99360899999999996</v>
      </c>
      <c r="BC35">
        <v>0.99360899999999996</v>
      </c>
      <c r="BD35">
        <v>2.1873999999999999E-3</v>
      </c>
      <c r="BE35">
        <v>2.1873999999999999E-3</v>
      </c>
      <c r="BF35">
        <v>-153.6567</v>
      </c>
      <c r="BG35">
        <v>-153.6567</v>
      </c>
      <c r="BH35">
        <v>-144.59950000000001</v>
      </c>
      <c r="BI35">
        <v>-144.59950000000001</v>
      </c>
      <c r="BJ35">
        <v>0</v>
      </c>
      <c r="BK35">
        <v>0</v>
      </c>
      <c r="BL35">
        <v>0</v>
      </c>
      <c r="BM35">
        <v>180</v>
      </c>
      <c r="BP35">
        <v>0.47049999999999997</v>
      </c>
      <c r="BQ35">
        <v>0.92347789999999996</v>
      </c>
      <c r="BR35">
        <v>0.92347789999999996</v>
      </c>
      <c r="BS35">
        <v>0</v>
      </c>
      <c r="BT35">
        <v>0</v>
      </c>
      <c r="BU35">
        <v>7.6522099999999996E-2</v>
      </c>
      <c r="BV35">
        <v>7.6522099999999996E-2</v>
      </c>
      <c r="BW35">
        <v>-7.5106999999999999</v>
      </c>
      <c r="BX35">
        <v>-7.5106999999999999</v>
      </c>
      <c r="BY35">
        <v>158.6482</v>
      </c>
      <c r="BZ35">
        <v>158.6482</v>
      </c>
      <c r="CA35">
        <v>0</v>
      </c>
      <c r="CB35">
        <v>0</v>
      </c>
      <c r="CC35">
        <v>0</v>
      </c>
      <c r="CD35">
        <v>180</v>
      </c>
    </row>
    <row r="36" spans="3:82">
      <c r="C36" s="764" t="s">
        <v>859</v>
      </c>
      <c r="D36" s="761">
        <f>BBARx2</f>
        <v>0.99</v>
      </c>
      <c r="E36" s="767"/>
      <c r="F36" s="761"/>
      <c r="G36" s="767"/>
      <c r="H36" s="768">
        <v>0.6</v>
      </c>
      <c r="I36" s="767"/>
      <c r="K36" s="765" t="s">
        <v>856</v>
      </c>
      <c r="L36" s="766"/>
      <c r="M36" s="765" t="s">
        <v>856</v>
      </c>
      <c r="N36" s="766"/>
      <c r="O36" s="769" t="s">
        <v>856</v>
      </c>
      <c r="P36" s="766"/>
      <c r="S36">
        <v>0.47184999999999999</v>
      </c>
      <c r="T36">
        <v>0.95720439999999996</v>
      </c>
      <c r="U36">
        <v>0.95720439999999996</v>
      </c>
      <c r="V36">
        <v>4.9499999999999997E-5</v>
      </c>
      <c r="W36">
        <v>4.9499999999999997E-5</v>
      </c>
      <c r="X36">
        <v>4.2746199999999998E-2</v>
      </c>
      <c r="Y36">
        <v>4.2746199999999998E-2</v>
      </c>
      <c r="Z36">
        <v>-157.52070000000001</v>
      </c>
      <c r="AA36">
        <v>-157.52070000000001</v>
      </c>
      <c r="AB36">
        <v>121.10169999999999</v>
      </c>
      <c r="AC36">
        <v>121.10169999999999</v>
      </c>
      <c r="AD36">
        <v>0</v>
      </c>
      <c r="AE36">
        <v>0</v>
      </c>
      <c r="AF36">
        <v>0</v>
      </c>
      <c r="AG36">
        <v>180</v>
      </c>
      <c r="AI36">
        <v>0.47184999999999999</v>
      </c>
      <c r="AJ36">
        <v>0.96620170000000005</v>
      </c>
      <c r="AK36">
        <v>0.96620170000000005</v>
      </c>
      <c r="AL36">
        <v>5.2899999999999998E-5</v>
      </c>
      <c r="AM36">
        <v>5.2899999999999998E-5</v>
      </c>
      <c r="AN36">
        <v>3.3745400000000002E-2</v>
      </c>
      <c r="AO36">
        <v>3.3745400000000002E-2</v>
      </c>
      <c r="AP36">
        <v>-144.09450000000001</v>
      </c>
      <c r="AQ36">
        <v>-144.09450000000001</v>
      </c>
      <c r="AR36">
        <v>145.5736</v>
      </c>
      <c r="AS36">
        <v>145.5736</v>
      </c>
      <c r="AT36">
        <v>0</v>
      </c>
      <c r="AU36">
        <v>0</v>
      </c>
      <c r="AV36">
        <v>0</v>
      </c>
      <c r="AW36">
        <v>180</v>
      </c>
      <c r="AY36">
        <v>0.47184999999999999</v>
      </c>
      <c r="AZ36">
        <v>4.0743999999999997E-3</v>
      </c>
      <c r="BA36">
        <v>4.0743999999999997E-3</v>
      </c>
      <c r="BB36">
        <v>0.99376039999999999</v>
      </c>
      <c r="BC36">
        <v>0.99376039999999999</v>
      </c>
      <c r="BD36">
        <v>2.1651000000000001E-3</v>
      </c>
      <c r="BE36">
        <v>2.1651000000000001E-3</v>
      </c>
      <c r="BF36">
        <v>-151.92580000000001</v>
      </c>
      <c r="BG36">
        <v>-151.92580000000001</v>
      </c>
      <c r="BH36">
        <v>-145.57409999999999</v>
      </c>
      <c r="BI36">
        <v>-145.57409999999999</v>
      </c>
      <c r="BJ36">
        <v>0</v>
      </c>
      <c r="BK36">
        <v>0</v>
      </c>
      <c r="BL36">
        <v>0</v>
      </c>
      <c r="BM36">
        <v>180</v>
      </c>
      <c r="BP36">
        <v>0.47184999999999999</v>
      </c>
      <c r="BQ36">
        <v>0.92338549999999997</v>
      </c>
      <c r="BR36">
        <v>0.92338549999999997</v>
      </c>
      <c r="BS36">
        <v>0</v>
      </c>
      <c r="BT36">
        <v>0</v>
      </c>
      <c r="BU36">
        <v>7.6614500000000002E-2</v>
      </c>
      <c r="BV36">
        <v>7.6614500000000002E-2</v>
      </c>
      <c r="BW36">
        <v>-7.7477999999999998</v>
      </c>
      <c r="BX36">
        <v>-7.7477999999999998</v>
      </c>
      <c r="BY36">
        <v>158.714</v>
      </c>
      <c r="BZ36">
        <v>158.714</v>
      </c>
      <c r="CA36">
        <v>0</v>
      </c>
      <c r="CB36">
        <v>0</v>
      </c>
      <c r="CC36">
        <v>0</v>
      </c>
      <c r="CD36">
        <v>180</v>
      </c>
    </row>
    <row r="37" spans="3:82">
      <c r="C37" s="764" t="s">
        <v>860</v>
      </c>
      <c r="D37" s="765" t="s">
        <v>856</v>
      </c>
      <c r="E37" s="766"/>
      <c r="F37" s="765" t="s">
        <v>856</v>
      </c>
      <c r="G37" s="766"/>
      <c r="H37" s="769" t="s">
        <v>856</v>
      </c>
      <c r="I37" s="766"/>
      <c r="K37" s="761">
        <f>BBARx2</f>
        <v>0.99</v>
      </c>
      <c r="L37" s="767">
        <v>1</v>
      </c>
      <c r="M37" s="761">
        <v>1</v>
      </c>
      <c r="N37" s="767">
        <v>1</v>
      </c>
      <c r="O37" s="761">
        <f>Al</f>
        <v>0.91547060000000002</v>
      </c>
      <c r="P37" s="767">
        <v>0.5</v>
      </c>
      <c r="S37">
        <v>0.47320000000000001</v>
      </c>
      <c r="T37">
        <v>0.95807240000000005</v>
      </c>
      <c r="U37">
        <v>0.95807240000000005</v>
      </c>
      <c r="V37">
        <v>4.7599999999999998E-5</v>
      </c>
      <c r="W37">
        <v>4.7599999999999998E-5</v>
      </c>
      <c r="X37">
        <v>4.1880000000000001E-2</v>
      </c>
      <c r="Y37">
        <v>4.1880000000000001E-2</v>
      </c>
      <c r="Z37">
        <v>-156.84139999999999</v>
      </c>
      <c r="AA37">
        <v>-156.84139999999999</v>
      </c>
      <c r="AB37">
        <v>122.1662</v>
      </c>
      <c r="AC37">
        <v>122.1662</v>
      </c>
      <c r="AD37">
        <v>0</v>
      </c>
      <c r="AE37">
        <v>0</v>
      </c>
      <c r="AF37">
        <v>0</v>
      </c>
      <c r="AG37">
        <v>180</v>
      </c>
      <c r="AI37">
        <v>0.47320000000000001</v>
      </c>
      <c r="AJ37">
        <v>0.96687080000000003</v>
      </c>
      <c r="AK37">
        <v>0.96687080000000003</v>
      </c>
      <c r="AL37">
        <v>5.1E-5</v>
      </c>
      <c r="AM37">
        <v>5.1E-5</v>
      </c>
      <c r="AN37">
        <v>3.3078200000000002E-2</v>
      </c>
      <c r="AO37">
        <v>3.3078200000000002E-2</v>
      </c>
      <c r="AP37">
        <v>-143.53399999999999</v>
      </c>
      <c r="AQ37">
        <v>-143.53399999999999</v>
      </c>
      <c r="AR37">
        <v>146.3758</v>
      </c>
      <c r="AS37">
        <v>146.3758</v>
      </c>
      <c r="AT37">
        <v>0</v>
      </c>
      <c r="AU37">
        <v>0</v>
      </c>
      <c r="AV37">
        <v>0</v>
      </c>
      <c r="AW37">
        <v>180</v>
      </c>
      <c r="AY37">
        <v>0.47320000000000001</v>
      </c>
      <c r="AZ37">
        <v>3.9573999999999998E-3</v>
      </c>
      <c r="BA37">
        <v>3.9573999999999998E-3</v>
      </c>
      <c r="BB37">
        <v>0.99389959999999999</v>
      </c>
      <c r="BC37">
        <v>0.99389959999999999</v>
      </c>
      <c r="BD37">
        <v>2.1429999999999999E-3</v>
      </c>
      <c r="BE37">
        <v>2.1429999999999999E-3</v>
      </c>
      <c r="BF37">
        <v>-150.20480000000001</v>
      </c>
      <c r="BG37">
        <v>-150.20480000000001</v>
      </c>
      <c r="BH37">
        <v>-146.62</v>
      </c>
      <c r="BI37">
        <v>-146.62</v>
      </c>
      <c r="BJ37">
        <v>0</v>
      </c>
      <c r="BK37">
        <v>0</v>
      </c>
      <c r="BL37">
        <v>0</v>
      </c>
      <c r="BM37">
        <v>180</v>
      </c>
      <c r="BP37">
        <v>0.47320000000000001</v>
      </c>
      <c r="BQ37">
        <v>0.92329550000000005</v>
      </c>
      <c r="BR37">
        <v>0.92329550000000005</v>
      </c>
      <c r="BS37">
        <v>0</v>
      </c>
      <c r="BT37">
        <v>0</v>
      </c>
      <c r="BU37">
        <v>7.6704499999999995E-2</v>
      </c>
      <c r="BV37">
        <v>7.6704499999999995E-2</v>
      </c>
      <c r="BW37">
        <v>-7.9835000000000003</v>
      </c>
      <c r="BX37">
        <v>-7.9835000000000003</v>
      </c>
      <c r="BY37">
        <v>158.77940000000001</v>
      </c>
      <c r="BZ37">
        <v>158.77940000000001</v>
      </c>
      <c r="CA37">
        <v>0</v>
      </c>
      <c r="CB37">
        <v>0</v>
      </c>
      <c r="CC37">
        <v>0</v>
      </c>
      <c r="CD37">
        <v>180</v>
      </c>
    </row>
    <row r="38" spans="3:82">
      <c r="C38" s="763" t="s">
        <v>861</v>
      </c>
      <c r="D38" s="761">
        <f>FSS99_600</f>
        <v>0.98364700000000005</v>
      </c>
      <c r="E38" s="762"/>
      <c r="F38" s="761"/>
      <c r="G38" s="762"/>
      <c r="H38" s="765"/>
      <c r="I38" s="766"/>
      <c r="K38" s="761">
        <f>FSS99_600</f>
        <v>0.98364700000000005</v>
      </c>
      <c r="L38" s="762"/>
      <c r="M38" s="761">
        <f>FSS99_600</f>
        <v>0.98364700000000005</v>
      </c>
      <c r="N38" s="762"/>
      <c r="O38" s="765"/>
      <c r="P38" s="766"/>
      <c r="S38">
        <v>0.47455000000000003</v>
      </c>
      <c r="T38">
        <v>0.95891110000000002</v>
      </c>
      <c r="U38">
        <v>0.95891110000000002</v>
      </c>
      <c r="V38">
        <v>4.5800000000000002E-5</v>
      </c>
      <c r="W38">
        <v>4.5800000000000002E-5</v>
      </c>
      <c r="X38">
        <v>4.1043200000000002E-2</v>
      </c>
      <c r="Y38">
        <v>4.1043200000000002E-2</v>
      </c>
      <c r="Z38">
        <v>-156.1738</v>
      </c>
      <c r="AA38">
        <v>-156.1738</v>
      </c>
      <c r="AB38">
        <v>123.2093</v>
      </c>
      <c r="AC38">
        <v>123.2093</v>
      </c>
      <c r="AD38">
        <v>0</v>
      </c>
      <c r="AE38">
        <v>0</v>
      </c>
      <c r="AF38">
        <v>0</v>
      </c>
      <c r="AG38">
        <v>180</v>
      </c>
      <c r="AI38">
        <v>0.47455000000000003</v>
      </c>
      <c r="AJ38">
        <v>0.96751580000000004</v>
      </c>
      <c r="AK38">
        <v>0.96751580000000004</v>
      </c>
      <c r="AL38">
        <v>4.9200000000000003E-5</v>
      </c>
      <c r="AM38">
        <v>4.9200000000000003E-5</v>
      </c>
      <c r="AN38">
        <v>3.2434999999999999E-2</v>
      </c>
      <c r="AO38">
        <v>3.2434999999999999E-2</v>
      </c>
      <c r="AP38">
        <v>-142.98159999999999</v>
      </c>
      <c r="AQ38">
        <v>-142.98159999999999</v>
      </c>
      <c r="AR38">
        <v>147.1644</v>
      </c>
      <c r="AS38">
        <v>147.1644</v>
      </c>
      <c r="AT38">
        <v>0</v>
      </c>
      <c r="AU38">
        <v>0</v>
      </c>
      <c r="AV38">
        <v>0</v>
      </c>
      <c r="AW38">
        <v>180</v>
      </c>
      <c r="AY38">
        <v>0.47455000000000003</v>
      </c>
      <c r="AZ38">
        <v>3.8527000000000001E-3</v>
      </c>
      <c r="BA38">
        <v>3.8527000000000001E-3</v>
      </c>
      <c r="BB38">
        <v>0.99402630000000003</v>
      </c>
      <c r="BC38">
        <v>0.99402630000000003</v>
      </c>
      <c r="BD38">
        <v>2.1209000000000002E-3</v>
      </c>
      <c r="BE38">
        <v>2.1209000000000002E-3</v>
      </c>
      <c r="BF38">
        <v>-148.49379999999999</v>
      </c>
      <c r="BG38">
        <v>-148.49379999999999</v>
      </c>
      <c r="BH38">
        <v>-147.73150000000001</v>
      </c>
      <c r="BI38">
        <v>-147.73150000000001</v>
      </c>
      <c r="BJ38">
        <v>0</v>
      </c>
      <c r="BK38">
        <v>0</v>
      </c>
      <c r="BL38">
        <v>0</v>
      </c>
      <c r="BM38">
        <v>180</v>
      </c>
      <c r="BP38">
        <v>0.47455000000000003</v>
      </c>
      <c r="BQ38">
        <v>0.92320800000000003</v>
      </c>
      <c r="BR38">
        <v>0.92320800000000003</v>
      </c>
      <c r="BS38">
        <v>0</v>
      </c>
      <c r="BT38">
        <v>0</v>
      </c>
      <c r="BU38">
        <v>7.6791999999999999E-2</v>
      </c>
      <c r="BV38">
        <v>7.6791999999999999E-2</v>
      </c>
      <c r="BW38">
        <v>-8.218</v>
      </c>
      <c r="BX38">
        <v>-8.218</v>
      </c>
      <c r="BY38">
        <v>158.84440000000001</v>
      </c>
      <c r="BZ38">
        <v>158.84440000000001</v>
      </c>
      <c r="CA38">
        <v>0</v>
      </c>
      <c r="CB38">
        <v>0</v>
      </c>
      <c r="CC38">
        <v>0</v>
      </c>
      <c r="CD38">
        <v>180</v>
      </c>
    </row>
    <row r="39" spans="3:82">
      <c r="C39" s="764" t="s">
        <v>862</v>
      </c>
      <c r="D39" s="761">
        <v>1</v>
      </c>
      <c r="E39" s="767">
        <v>0.41</v>
      </c>
      <c r="F39" s="761"/>
      <c r="G39" s="767"/>
      <c r="H39" s="765"/>
      <c r="I39" s="766"/>
      <c r="K39" s="765" t="s">
        <v>856</v>
      </c>
      <c r="L39" s="766"/>
      <c r="M39" s="765" t="s">
        <v>856</v>
      </c>
      <c r="N39" s="766"/>
      <c r="O39" s="765"/>
      <c r="P39" s="766"/>
      <c r="S39">
        <v>0.47589999999999999</v>
      </c>
      <c r="T39">
        <v>0.95972139999999995</v>
      </c>
      <c r="U39">
        <v>0.95972139999999995</v>
      </c>
      <c r="V39">
        <v>4.4100000000000001E-5</v>
      </c>
      <c r="W39">
        <v>4.4100000000000001E-5</v>
      </c>
      <c r="X39">
        <v>4.0234499999999999E-2</v>
      </c>
      <c r="Y39">
        <v>4.0234499999999999E-2</v>
      </c>
      <c r="Z39">
        <v>-155.51750000000001</v>
      </c>
      <c r="AA39">
        <v>-155.51750000000001</v>
      </c>
      <c r="AB39">
        <v>124.2317</v>
      </c>
      <c r="AC39">
        <v>124.2317</v>
      </c>
      <c r="AD39">
        <v>0</v>
      </c>
      <c r="AE39">
        <v>0</v>
      </c>
      <c r="AF39">
        <v>0</v>
      </c>
      <c r="AG39">
        <v>180</v>
      </c>
      <c r="AI39">
        <v>0.47589999999999999</v>
      </c>
      <c r="AJ39">
        <v>0.96813780000000005</v>
      </c>
      <c r="AK39">
        <v>0.96813780000000005</v>
      </c>
      <c r="AL39">
        <v>4.7500000000000003E-5</v>
      </c>
      <c r="AM39">
        <v>4.7500000000000003E-5</v>
      </c>
      <c r="AN39">
        <v>3.1814799999999997E-2</v>
      </c>
      <c r="AO39">
        <v>3.1814799999999997E-2</v>
      </c>
      <c r="AP39">
        <v>-142.43690000000001</v>
      </c>
      <c r="AQ39">
        <v>-142.43690000000001</v>
      </c>
      <c r="AR39">
        <v>147.93969999999999</v>
      </c>
      <c r="AS39">
        <v>147.93969999999999</v>
      </c>
      <c r="AT39">
        <v>0</v>
      </c>
      <c r="AU39">
        <v>0</v>
      </c>
      <c r="AV39">
        <v>0</v>
      </c>
      <c r="AW39">
        <v>180</v>
      </c>
      <c r="AY39">
        <v>0.47589999999999999</v>
      </c>
      <c r="AZ39">
        <v>3.7605999999999998E-3</v>
      </c>
      <c r="BA39">
        <v>3.7605999999999998E-3</v>
      </c>
      <c r="BB39">
        <v>0.99414040000000004</v>
      </c>
      <c r="BC39">
        <v>0.99414040000000004</v>
      </c>
      <c r="BD39">
        <v>2.0990000000000002E-3</v>
      </c>
      <c r="BE39">
        <v>2.0990000000000002E-3</v>
      </c>
      <c r="BF39">
        <v>-146.79249999999999</v>
      </c>
      <c r="BG39">
        <v>-146.79249999999999</v>
      </c>
      <c r="BH39">
        <v>-148.90170000000001</v>
      </c>
      <c r="BI39">
        <v>-148.90170000000001</v>
      </c>
      <c r="BJ39">
        <v>0</v>
      </c>
      <c r="BK39">
        <v>0</v>
      </c>
      <c r="BL39">
        <v>0</v>
      </c>
      <c r="BM39">
        <v>180</v>
      </c>
      <c r="BP39">
        <v>0.47589999999999999</v>
      </c>
      <c r="BQ39">
        <v>0.92312289999999997</v>
      </c>
      <c r="BR39">
        <v>0.92312289999999997</v>
      </c>
      <c r="BS39">
        <v>0</v>
      </c>
      <c r="BT39">
        <v>0</v>
      </c>
      <c r="BU39">
        <v>7.6877100000000004E-2</v>
      </c>
      <c r="BV39">
        <v>7.6877100000000004E-2</v>
      </c>
      <c r="BW39">
        <v>-8.4511000000000003</v>
      </c>
      <c r="BX39">
        <v>-8.4511000000000003</v>
      </c>
      <c r="BY39">
        <v>158.9091</v>
      </c>
      <c r="BZ39">
        <v>158.9091</v>
      </c>
      <c r="CA39">
        <v>0</v>
      </c>
      <c r="CB39">
        <v>0</v>
      </c>
      <c r="CC39">
        <v>0</v>
      </c>
      <c r="CD39">
        <v>180</v>
      </c>
    </row>
    <row r="40" spans="3:82">
      <c r="C40" s="764" t="s">
        <v>863</v>
      </c>
      <c r="D40" s="765" t="s">
        <v>856</v>
      </c>
      <c r="E40" s="766"/>
      <c r="F40" s="765"/>
      <c r="G40" s="766"/>
      <c r="H40" s="765"/>
      <c r="I40" s="766"/>
      <c r="K40" s="761">
        <v>1</v>
      </c>
      <c r="L40" s="767">
        <v>0.96</v>
      </c>
      <c r="M40" s="761">
        <v>1</v>
      </c>
      <c r="N40" s="767">
        <v>0.96</v>
      </c>
      <c r="O40" s="765"/>
      <c r="P40" s="766"/>
      <c r="S40">
        <v>0.47725000000000001</v>
      </c>
      <c r="T40">
        <v>0.96050460000000004</v>
      </c>
      <c r="U40">
        <v>0.96050460000000004</v>
      </c>
      <c r="V40">
        <v>4.2400000000000001E-5</v>
      </c>
      <c r="W40">
        <v>4.2400000000000001E-5</v>
      </c>
      <c r="X40">
        <v>3.9453000000000002E-2</v>
      </c>
      <c r="Y40">
        <v>3.9453000000000002E-2</v>
      </c>
      <c r="Z40">
        <v>-154.87209999999999</v>
      </c>
      <c r="AA40">
        <v>-154.87209999999999</v>
      </c>
      <c r="AB40">
        <v>125.2341</v>
      </c>
      <c r="AC40">
        <v>125.2341</v>
      </c>
      <c r="AD40">
        <v>0</v>
      </c>
      <c r="AE40">
        <v>0</v>
      </c>
      <c r="AF40">
        <v>0</v>
      </c>
      <c r="AG40">
        <v>180</v>
      </c>
      <c r="AI40">
        <v>0.47725000000000001</v>
      </c>
      <c r="AJ40">
        <v>0.96873770000000003</v>
      </c>
      <c r="AK40">
        <v>0.96873770000000003</v>
      </c>
      <c r="AL40">
        <v>4.5800000000000002E-5</v>
      </c>
      <c r="AM40">
        <v>4.5800000000000002E-5</v>
      </c>
      <c r="AN40">
        <v>3.1216500000000001E-2</v>
      </c>
      <c r="AO40">
        <v>3.1216500000000001E-2</v>
      </c>
      <c r="AP40">
        <v>-141.8999</v>
      </c>
      <c r="AQ40">
        <v>-141.8999</v>
      </c>
      <c r="AR40">
        <v>148.70230000000001</v>
      </c>
      <c r="AS40">
        <v>148.70230000000001</v>
      </c>
      <c r="AT40">
        <v>0</v>
      </c>
      <c r="AU40">
        <v>0</v>
      </c>
      <c r="AV40">
        <v>0</v>
      </c>
      <c r="AW40">
        <v>180</v>
      </c>
      <c r="AY40">
        <v>0.47725000000000001</v>
      </c>
      <c r="AZ40">
        <v>3.6736E-3</v>
      </c>
      <c r="BA40">
        <v>3.6736E-3</v>
      </c>
      <c r="BB40">
        <v>0.99425070000000004</v>
      </c>
      <c r="BC40">
        <v>0.99425070000000004</v>
      </c>
      <c r="BD40">
        <v>2.0757000000000002E-3</v>
      </c>
      <c r="BE40">
        <v>2.0757000000000002E-3</v>
      </c>
      <c r="BF40">
        <v>-145.17060000000001</v>
      </c>
      <c r="BG40">
        <v>-145.17060000000001</v>
      </c>
      <c r="BH40">
        <v>-150.08019999999999</v>
      </c>
      <c r="BI40">
        <v>-150.08019999999999</v>
      </c>
      <c r="BJ40">
        <v>0</v>
      </c>
      <c r="BK40">
        <v>0</v>
      </c>
      <c r="BL40">
        <v>0</v>
      </c>
      <c r="BM40">
        <v>180</v>
      </c>
      <c r="BP40">
        <v>0.47725000000000001</v>
      </c>
      <c r="BQ40">
        <v>0.92304019999999998</v>
      </c>
      <c r="BR40">
        <v>0.92304019999999998</v>
      </c>
      <c r="BS40">
        <v>0</v>
      </c>
      <c r="BT40">
        <v>0</v>
      </c>
      <c r="BU40">
        <v>7.6959799999999995E-2</v>
      </c>
      <c r="BV40">
        <v>7.6959799999999995E-2</v>
      </c>
      <c r="BW40">
        <v>-8.6829000000000001</v>
      </c>
      <c r="BX40">
        <v>-8.6829000000000001</v>
      </c>
      <c r="BY40">
        <v>158.97329999999999</v>
      </c>
      <c r="BZ40">
        <v>158.97329999999999</v>
      </c>
      <c r="CA40">
        <v>0</v>
      </c>
      <c r="CB40">
        <v>0</v>
      </c>
      <c r="CC40">
        <v>0</v>
      </c>
      <c r="CD40">
        <v>180</v>
      </c>
    </row>
    <row r="41" spans="3:82">
      <c r="C41" s="763" t="s">
        <v>864</v>
      </c>
      <c r="D41" s="761">
        <f>FSS99_600</f>
        <v>0.98364700000000005</v>
      </c>
      <c r="E41" s="762"/>
      <c r="F41" s="761">
        <f>0.995*0.995</f>
        <v>0.99002500000000004</v>
      </c>
      <c r="G41" s="762"/>
      <c r="H41" s="765"/>
      <c r="I41" s="766"/>
      <c r="K41" s="761">
        <f>FSS99_600</f>
        <v>0.98364700000000005</v>
      </c>
      <c r="L41" s="762"/>
      <c r="M41" s="761">
        <f>FSS99_600</f>
        <v>0.98364700000000005</v>
      </c>
      <c r="N41" s="762"/>
      <c r="O41" s="765"/>
      <c r="P41" s="766"/>
      <c r="S41">
        <v>0.47860000000000003</v>
      </c>
      <c r="T41">
        <v>0.9612617</v>
      </c>
      <c r="U41">
        <v>0.9612617</v>
      </c>
      <c r="V41">
        <v>4.0899999999999998E-5</v>
      </c>
      <c r="W41">
        <v>4.0899999999999998E-5</v>
      </c>
      <c r="X41">
        <v>3.86974E-2</v>
      </c>
      <c r="Y41">
        <v>3.86974E-2</v>
      </c>
      <c r="Z41">
        <v>-154.2373</v>
      </c>
      <c r="AA41">
        <v>-154.2373</v>
      </c>
      <c r="AB41">
        <v>126.2171</v>
      </c>
      <c r="AC41">
        <v>126.2171</v>
      </c>
      <c r="AD41">
        <v>0</v>
      </c>
      <c r="AE41">
        <v>0</v>
      </c>
      <c r="AF41">
        <v>0</v>
      </c>
      <c r="AG41">
        <v>180</v>
      </c>
      <c r="AI41">
        <v>0.47860000000000003</v>
      </c>
      <c r="AJ41">
        <v>0.96931659999999997</v>
      </c>
      <c r="AK41">
        <v>0.96931659999999997</v>
      </c>
      <c r="AL41">
        <v>4.4299999999999999E-5</v>
      </c>
      <c r="AM41">
        <v>4.4299999999999999E-5</v>
      </c>
      <c r="AN41">
        <v>3.0639099999999999E-2</v>
      </c>
      <c r="AO41">
        <v>3.0639099999999999E-2</v>
      </c>
      <c r="AP41">
        <v>-141.37010000000001</v>
      </c>
      <c r="AQ41">
        <v>-141.37010000000001</v>
      </c>
      <c r="AR41">
        <v>149.45269999999999</v>
      </c>
      <c r="AS41">
        <v>149.45269999999999</v>
      </c>
      <c r="AT41">
        <v>0</v>
      </c>
      <c r="AU41">
        <v>0</v>
      </c>
      <c r="AV41">
        <v>0</v>
      </c>
      <c r="AW41">
        <v>180</v>
      </c>
      <c r="AY41">
        <v>0.47860000000000003</v>
      </c>
      <c r="AZ41">
        <v>3.5980999999999999E-3</v>
      </c>
      <c r="BA41">
        <v>3.5980999999999999E-3</v>
      </c>
      <c r="BB41">
        <v>0.99434959999999994</v>
      </c>
      <c r="BC41">
        <v>0.99434959999999994</v>
      </c>
      <c r="BD41">
        <v>2.0523E-3</v>
      </c>
      <c r="BE41">
        <v>2.0523E-3</v>
      </c>
      <c r="BF41">
        <v>-143.5634</v>
      </c>
      <c r="BG41">
        <v>-143.5634</v>
      </c>
      <c r="BH41">
        <v>-151.3006</v>
      </c>
      <c r="BI41">
        <v>-151.3006</v>
      </c>
      <c r="BJ41">
        <v>0</v>
      </c>
      <c r="BK41">
        <v>0</v>
      </c>
      <c r="BL41">
        <v>0</v>
      </c>
      <c r="BM41">
        <v>180</v>
      </c>
      <c r="BP41">
        <v>0.47860000000000003</v>
      </c>
      <c r="BQ41">
        <v>0.92295990000000006</v>
      </c>
      <c r="BR41">
        <v>0.92295990000000006</v>
      </c>
      <c r="BS41">
        <v>0</v>
      </c>
      <c r="BT41">
        <v>0</v>
      </c>
      <c r="BU41">
        <v>7.70401E-2</v>
      </c>
      <c r="BV41">
        <v>7.70401E-2</v>
      </c>
      <c r="BW41">
        <v>-8.9135000000000009</v>
      </c>
      <c r="BX41">
        <v>-8.9135000000000009</v>
      </c>
      <c r="BY41">
        <v>159.03720000000001</v>
      </c>
      <c r="BZ41">
        <v>159.03720000000001</v>
      </c>
      <c r="CA41">
        <v>0</v>
      </c>
      <c r="CB41">
        <v>0</v>
      </c>
      <c r="CC41">
        <v>0</v>
      </c>
      <c r="CD41">
        <v>180</v>
      </c>
    </row>
    <row r="42" spans="3:82">
      <c r="C42" s="763" t="s">
        <v>865</v>
      </c>
      <c r="D42" s="761">
        <v>1</v>
      </c>
      <c r="E42" s="762">
        <v>1</v>
      </c>
      <c r="F42" s="761"/>
      <c r="G42" s="762"/>
      <c r="H42" s="765"/>
      <c r="I42" s="766"/>
      <c r="K42" s="761">
        <v>1</v>
      </c>
      <c r="L42" s="762">
        <v>1</v>
      </c>
      <c r="M42" s="761">
        <v>1</v>
      </c>
      <c r="N42" s="762">
        <v>1</v>
      </c>
      <c r="O42" s="765"/>
      <c r="P42" s="766"/>
      <c r="S42">
        <v>0.47994999999999999</v>
      </c>
      <c r="T42">
        <v>0.96199369999999995</v>
      </c>
      <c r="U42">
        <v>0.96199369999999995</v>
      </c>
      <c r="V42">
        <v>3.9400000000000002E-5</v>
      </c>
      <c r="W42">
        <v>3.9400000000000002E-5</v>
      </c>
      <c r="X42">
        <v>3.7966899999999998E-2</v>
      </c>
      <c r="Y42">
        <v>3.7966899999999998E-2</v>
      </c>
      <c r="Z42">
        <v>-153.61269999999999</v>
      </c>
      <c r="AA42">
        <v>-153.61269999999999</v>
      </c>
      <c r="AB42">
        <v>127.1814</v>
      </c>
      <c r="AC42">
        <v>127.1814</v>
      </c>
      <c r="AD42">
        <v>0</v>
      </c>
      <c r="AE42">
        <v>0</v>
      </c>
      <c r="AF42">
        <v>0</v>
      </c>
      <c r="AG42">
        <v>180</v>
      </c>
      <c r="AI42">
        <v>0.47994999999999999</v>
      </c>
      <c r="AJ42">
        <v>0.96987540000000005</v>
      </c>
      <c r="AK42">
        <v>0.96987540000000005</v>
      </c>
      <c r="AL42">
        <v>4.2799999999999997E-5</v>
      </c>
      <c r="AM42">
        <v>4.2799999999999997E-5</v>
      </c>
      <c r="AN42">
        <v>3.0081799999999999E-2</v>
      </c>
      <c r="AO42">
        <v>3.0081799999999999E-2</v>
      </c>
      <c r="AP42">
        <v>-140.84739999999999</v>
      </c>
      <c r="AQ42">
        <v>-140.84739999999999</v>
      </c>
      <c r="AR42">
        <v>150.19120000000001</v>
      </c>
      <c r="AS42">
        <v>150.19120000000001</v>
      </c>
      <c r="AT42">
        <v>0</v>
      </c>
      <c r="AU42">
        <v>0</v>
      </c>
      <c r="AV42">
        <v>0</v>
      </c>
      <c r="AW42">
        <v>180</v>
      </c>
      <c r="AY42">
        <v>0.47994999999999999</v>
      </c>
      <c r="AZ42">
        <v>3.5347E-3</v>
      </c>
      <c r="BA42">
        <v>3.5347E-3</v>
      </c>
      <c r="BB42">
        <v>0.99443630000000005</v>
      </c>
      <c r="BC42">
        <v>0.99443630000000005</v>
      </c>
      <c r="BD42">
        <v>2.0290999999999998E-3</v>
      </c>
      <c r="BE42">
        <v>2.0290999999999998E-3</v>
      </c>
      <c r="BF42">
        <v>-141.96549999999999</v>
      </c>
      <c r="BG42">
        <v>-141.96549999999999</v>
      </c>
      <c r="BH42">
        <v>-152.55779999999999</v>
      </c>
      <c r="BI42">
        <v>-152.55779999999999</v>
      </c>
      <c r="BJ42">
        <v>0</v>
      </c>
      <c r="BK42">
        <v>0</v>
      </c>
      <c r="BL42">
        <v>0</v>
      </c>
      <c r="BM42">
        <v>180</v>
      </c>
      <c r="BP42">
        <v>0.47994999999999999</v>
      </c>
      <c r="BQ42">
        <v>0.92288190000000003</v>
      </c>
      <c r="BR42">
        <v>0.92288190000000003</v>
      </c>
      <c r="BS42">
        <v>0</v>
      </c>
      <c r="BT42">
        <v>0</v>
      </c>
      <c r="BU42">
        <v>7.7118099999999995E-2</v>
      </c>
      <c r="BV42">
        <v>7.7118099999999995E-2</v>
      </c>
      <c r="BW42">
        <v>-9.1426999999999996</v>
      </c>
      <c r="BX42">
        <v>-9.1426999999999996</v>
      </c>
      <c r="BY42">
        <v>159.10069999999999</v>
      </c>
      <c r="BZ42">
        <v>159.10069999999999</v>
      </c>
      <c r="CA42">
        <v>0</v>
      </c>
      <c r="CB42">
        <v>0</v>
      </c>
      <c r="CC42">
        <v>0</v>
      </c>
      <c r="CD42">
        <v>180</v>
      </c>
    </row>
    <row r="43" spans="3:82">
      <c r="C43" s="763" t="s">
        <v>866</v>
      </c>
      <c r="D43" s="761">
        <f>FSS99_600</f>
        <v>0.98364700000000005</v>
      </c>
      <c r="E43" s="762"/>
      <c r="G43" s="762"/>
      <c r="H43" s="765"/>
      <c r="I43" s="766"/>
      <c r="K43" s="761">
        <f>FSS99_600</f>
        <v>0.98364700000000005</v>
      </c>
      <c r="L43" s="762"/>
      <c r="M43" s="761">
        <f>FSS99_600</f>
        <v>0.98364700000000005</v>
      </c>
      <c r="N43" s="762"/>
      <c r="O43" s="765"/>
      <c r="P43" s="766"/>
      <c r="S43">
        <v>0.48130000000000001</v>
      </c>
      <c r="T43">
        <v>0.96270160000000005</v>
      </c>
      <c r="U43">
        <v>0.96270160000000005</v>
      </c>
      <c r="V43">
        <v>3.8000000000000002E-5</v>
      </c>
      <c r="W43">
        <v>3.8000000000000002E-5</v>
      </c>
      <c r="X43">
        <v>3.7260399999999999E-2</v>
      </c>
      <c r="Y43">
        <v>3.7260399999999999E-2</v>
      </c>
      <c r="Z43">
        <v>-152.99809999999999</v>
      </c>
      <c r="AA43">
        <v>-152.99809999999999</v>
      </c>
      <c r="AB43">
        <v>128.1276</v>
      </c>
      <c r="AC43">
        <v>128.1276</v>
      </c>
      <c r="AD43">
        <v>0</v>
      </c>
      <c r="AE43">
        <v>0</v>
      </c>
      <c r="AF43">
        <v>0</v>
      </c>
      <c r="AG43">
        <v>180</v>
      </c>
      <c r="AI43">
        <v>0.48130000000000001</v>
      </c>
      <c r="AJ43">
        <v>0.97041500000000003</v>
      </c>
      <c r="AK43">
        <v>0.97041500000000003</v>
      </c>
      <c r="AL43">
        <v>4.1300000000000001E-5</v>
      </c>
      <c r="AM43">
        <v>4.1300000000000001E-5</v>
      </c>
      <c r="AN43">
        <v>2.95436E-2</v>
      </c>
      <c r="AO43">
        <v>2.95436E-2</v>
      </c>
      <c r="AP43">
        <v>-140.33170000000001</v>
      </c>
      <c r="AQ43">
        <v>-140.33170000000001</v>
      </c>
      <c r="AR43">
        <v>150.91820000000001</v>
      </c>
      <c r="AS43">
        <v>150.91820000000001</v>
      </c>
      <c r="AT43">
        <v>0</v>
      </c>
      <c r="AU43">
        <v>0</v>
      </c>
      <c r="AV43">
        <v>0</v>
      </c>
      <c r="AW43">
        <v>180</v>
      </c>
      <c r="AY43">
        <v>0.48130000000000001</v>
      </c>
      <c r="AZ43">
        <v>3.483E-3</v>
      </c>
      <c r="BA43">
        <v>3.483E-3</v>
      </c>
      <c r="BB43">
        <v>0.99451100000000003</v>
      </c>
      <c r="BC43">
        <v>0.99451100000000003</v>
      </c>
      <c r="BD43">
        <v>2.006E-3</v>
      </c>
      <c r="BE43">
        <v>2.006E-3</v>
      </c>
      <c r="BF43">
        <v>-140.3767</v>
      </c>
      <c r="BG43">
        <v>-140.3767</v>
      </c>
      <c r="BH43">
        <v>-153.84270000000001</v>
      </c>
      <c r="BI43">
        <v>-153.84270000000001</v>
      </c>
      <c r="BJ43">
        <v>0</v>
      </c>
      <c r="BK43">
        <v>0</v>
      </c>
      <c r="BL43">
        <v>0</v>
      </c>
      <c r="BM43">
        <v>180</v>
      </c>
      <c r="BP43">
        <v>0.48130000000000001</v>
      </c>
      <c r="BQ43">
        <v>0.92280609999999996</v>
      </c>
      <c r="BR43">
        <v>0.92280609999999996</v>
      </c>
      <c r="BS43">
        <v>0</v>
      </c>
      <c r="BT43">
        <v>0</v>
      </c>
      <c r="BU43">
        <v>7.7193899999999996E-2</v>
      </c>
      <c r="BV43">
        <v>7.7193899999999996E-2</v>
      </c>
      <c r="BW43">
        <v>-9.3706999999999994</v>
      </c>
      <c r="BX43">
        <v>-9.3706999999999994</v>
      </c>
      <c r="BY43">
        <v>159.16380000000001</v>
      </c>
      <c r="BZ43">
        <v>159.16380000000001</v>
      </c>
      <c r="CA43">
        <v>0</v>
      </c>
      <c r="CB43">
        <v>0</v>
      </c>
      <c r="CC43">
        <v>0</v>
      </c>
      <c r="CD43">
        <v>180</v>
      </c>
    </row>
    <row r="44" spans="3:82">
      <c r="C44" s="763" t="s">
        <v>867</v>
      </c>
      <c r="D44" s="761">
        <f>Color_filter</f>
        <v>0.9</v>
      </c>
      <c r="E44" s="762"/>
      <c r="F44" s="761"/>
      <c r="G44" s="762"/>
      <c r="H44" s="765"/>
      <c r="I44" s="766"/>
      <c r="K44" s="761">
        <f>Color_filter</f>
        <v>0.9</v>
      </c>
      <c r="L44" s="762"/>
      <c r="M44" s="761">
        <f>Color_filter</f>
        <v>0.9</v>
      </c>
      <c r="N44" s="762"/>
      <c r="O44" s="765"/>
      <c r="P44" s="766"/>
      <c r="S44">
        <v>0.48265000000000002</v>
      </c>
      <c r="T44">
        <v>0.96338630000000003</v>
      </c>
      <c r="U44">
        <v>0.96338630000000003</v>
      </c>
      <c r="V44">
        <v>3.6600000000000002E-5</v>
      </c>
      <c r="W44">
        <v>3.6600000000000002E-5</v>
      </c>
      <c r="X44">
        <v>3.6577100000000001E-2</v>
      </c>
      <c r="Y44">
        <v>3.6577100000000001E-2</v>
      </c>
      <c r="Z44">
        <v>-152.39320000000001</v>
      </c>
      <c r="AA44">
        <v>-152.39320000000001</v>
      </c>
      <c r="AB44">
        <v>129.05629999999999</v>
      </c>
      <c r="AC44">
        <v>129.05629999999999</v>
      </c>
      <c r="AD44">
        <v>0</v>
      </c>
      <c r="AE44">
        <v>0</v>
      </c>
      <c r="AF44">
        <v>0</v>
      </c>
      <c r="AG44">
        <v>180</v>
      </c>
      <c r="AI44">
        <v>0.48265000000000002</v>
      </c>
      <c r="AJ44">
        <v>0.97093629999999997</v>
      </c>
      <c r="AK44">
        <v>0.97093629999999997</v>
      </c>
      <c r="AL44">
        <v>4.0000000000000003E-5</v>
      </c>
      <c r="AM44">
        <v>4.0000000000000003E-5</v>
      </c>
      <c r="AN44">
        <v>2.9023699999999999E-2</v>
      </c>
      <c r="AO44">
        <v>2.9023699999999999E-2</v>
      </c>
      <c r="AP44">
        <v>-139.82249999999999</v>
      </c>
      <c r="AQ44">
        <v>-139.82249999999999</v>
      </c>
      <c r="AR44">
        <v>151.63419999999999</v>
      </c>
      <c r="AS44">
        <v>151.63419999999999</v>
      </c>
      <c r="AT44">
        <v>0</v>
      </c>
      <c r="AU44">
        <v>0</v>
      </c>
      <c r="AV44">
        <v>0</v>
      </c>
      <c r="AW44">
        <v>180</v>
      </c>
      <c r="AY44">
        <v>0.48265000000000002</v>
      </c>
      <c r="AZ44">
        <v>3.4431000000000002E-3</v>
      </c>
      <c r="BA44">
        <v>3.4431000000000002E-3</v>
      </c>
      <c r="BB44">
        <v>0.99457399999999996</v>
      </c>
      <c r="BC44">
        <v>0.99457399999999996</v>
      </c>
      <c r="BD44">
        <v>1.983E-3</v>
      </c>
      <c r="BE44">
        <v>1.983E-3</v>
      </c>
      <c r="BF44">
        <v>-138.79689999999999</v>
      </c>
      <c r="BG44">
        <v>-138.79689999999999</v>
      </c>
      <c r="BH44">
        <v>-155.1454</v>
      </c>
      <c r="BI44">
        <v>-155.1454</v>
      </c>
      <c r="BJ44">
        <v>0</v>
      </c>
      <c r="BK44">
        <v>0</v>
      </c>
      <c r="BL44">
        <v>0</v>
      </c>
      <c r="BM44">
        <v>180</v>
      </c>
      <c r="BP44">
        <v>0.48265000000000002</v>
      </c>
      <c r="BQ44">
        <v>0.92273260000000001</v>
      </c>
      <c r="BR44">
        <v>0.92273260000000001</v>
      </c>
      <c r="BS44">
        <v>0</v>
      </c>
      <c r="BT44">
        <v>0</v>
      </c>
      <c r="BU44">
        <v>7.72674E-2</v>
      </c>
      <c r="BV44">
        <v>7.72674E-2</v>
      </c>
      <c r="BW44">
        <v>-9.5974000000000004</v>
      </c>
      <c r="BX44">
        <v>-9.5974000000000004</v>
      </c>
      <c r="BY44">
        <v>159.22659999999999</v>
      </c>
      <c r="BZ44">
        <v>159.22659999999999</v>
      </c>
      <c r="CA44">
        <v>0</v>
      </c>
      <c r="CB44">
        <v>0</v>
      </c>
      <c r="CC44">
        <v>0</v>
      </c>
      <c r="CD44">
        <v>180</v>
      </c>
    </row>
    <row r="45" spans="3:82">
      <c r="C45" s="763" t="s">
        <v>868</v>
      </c>
      <c r="D45" s="761">
        <f>FSS99_600</f>
        <v>0.98364700000000005</v>
      </c>
      <c r="E45" s="762"/>
      <c r="F45" s="761"/>
      <c r="G45" s="762"/>
      <c r="H45" s="765"/>
      <c r="I45" s="766"/>
      <c r="K45" s="761">
        <f>FSS99_600</f>
        <v>0.98364700000000005</v>
      </c>
      <c r="L45" s="762"/>
      <c r="M45" s="761">
        <f>FSS99_600</f>
        <v>0.98364700000000005</v>
      </c>
      <c r="N45" s="762"/>
      <c r="O45" s="765"/>
      <c r="P45" s="766"/>
      <c r="S45">
        <v>0.48399999999999999</v>
      </c>
      <c r="T45">
        <v>0.96404869999999998</v>
      </c>
      <c r="U45">
        <v>0.96404869999999998</v>
      </c>
      <c r="V45">
        <v>3.5299999999999997E-5</v>
      </c>
      <c r="W45">
        <v>3.5299999999999997E-5</v>
      </c>
      <c r="X45">
        <v>3.5915900000000001E-2</v>
      </c>
      <c r="Y45">
        <v>3.5915900000000001E-2</v>
      </c>
      <c r="Z45">
        <v>-151.79759999999999</v>
      </c>
      <c r="AA45">
        <v>-151.79759999999999</v>
      </c>
      <c r="AB45">
        <v>129.96799999999999</v>
      </c>
      <c r="AC45">
        <v>129.96799999999999</v>
      </c>
      <c r="AD45">
        <v>0</v>
      </c>
      <c r="AE45">
        <v>0</v>
      </c>
      <c r="AF45">
        <v>0</v>
      </c>
      <c r="AG45">
        <v>180</v>
      </c>
      <c r="AI45">
        <v>0.48399999999999999</v>
      </c>
      <c r="AJ45">
        <v>0.97144010000000003</v>
      </c>
      <c r="AK45">
        <v>0.97144010000000003</v>
      </c>
      <c r="AL45">
        <v>3.8699999999999999E-5</v>
      </c>
      <c r="AM45">
        <v>3.8699999999999999E-5</v>
      </c>
      <c r="AN45">
        <v>2.85212E-2</v>
      </c>
      <c r="AO45">
        <v>2.85212E-2</v>
      </c>
      <c r="AP45">
        <v>-139.31979999999999</v>
      </c>
      <c r="AQ45">
        <v>-139.31979999999999</v>
      </c>
      <c r="AR45">
        <v>152.33949999999999</v>
      </c>
      <c r="AS45">
        <v>152.33949999999999</v>
      </c>
      <c r="AT45">
        <v>0</v>
      </c>
      <c r="AU45">
        <v>0</v>
      </c>
      <c r="AV45">
        <v>0</v>
      </c>
      <c r="AW45">
        <v>180</v>
      </c>
      <c r="AY45">
        <v>0.48399999999999999</v>
      </c>
      <c r="AZ45">
        <v>3.4145E-3</v>
      </c>
      <c r="BA45">
        <v>3.4145E-3</v>
      </c>
      <c r="BB45">
        <v>0.99462539999999999</v>
      </c>
      <c r="BC45">
        <v>0.99462539999999999</v>
      </c>
      <c r="BD45">
        <v>1.9601000000000002E-3</v>
      </c>
      <c r="BE45">
        <v>1.9601000000000002E-3</v>
      </c>
      <c r="BF45">
        <v>-137.2261</v>
      </c>
      <c r="BG45">
        <v>-137.2261</v>
      </c>
      <c r="BH45">
        <v>-156.4563</v>
      </c>
      <c r="BI45">
        <v>-156.4563</v>
      </c>
      <c r="BJ45">
        <v>0</v>
      </c>
      <c r="BK45">
        <v>0</v>
      </c>
      <c r="BL45">
        <v>0</v>
      </c>
      <c r="BM45">
        <v>180</v>
      </c>
      <c r="BP45">
        <v>0.48399999999999999</v>
      </c>
      <c r="BQ45">
        <v>0.92266130000000002</v>
      </c>
      <c r="BR45">
        <v>0.92266130000000002</v>
      </c>
      <c r="BS45">
        <v>0</v>
      </c>
      <c r="BT45">
        <v>0</v>
      </c>
      <c r="BU45">
        <v>7.7338699999999996E-2</v>
      </c>
      <c r="BV45">
        <v>7.7338699999999996E-2</v>
      </c>
      <c r="BW45">
        <v>-9.8229000000000006</v>
      </c>
      <c r="BX45">
        <v>-9.8229000000000006</v>
      </c>
      <c r="BY45">
        <v>159.28899999999999</v>
      </c>
      <c r="BZ45">
        <v>159.28899999999999</v>
      </c>
      <c r="CA45">
        <v>0</v>
      </c>
      <c r="CB45">
        <v>0</v>
      </c>
      <c r="CC45">
        <v>0</v>
      </c>
      <c r="CD45">
        <v>180</v>
      </c>
    </row>
    <row r="46" spans="3:82">
      <c r="C46" s="763" t="s">
        <v>822</v>
      </c>
      <c r="D46" s="770">
        <f>Polarizer*BBARx2</f>
        <v>0.48014999999999997</v>
      </c>
      <c r="E46" s="762"/>
      <c r="F46" s="765"/>
      <c r="G46" s="766"/>
      <c r="H46" s="765"/>
      <c r="I46" s="766"/>
      <c r="K46" s="770">
        <v>1</v>
      </c>
      <c r="L46" s="762"/>
      <c r="M46" s="765"/>
      <c r="N46" s="766"/>
      <c r="O46" s="765"/>
      <c r="P46" s="766"/>
      <c r="S46">
        <v>0.48535</v>
      </c>
      <c r="T46">
        <v>0.96468969999999998</v>
      </c>
      <c r="U46">
        <v>0.96468969999999998</v>
      </c>
      <c r="V46">
        <v>3.4100000000000002E-5</v>
      </c>
      <c r="W46">
        <v>3.4100000000000002E-5</v>
      </c>
      <c r="X46">
        <v>3.5276200000000001E-2</v>
      </c>
      <c r="Y46">
        <v>3.5276200000000001E-2</v>
      </c>
      <c r="Z46">
        <v>-151.21109999999999</v>
      </c>
      <c r="AA46">
        <v>-151.21109999999999</v>
      </c>
      <c r="AB46">
        <v>130.86340000000001</v>
      </c>
      <c r="AC46">
        <v>130.86340000000001</v>
      </c>
      <c r="AD46">
        <v>0</v>
      </c>
      <c r="AE46">
        <v>0</v>
      </c>
      <c r="AF46">
        <v>0</v>
      </c>
      <c r="AG46">
        <v>180</v>
      </c>
      <c r="AI46">
        <v>0.48535</v>
      </c>
      <c r="AJ46">
        <v>0.97192710000000004</v>
      </c>
      <c r="AK46">
        <v>0.97192710000000004</v>
      </c>
      <c r="AL46">
        <v>3.7400000000000001E-5</v>
      </c>
      <c r="AM46">
        <v>3.7400000000000001E-5</v>
      </c>
      <c r="AN46">
        <v>2.8035500000000001E-2</v>
      </c>
      <c r="AO46">
        <v>2.8035500000000001E-2</v>
      </c>
      <c r="AP46">
        <v>-138.82339999999999</v>
      </c>
      <c r="AQ46">
        <v>-138.82339999999999</v>
      </c>
      <c r="AR46">
        <v>153.03460000000001</v>
      </c>
      <c r="AS46">
        <v>153.03460000000001</v>
      </c>
      <c r="AT46">
        <v>0</v>
      </c>
      <c r="AU46">
        <v>0</v>
      </c>
      <c r="AV46">
        <v>0</v>
      </c>
      <c r="AW46">
        <v>180</v>
      </c>
      <c r="AY46">
        <v>0.48535</v>
      </c>
      <c r="AZ46">
        <v>3.3969E-3</v>
      </c>
      <c r="BA46">
        <v>3.3969E-3</v>
      </c>
      <c r="BB46">
        <v>0.99466580000000004</v>
      </c>
      <c r="BC46">
        <v>0.99466580000000004</v>
      </c>
      <c r="BD46">
        <v>1.9373000000000001E-3</v>
      </c>
      <c r="BE46">
        <v>1.9373000000000001E-3</v>
      </c>
      <c r="BF46">
        <v>-135.6643</v>
      </c>
      <c r="BG46">
        <v>-135.6643</v>
      </c>
      <c r="BH46">
        <v>-157.76560000000001</v>
      </c>
      <c r="BI46">
        <v>-157.76560000000001</v>
      </c>
      <c r="BJ46">
        <v>0</v>
      </c>
      <c r="BK46">
        <v>0</v>
      </c>
      <c r="BL46">
        <v>0</v>
      </c>
      <c r="BM46">
        <v>180</v>
      </c>
      <c r="BP46">
        <v>0.48535</v>
      </c>
      <c r="BQ46">
        <v>0.92259210000000003</v>
      </c>
      <c r="BR46">
        <v>0.92259210000000003</v>
      </c>
      <c r="BS46">
        <v>0</v>
      </c>
      <c r="BT46">
        <v>0</v>
      </c>
      <c r="BU46">
        <v>7.7407900000000002E-2</v>
      </c>
      <c r="BV46">
        <v>7.7407900000000002E-2</v>
      </c>
      <c r="BW46">
        <v>-10.0471</v>
      </c>
      <c r="BX46">
        <v>-10.0471</v>
      </c>
      <c r="BY46">
        <v>159.351</v>
      </c>
      <c r="BZ46">
        <v>159.351</v>
      </c>
      <c r="CA46">
        <v>0</v>
      </c>
      <c r="CB46">
        <v>0</v>
      </c>
      <c r="CC46">
        <v>0</v>
      </c>
      <c r="CD46">
        <v>180</v>
      </c>
    </row>
    <row r="47" spans="3:82">
      <c r="C47" s="763" t="s">
        <v>869</v>
      </c>
      <c r="D47" s="761">
        <f>FSS99_600</f>
        <v>0.98364700000000005</v>
      </c>
      <c r="E47" s="762"/>
      <c r="F47" s="765"/>
      <c r="G47" s="766"/>
      <c r="H47" s="765"/>
      <c r="I47" s="766"/>
      <c r="K47" s="761">
        <f>FSS99_600</f>
        <v>0.98364700000000005</v>
      </c>
      <c r="L47" s="762"/>
      <c r="M47" s="765"/>
      <c r="N47" s="766"/>
      <c r="O47" s="765"/>
      <c r="P47" s="766"/>
      <c r="S47">
        <v>0.48670000000000002</v>
      </c>
      <c r="T47">
        <v>0.96531009999999995</v>
      </c>
      <c r="U47">
        <v>0.96531009999999995</v>
      </c>
      <c r="V47">
        <v>3.29E-5</v>
      </c>
      <c r="W47">
        <v>3.29E-5</v>
      </c>
      <c r="X47">
        <v>3.4656899999999997E-2</v>
      </c>
      <c r="Y47">
        <v>3.4656899999999997E-2</v>
      </c>
      <c r="Z47">
        <v>-150.6335</v>
      </c>
      <c r="AA47">
        <v>-150.6335</v>
      </c>
      <c r="AB47">
        <v>131.74289999999999</v>
      </c>
      <c r="AC47">
        <v>131.74289999999999</v>
      </c>
      <c r="AD47">
        <v>0</v>
      </c>
      <c r="AE47">
        <v>0</v>
      </c>
      <c r="AF47">
        <v>0</v>
      </c>
      <c r="AG47">
        <v>180</v>
      </c>
      <c r="AI47">
        <v>0.48670000000000002</v>
      </c>
      <c r="AJ47">
        <v>0.97239799999999998</v>
      </c>
      <c r="AK47">
        <v>0.97239799999999998</v>
      </c>
      <c r="AL47">
        <v>3.6199999999999999E-5</v>
      </c>
      <c r="AM47">
        <v>3.6199999999999999E-5</v>
      </c>
      <c r="AN47">
        <v>2.7565800000000001E-2</v>
      </c>
      <c r="AO47">
        <v>2.7565800000000001E-2</v>
      </c>
      <c r="AP47">
        <v>-138.3331</v>
      </c>
      <c r="AQ47">
        <v>-138.3331</v>
      </c>
      <c r="AR47">
        <v>153.71969999999999</v>
      </c>
      <c r="AS47">
        <v>153.71969999999999</v>
      </c>
      <c r="AT47">
        <v>0</v>
      </c>
      <c r="AU47">
        <v>0</v>
      </c>
      <c r="AV47">
        <v>0</v>
      </c>
      <c r="AW47">
        <v>180</v>
      </c>
      <c r="AY47">
        <v>0.48670000000000002</v>
      </c>
      <c r="AZ47">
        <v>3.3901000000000001E-3</v>
      </c>
      <c r="BA47">
        <v>3.3901000000000001E-3</v>
      </c>
      <c r="BB47">
        <v>0.99469529999999995</v>
      </c>
      <c r="BC47">
        <v>0.99469529999999995</v>
      </c>
      <c r="BD47">
        <v>1.9146E-3</v>
      </c>
      <c r="BE47">
        <v>1.9146E-3</v>
      </c>
      <c r="BF47">
        <v>-134.1114</v>
      </c>
      <c r="BG47">
        <v>-134.1114</v>
      </c>
      <c r="BH47">
        <v>-159.0635</v>
      </c>
      <c r="BI47">
        <v>-159.0635</v>
      </c>
      <c r="BJ47">
        <v>0</v>
      </c>
      <c r="BK47">
        <v>0</v>
      </c>
      <c r="BL47">
        <v>0</v>
      </c>
      <c r="BM47">
        <v>180</v>
      </c>
      <c r="BP47">
        <v>0.48670000000000002</v>
      </c>
      <c r="BQ47">
        <v>0.92252509999999999</v>
      </c>
      <c r="BR47">
        <v>0.92252509999999999</v>
      </c>
      <c r="BS47">
        <v>0</v>
      </c>
      <c r="BT47">
        <v>0</v>
      </c>
      <c r="BU47">
        <v>7.7474899999999999E-2</v>
      </c>
      <c r="BV47">
        <v>7.7474899999999999E-2</v>
      </c>
      <c r="BW47">
        <v>-10.270099999999999</v>
      </c>
      <c r="BX47">
        <v>-10.270099999999999</v>
      </c>
      <c r="BY47">
        <v>159.4127</v>
      </c>
      <c r="BZ47">
        <v>159.4127</v>
      </c>
      <c r="CA47">
        <v>0</v>
      </c>
      <c r="CB47">
        <v>0</v>
      </c>
      <c r="CC47">
        <v>0</v>
      </c>
      <c r="CD47">
        <v>180</v>
      </c>
    </row>
    <row r="48" spans="3:82">
      <c r="C48" s="763" t="s">
        <v>870</v>
      </c>
      <c r="D48" s="761" t="s">
        <v>856</v>
      </c>
      <c r="E48" s="762"/>
      <c r="F48" s="765"/>
      <c r="G48" s="766"/>
      <c r="H48" s="765"/>
      <c r="I48" s="766"/>
      <c r="K48" s="761" t="s">
        <v>856</v>
      </c>
      <c r="L48" s="762"/>
      <c r="M48" s="765"/>
      <c r="N48" s="766"/>
      <c r="O48" s="765"/>
      <c r="P48" s="766"/>
      <c r="S48">
        <v>0.48804999999999998</v>
      </c>
      <c r="T48">
        <v>0.96591079999999996</v>
      </c>
      <c r="U48">
        <v>0.96591079999999996</v>
      </c>
      <c r="V48">
        <v>3.18E-5</v>
      </c>
      <c r="W48">
        <v>3.18E-5</v>
      </c>
      <c r="X48">
        <v>3.4057499999999997E-2</v>
      </c>
      <c r="Y48">
        <v>3.4057499999999997E-2</v>
      </c>
      <c r="Z48">
        <v>-150.0643</v>
      </c>
      <c r="AA48">
        <v>-150.0643</v>
      </c>
      <c r="AB48">
        <v>132.6071</v>
      </c>
      <c r="AC48">
        <v>132.6071</v>
      </c>
      <c r="AD48">
        <v>0</v>
      </c>
      <c r="AE48">
        <v>0</v>
      </c>
      <c r="AF48">
        <v>0</v>
      </c>
      <c r="AG48">
        <v>180</v>
      </c>
      <c r="AI48">
        <v>0.48804999999999998</v>
      </c>
      <c r="AJ48">
        <v>0.97285350000000004</v>
      </c>
      <c r="AK48">
        <v>0.97285350000000004</v>
      </c>
      <c r="AL48">
        <v>3.5099999999999999E-5</v>
      </c>
      <c r="AM48">
        <v>3.5099999999999999E-5</v>
      </c>
      <c r="AN48">
        <v>2.7111400000000001E-2</v>
      </c>
      <c r="AO48">
        <v>2.7111400000000001E-2</v>
      </c>
      <c r="AP48">
        <v>-137.8486</v>
      </c>
      <c r="AQ48">
        <v>-137.8486</v>
      </c>
      <c r="AR48">
        <v>154.39519999999999</v>
      </c>
      <c r="AS48">
        <v>154.39519999999999</v>
      </c>
      <c r="AT48">
        <v>0</v>
      </c>
      <c r="AU48">
        <v>0</v>
      </c>
      <c r="AV48">
        <v>0</v>
      </c>
      <c r="AW48">
        <v>180</v>
      </c>
      <c r="AY48">
        <v>0.48804999999999998</v>
      </c>
      <c r="AZ48">
        <v>3.3934999999999998E-3</v>
      </c>
      <c r="BA48">
        <v>3.3934999999999998E-3</v>
      </c>
      <c r="BB48">
        <v>0.99471449999999995</v>
      </c>
      <c r="BC48">
        <v>0.99471449999999995</v>
      </c>
      <c r="BD48">
        <v>1.8921000000000001E-3</v>
      </c>
      <c r="BE48">
        <v>1.8921000000000001E-3</v>
      </c>
      <c r="BF48">
        <v>-132.56729999999999</v>
      </c>
      <c r="BG48">
        <v>-132.56729999999999</v>
      </c>
      <c r="BH48">
        <v>-160.34119999999999</v>
      </c>
      <c r="BI48">
        <v>-160.34119999999999</v>
      </c>
      <c r="BJ48">
        <v>0</v>
      </c>
      <c r="BK48">
        <v>0</v>
      </c>
      <c r="BL48">
        <v>0</v>
      </c>
      <c r="BM48">
        <v>180</v>
      </c>
      <c r="BP48">
        <v>0.48804999999999998</v>
      </c>
      <c r="BQ48">
        <v>0.92246019999999995</v>
      </c>
      <c r="BR48">
        <v>0.92246019999999995</v>
      </c>
      <c r="BS48">
        <v>0</v>
      </c>
      <c r="BT48">
        <v>0</v>
      </c>
      <c r="BU48">
        <v>7.7539800000000006E-2</v>
      </c>
      <c r="BV48">
        <v>7.7539800000000006E-2</v>
      </c>
      <c r="BW48">
        <v>-10.491899999999999</v>
      </c>
      <c r="BX48">
        <v>-10.491899999999999</v>
      </c>
      <c r="BY48">
        <v>159.47399999999999</v>
      </c>
      <c r="BZ48">
        <v>159.47399999999999</v>
      </c>
      <c r="CA48">
        <v>0</v>
      </c>
      <c r="CB48">
        <v>0</v>
      </c>
      <c r="CC48">
        <v>0</v>
      </c>
      <c r="CD48">
        <v>180</v>
      </c>
    </row>
    <row r="49" spans="3:82">
      <c r="C49" s="763" t="s">
        <v>871</v>
      </c>
      <c r="D49" s="765"/>
      <c r="E49" s="766"/>
      <c r="F49" s="761"/>
      <c r="G49" s="762"/>
      <c r="H49" s="765"/>
      <c r="I49" s="766"/>
      <c r="K49" s="765"/>
      <c r="L49" s="766"/>
      <c r="M49" s="761">
        <f>FSS99_600</f>
        <v>0.98364700000000005</v>
      </c>
      <c r="N49" s="762"/>
      <c r="O49" s="765"/>
      <c r="P49" s="766"/>
      <c r="S49">
        <v>0.4894</v>
      </c>
      <c r="T49">
        <v>0.96649229999999997</v>
      </c>
      <c r="U49">
        <v>0.96649229999999997</v>
      </c>
      <c r="V49">
        <v>3.0700000000000001E-5</v>
      </c>
      <c r="W49">
        <v>3.0700000000000001E-5</v>
      </c>
      <c r="X49">
        <v>3.3477E-2</v>
      </c>
      <c r="Y49">
        <v>3.3477E-2</v>
      </c>
      <c r="Z49">
        <v>-149.50360000000001</v>
      </c>
      <c r="AA49">
        <v>-149.50360000000001</v>
      </c>
      <c r="AB49">
        <v>133.4564</v>
      </c>
      <c r="AC49">
        <v>133.4564</v>
      </c>
      <c r="AD49">
        <v>0</v>
      </c>
      <c r="AE49">
        <v>0</v>
      </c>
      <c r="AF49">
        <v>0</v>
      </c>
      <c r="AG49">
        <v>180</v>
      </c>
      <c r="AI49">
        <v>0.4894</v>
      </c>
      <c r="AJ49">
        <v>0.97329379999999999</v>
      </c>
      <c r="AK49">
        <v>0.97329379999999999</v>
      </c>
      <c r="AL49">
        <v>3.4E-5</v>
      </c>
      <c r="AM49">
        <v>3.4E-5</v>
      </c>
      <c r="AN49">
        <v>2.66722E-2</v>
      </c>
      <c r="AO49">
        <v>2.66722E-2</v>
      </c>
      <c r="AP49">
        <v>-137.37</v>
      </c>
      <c r="AQ49">
        <v>-137.37</v>
      </c>
      <c r="AR49">
        <v>155.06110000000001</v>
      </c>
      <c r="AS49">
        <v>155.06110000000001</v>
      </c>
      <c r="AT49">
        <v>0</v>
      </c>
      <c r="AU49">
        <v>0</v>
      </c>
      <c r="AV49">
        <v>0</v>
      </c>
      <c r="AW49">
        <v>180</v>
      </c>
      <c r="AY49">
        <v>0.4894</v>
      </c>
      <c r="AZ49">
        <v>3.4066999999999999E-3</v>
      </c>
      <c r="BA49">
        <v>3.4066999999999999E-3</v>
      </c>
      <c r="BB49">
        <v>0.99472369999999999</v>
      </c>
      <c r="BC49">
        <v>0.99472369999999999</v>
      </c>
      <c r="BD49">
        <v>1.8697E-3</v>
      </c>
      <c r="BE49">
        <v>1.8697E-3</v>
      </c>
      <c r="BF49">
        <v>-131.03200000000001</v>
      </c>
      <c r="BG49">
        <v>-131.03200000000001</v>
      </c>
      <c r="BH49">
        <v>-161.59010000000001</v>
      </c>
      <c r="BI49">
        <v>-161.59010000000001</v>
      </c>
      <c r="BJ49">
        <v>0</v>
      </c>
      <c r="BK49">
        <v>0</v>
      </c>
      <c r="BL49">
        <v>0</v>
      </c>
      <c r="BM49">
        <v>180</v>
      </c>
      <c r="BP49">
        <v>0.4894</v>
      </c>
      <c r="BQ49">
        <v>0.92239729999999998</v>
      </c>
      <c r="BR49">
        <v>0.92239729999999998</v>
      </c>
      <c r="BS49">
        <v>0</v>
      </c>
      <c r="BT49">
        <v>0</v>
      </c>
      <c r="BU49">
        <v>7.7602699999999997E-2</v>
      </c>
      <c r="BV49">
        <v>7.7602699999999997E-2</v>
      </c>
      <c r="BW49">
        <v>-10.7125</v>
      </c>
      <c r="BX49">
        <v>-10.7125</v>
      </c>
      <c r="BY49">
        <v>159.535</v>
      </c>
      <c r="BZ49">
        <v>159.535</v>
      </c>
      <c r="CA49">
        <v>0</v>
      </c>
      <c r="CB49">
        <v>0</v>
      </c>
      <c r="CC49">
        <v>0</v>
      </c>
      <c r="CD49">
        <v>180</v>
      </c>
    </row>
    <row r="50" spans="3:82">
      <c r="C50" s="763" t="s">
        <v>872</v>
      </c>
      <c r="D50" s="765"/>
      <c r="E50" s="766"/>
      <c r="F50" s="761"/>
      <c r="G50" s="762"/>
      <c r="H50" s="765"/>
      <c r="I50" s="766"/>
      <c r="K50" s="765"/>
      <c r="L50" s="766"/>
      <c r="M50" s="761">
        <f>FSS99_600</f>
        <v>0.98364700000000005</v>
      </c>
      <c r="N50" s="762"/>
      <c r="O50" s="765"/>
      <c r="P50" s="766"/>
      <c r="S50">
        <v>0.49075000000000002</v>
      </c>
      <c r="T50">
        <v>0.96707719999999997</v>
      </c>
      <c r="U50">
        <v>0.96707719999999997</v>
      </c>
      <c r="V50">
        <v>2.97E-5</v>
      </c>
      <c r="W50">
        <v>2.97E-5</v>
      </c>
      <c r="X50">
        <v>3.2893100000000002E-2</v>
      </c>
      <c r="Y50">
        <v>3.2893100000000002E-2</v>
      </c>
      <c r="Z50">
        <v>-148.9485</v>
      </c>
      <c r="AA50">
        <v>-148.9485</v>
      </c>
      <c r="AB50">
        <v>134.2911</v>
      </c>
      <c r="AC50">
        <v>134.2911</v>
      </c>
      <c r="AD50">
        <v>0</v>
      </c>
      <c r="AE50">
        <v>0</v>
      </c>
      <c r="AF50">
        <v>0</v>
      </c>
      <c r="AG50">
        <v>180</v>
      </c>
      <c r="AI50">
        <v>0.49075000000000002</v>
      </c>
      <c r="AJ50">
        <v>0.97372199999999998</v>
      </c>
      <c r="AK50">
        <v>0.97372199999999998</v>
      </c>
      <c r="AL50">
        <v>3.29E-5</v>
      </c>
      <c r="AM50">
        <v>3.29E-5</v>
      </c>
      <c r="AN50">
        <v>2.62451E-2</v>
      </c>
      <c r="AO50">
        <v>2.62451E-2</v>
      </c>
      <c r="AP50">
        <v>-136.8989</v>
      </c>
      <c r="AQ50">
        <v>-136.8989</v>
      </c>
      <c r="AR50">
        <v>155.71289999999999</v>
      </c>
      <c r="AS50">
        <v>155.71289999999999</v>
      </c>
      <c r="AT50">
        <v>0</v>
      </c>
      <c r="AU50">
        <v>0</v>
      </c>
      <c r="AV50">
        <v>0</v>
      </c>
      <c r="AW50">
        <v>180</v>
      </c>
      <c r="AY50">
        <v>0.49075000000000002</v>
      </c>
      <c r="AZ50">
        <v>3.4291999999999999E-3</v>
      </c>
      <c r="BA50">
        <v>3.4291999999999999E-3</v>
      </c>
      <c r="BB50">
        <v>0.99472349999999998</v>
      </c>
      <c r="BC50">
        <v>0.99472349999999998</v>
      </c>
      <c r="BD50">
        <v>1.8473000000000001E-3</v>
      </c>
      <c r="BE50">
        <v>1.8473000000000001E-3</v>
      </c>
      <c r="BF50">
        <v>-129.50540000000001</v>
      </c>
      <c r="BG50">
        <v>-129.50540000000001</v>
      </c>
      <c r="BH50">
        <v>-162.80269999999999</v>
      </c>
      <c r="BI50">
        <v>-162.80269999999999</v>
      </c>
      <c r="BJ50">
        <v>0</v>
      </c>
      <c r="BK50">
        <v>0</v>
      </c>
      <c r="BL50">
        <v>0</v>
      </c>
      <c r="BM50">
        <v>180</v>
      </c>
      <c r="BP50">
        <v>0.49075000000000002</v>
      </c>
      <c r="BQ50">
        <v>0.9223365</v>
      </c>
      <c r="BR50">
        <v>0.9223365</v>
      </c>
      <c r="BS50">
        <v>0</v>
      </c>
      <c r="BT50">
        <v>0</v>
      </c>
      <c r="BU50">
        <v>7.7663499999999996E-2</v>
      </c>
      <c r="BV50">
        <v>7.7663499999999996E-2</v>
      </c>
      <c r="BW50">
        <v>-10.931900000000001</v>
      </c>
      <c r="BX50">
        <v>-10.931900000000001</v>
      </c>
      <c r="BY50">
        <v>159.59559999999999</v>
      </c>
      <c r="BZ50">
        <v>159.59559999999999</v>
      </c>
      <c r="CA50">
        <v>0</v>
      </c>
      <c r="CB50">
        <v>0</v>
      </c>
      <c r="CC50">
        <v>0</v>
      </c>
      <c r="CD50">
        <v>180</v>
      </c>
    </row>
    <row r="51" spans="3:82">
      <c r="C51" s="763" t="s">
        <v>873</v>
      </c>
      <c r="D51" s="765"/>
      <c r="E51" s="766"/>
      <c r="F51" s="761"/>
      <c r="G51" s="762"/>
      <c r="H51" s="765"/>
      <c r="I51" s="766"/>
      <c r="K51" s="765"/>
      <c r="L51" s="766"/>
      <c r="M51" s="761">
        <f>FSS99_600</f>
        <v>0.98364700000000005</v>
      </c>
      <c r="N51" s="762"/>
      <c r="O51" s="765"/>
      <c r="P51" s="766"/>
      <c r="S51">
        <v>0.49209999999999998</v>
      </c>
      <c r="T51">
        <v>0.96766649999999998</v>
      </c>
      <c r="U51">
        <v>0.96766649999999998</v>
      </c>
      <c r="V51">
        <v>2.87E-5</v>
      </c>
      <c r="W51">
        <v>2.87E-5</v>
      </c>
      <c r="X51">
        <v>3.2304800000000002E-2</v>
      </c>
      <c r="Y51">
        <v>3.2304800000000002E-2</v>
      </c>
      <c r="Z51">
        <v>-148.39879999999999</v>
      </c>
      <c r="AA51">
        <v>-148.39879999999999</v>
      </c>
      <c r="AB51">
        <v>135.11150000000001</v>
      </c>
      <c r="AC51">
        <v>135.11150000000001</v>
      </c>
      <c r="AD51">
        <v>0</v>
      </c>
      <c r="AE51">
        <v>0</v>
      </c>
      <c r="AF51">
        <v>0</v>
      </c>
      <c r="AG51">
        <v>180</v>
      </c>
      <c r="AI51">
        <v>0.49209999999999998</v>
      </c>
      <c r="AJ51">
        <v>0.97414900000000004</v>
      </c>
      <c r="AK51">
        <v>0.97414900000000004</v>
      </c>
      <c r="AL51">
        <v>3.1900000000000003E-5</v>
      </c>
      <c r="AM51">
        <v>3.1900000000000003E-5</v>
      </c>
      <c r="AN51">
        <v>2.5819100000000001E-2</v>
      </c>
      <c r="AO51">
        <v>2.5819100000000001E-2</v>
      </c>
      <c r="AP51">
        <v>-136.4324</v>
      </c>
      <c r="AQ51">
        <v>-136.4324</v>
      </c>
      <c r="AR51">
        <v>156.35589999999999</v>
      </c>
      <c r="AS51">
        <v>156.35589999999999</v>
      </c>
      <c r="AT51">
        <v>0</v>
      </c>
      <c r="AU51">
        <v>0</v>
      </c>
      <c r="AV51">
        <v>0</v>
      </c>
      <c r="AW51">
        <v>180</v>
      </c>
      <c r="AY51">
        <v>0.49209999999999998</v>
      </c>
      <c r="AZ51">
        <v>3.4605E-3</v>
      </c>
      <c r="BA51">
        <v>3.4605E-3</v>
      </c>
      <c r="BB51">
        <v>0.9947144</v>
      </c>
      <c r="BC51">
        <v>0.9947144</v>
      </c>
      <c r="BD51">
        <v>1.8251000000000001E-3</v>
      </c>
      <c r="BE51">
        <v>1.8251000000000001E-3</v>
      </c>
      <c r="BF51">
        <v>-127.98739999999999</v>
      </c>
      <c r="BG51">
        <v>-127.98739999999999</v>
      </c>
      <c r="BH51">
        <v>-163.97229999999999</v>
      </c>
      <c r="BI51">
        <v>-163.97229999999999</v>
      </c>
      <c r="BJ51">
        <v>0</v>
      </c>
      <c r="BK51">
        <v>0</v>
      </c>
      <c r="BL51">
        <v>0</v>
      </c>
      <c r="BM51">
        <v>180</v>
      </c>
      <c r="BP51">
        <v>0.49209999999999998</v>
      </c>
      <c r="BQ51">
        <v>0.92226770000000002</v>
      </c>
      <c r="BR51">
        <v>0.92226770000000002</v>
      </c>
      <c r="BS51">
        <v>0</v>
      </c>
      <c r="BT51">
        <v>0</v>
      </c>
      <c r="BU51">
        <v>7.7732300000000004E-2</v>
      </c>
      <c r="BV51">
        <v>7.7732300000000004E-2</v>
      </c>
      <c r="BW51">
        <v>-11.154299999999999</v>
      </c>
      <c r="BX51">
        <v>-11.154299999999999</v>
      </c>
      <c r="BY51">
        <v>159.6549</v>
      </c>
      <c r="BZ51">
        <v>159.6549</v>
      </c>
      <c r="CA51">
        <v>0</v>
      </c>
      <c r="CB51">
        <v>0</v>
      </c>
      <c r="CC51">
        <v>0</v>
      </c>
      <c r="CD51">
        <v>180</v>
      </c>
    </row>
    <row r="52" spans="3:82">
      <c r="C52" s="763" t="s">
        <v>874</v>
      </c>
      <c r="D52" s="765"/>
      <c r="E52" s="766"/>
      <c r="F52" s="761"/>
      <c r="G52" s="762"/>
      <c r="H52" s="765"/>
      <c r="I52" s="766"/>
      <c r="K52" s="765"/>
      <c r="L52" s="766"/>
      <c r="M52" s="761">
        <f>FSS99_600</f>
        <v>0.98364700000000005</v>
      </c>
      <c r="N52" s="762"/>
      <c r="O52" s="765"/>
      <c r="P52" s="766"/>
      <c r="S52">
        <v>0.49345</v>
      </c>
      <c r="T52">
        <v>0.96823740000000003</v>
      </c>
      <c r="U52">
        <v>0.96823740000000003</v>
      </c>
      <c r="V52">
        <v>2.7800000000000001E-5</v>
      </c>
      <c r="W52">
        <v>2.7800000000000001E-5</v>
      </c>
      <c r="X52">
        <v>3.1734800000000001E-2</v>
      </c>
      <c r="Y52">
        <v>3.1734800000000001E-2</v>
      </c>
      <c r="Z52">
        <v>-147.85669999999999</v>
      </c>
      <c r="AA52">
        <v>-147.85669999999999</v>
      </c>
      <c r="AB52">
        <v>135.91839999999999</v>
      </c>
      <c r="AC52">
        <v>135.91839999999999</v>
      </c>
      <c r="AD52">
        <v>0</v>
      </c>
      <c r="AE52">
        <v>0</v>
      </c>
      <c r="AF52">
        <v>0</v>
      </c>
      <c r="AG52">
        <v>180</v>
      </c>
      <c r="AI52">
        <v>0.49345</v>
      </c>
      <c r="AJ52">
        <v>0.97456259999999995</v>
      </c>
      <c r="AK52">
        <v>0.97456259999999995</v>
      </c>
      <c r="AL52">
        <v>3.0899999999999999E-5</v>
      </c>
      <c r="AM52">
        <v>3.0899999999999999E-5</v>
      </c>
      <c r="AN52">
        <v>2.5406499999999999E-2</v>
      </c>
      <c r="AO52">
        <v>2.5406499999999999E-2</v>
      </c>
      <c r="AP52">
        <v>-135.97120000000001</v>
      </c>
      <c r="AQ52">
        <v>-135.97120000000001</v>
      </c>
      <c r="AR52">
        <v>156.9905</v>
      </c>
      <c r="AS52">
        <v>156.9905</v>
      </c>
      <c r="AT52">
        <v>0</v>
      </c>
      <c r="AU52">
        <v>0</v>
      </c>
      <c r="AV52">
        <v>0</v>
      </c>
      <c r="AW52">
        <v>180</v>
      </c>
      <c r="AY52">
        <v>0.49345</v>
      </c>
      <c r="AZ52">
        <v>3.5002000000000002E-3</v>
      </c>
      <c r="BA52">
        <v>3.5002000000000002E-3</v>
      </c>
      <c r="BB52">
        <v>0.99469680000000005</v>
      </c>
      <c r="BC52">
        <v>0.99469680000000005</v>
      </c>
      <c r="BD52">
        <v>1.8029999999999999E-3</v>
      </c>
      <c r="BE52">
        <v>1.8029999999999999E-3</v>
      </c>
      <c r="BF52">
        <v>-126.4781</v>
      </c>
      <c r="BG52">
        <v>-126.4781</v>
      </c>
      <c r="BH52">
        <v>-165.0934</v>
      </c>
      <c r="BI52">
        <v>-165.0934</v>
      </c>
      <c r="BJ52">
        <v>0</v>
      </c>
      <c r="BK52">
        <v>0</v>
      </c>
      <c r="BL52">
        <v>0</v>
      </c>
      <c r="BM52">
        <v>180</v>
      </c>
      <c r="BP52">
        <v>0.49345</v>
      </c>
      <c r="BQ52">
        <v>0.92207539999999999</v>
      </c>
      <c r="BR52">
        <v>0.92207539999999999</v>
      </c>
      <c r="BS52">
        <v>0</v>
      </c>
      <c r="BT52">
        <v>0</v>
      </c>
      <c r="BU52">
        <v>7.7924599999999997E-2</v>
      </c>
      <c r="BV52">
        <v>7.7924599999999997E-2</v>
      </c>
      <c r="BW52">
        <v>-11.428699999999999</v>
      </c>
      <c r="BX52">
        <v>-11.428699999999999</v>
      </c>
      <c r="BY52">
        <v>159.70169999999999</v>
      </c>
      <c r="BZ52">
        <v>159.70169999999999</v>
      </c>
      <c r="CA52">
        <v>0</v>
      </c>
      <c r="CB52">
        <v>0</v>
      </c>
      <c r="CC52">
        <v>0</v>
      </c>
      <c r="CD52">
        <v>180</v>
      </c>
    </row>
    <row r="53" spans="3:82">
      <c r="C53" s="763" t="s">
        <v>875</v>
      </c>
      <c r="D53" s="765"/>
      <c r="E53" s="766"/>
      <c r="F53" s="761"/>
      <c r="G53" s="762"/>
      <c r="H53" s="765"/>
      <c r="I53" s="766"/>
      <c r="K53" s="765"/>
      <c r="L53" s="766"/>
      <c r="M53" s="761">
        <f>BBARx2</f>
        <v>0.99</v>
      </c>
      <c r="N53" s="762"/>
      <c r="O53" s="765"/>
      <c r="P53" s="766"/>
      <c r="S53">
        <v>0.49480000000000002</v>
      </c>
      <c r="T53">
        <v>0.9687905</v>
      </c>
      <c r="U53">
        <v>0.9687905</v>
      </c>
      <c r="V53">
        <v>2.69E-5</v>
      </c>
      <c r="W53">
        <v>2.69E-5</v>
      </c>
      <c r="X53">
        <v>3.1182600000000001E-2</v>
      </c>
      <c r="Y53">
        <v>3.1182600000000001E-2</v>
      </c>
      <c r="Z53">
        <v>-147.32210000000001</v>
      </c>
      <c r="AA53">
        <v>-147.32210000000001</v>
      </c>
      <c r="AB53">
        <v>136.7123</v>
      </c>
      <c r="AC53">
        <v>136.7123</v>
      </c>
      <c r="AD53">
        <v>0</v>
      </c>
      <c r="AE53">
        <v>0</v>
      </c>
      <c r="AF53">
        <v>0</v>
      </c>
      <c r="AG53">
        <v>180</v>
      </c>
      <c r="AI53">
        <v>0.49480000000000002</v>
      </c>
      <c r="AJ53">
        <v>0.97496329999999998</v>
      </c>
      <c r="AK53">
        <v>0.97496329999999998</v>
      </c>
      <c r="AL53">
        <v>3.0000000000000001E-5</v>
      </c>
      <c r="AM53">
        <v>3.0000000000000001E-5</v>
      </c>
      <c r="AN53">
        <v>2.50067E-2</v>
      </c>
      <c r="AO53">
        <v>2.50067E-2</v>
      </c>
      <c r="AP53">
        <v>-135.51499999999999</v>
      </c>
      <c r="AQ53">
        <v>-135.51499999999999</v>
      </c>
      <c r="AR53">
        <v>157.61709999999999</v>
      </c>
      <c r="AS53">
        <v>157.61709999999999</v>
      </c>
      <c r="AT53">
        <v>0</v>
      </c>
      <c r="AU53">
        <v>0</v>
      </c>
      <c r="AV53">
        <v>0</v>
      </c>
      <c r="AW53">
        <v>180</v>
      </c>
      <c r="AY53">
        <v>0.49480000000000002</v>
      </c>
      <c r="AZ53">
        <v>3.5474999999999999E-3</v>
      </c>
      <c r="BA53">
        <v>3.5474999999999999E-3</v>
      </c>
      <c r="BB53">
        <v>0.99467150000000004</v>
      </c>
      <c r="BC53">
        <v>0.99467150000000004</v>
      </c>
      <c r="BD53">
        <v>1.781E-3</v>
      </c>
      <c r="BE53">
        <v>1.781E-3</v>
      </c>
      <c r="BF53">
        <v>-124.9773</v>
      </c>
      <c r="BG53">
        <v>-124.9773</v>
      </c>
      <c r="BH53">
        <v>-166.16130000000001</v>
      </c>
      <c r="BI53">
        <v>-166.16130000000001</v>
      </c>
      <c r="BJ53">
        <v>0</v>
      </c>
      <c r="BK53">
        <v>0</v>
      </c>
      <c r="BL53">
        <v>0</v>
      </c>
      <c r="BM53">
        <v>180</v>
      </c>
      <c r="BP53">
        <v>0.49480000000000002</v>
      </c>
      <c r="BQ53">
        <v>0.92188570000000003</v>
      </c>
      <c r="BR53">
        <v>0.92188570000000003</v>
      </c>
      <c r="BS53">
        <v>0</v>
      </c>
      <c r="BT53">
        <v>0</v>
      </c>
      <c r="BU53">
        <v>7.8114299999999998E-2</v>
      </c>
      <c r="BV53">
        <v>7.8114299999999998E-2</v>
      </c>
      <c r="BW53">
        <v>-11.701599999999999</v>
      </c>
      <c r="BX53">
        <v>-11.701599999999999</v>
      </c>
      <c r="BY53">
        <v>159.7483</v>
      </c>
      <c r="BZ53">
        <v>159.7483</v>
      </c>
      <c r="CA53">
        <v>0</v>
      </c>
      <c r="CB53">
        <v>0</v>
      </c>
      <c r="CC53">
        <v>0</v>
      </c>
      <c r="CD53">
        <v>180</v>
      </c>
    </row>
    <row r="54" spans="3:82">
      <c r="C54" s="763" t="s">
        <v>876</v>
      </c>
      <c r="D54" s="765"/>
      <c r="E54" s="766"/>
      <c r="F54" s="761"/>
      <c r="G54" s="762"/>
      <c r="H54" s="765"/>
      <c r="I54" s="766"/>
      <c r="K54" s="765"/>
      <c r="L54" s="766"/>
      <c r="M54" s="761">
        <v>1</v>
      </c>
      <c r="N54" s="762"/>
      <c r="O54" s="765"/>
      <c r="P54" s="766"/>
      <c r="S54">
        <v>0.49614999999999998</v>
      </c>
      <c r="T54">
        <v>0.96932649999999998</v>
      </c>
      <c r="U54">
        <v>0.96932649999999998</v>
      </c>
      <c r="V54">
        <v>2.5999999999999998E-5</v>
      </c>
      <c r="W54">
        <v>2.5999999999999998E-5</v>
      </c>
      <c r="X54">
        <v>3.0647500000000001E-2</v>
      </c>
      <c r="Y54">
        <v>3.0647500000000001E-2</v>
      </c>
      <c r="Z54">
        <v>-146.7946</v>
      </c>
      <c r="AA54">
        <v>-146.7946</v>
      </c>
      <c r="AB54">
        <v>137.49350000000001</v>
      </c>
      <c r="AC54">
        <v>137.49350000000001</v>
      </c>
      <c r="AD54">
        <v>0</v>
      </c>
      <c r="AE54">
        <v>0</v>
      </c>
      <c r="AF54">
        <v>0</v>
      </c>
      <c r="AG54">
        <v>180</v>
      </c>
      <c r="AI54">
        <v>0.49614999999999998</v>
      </c>
      <c r="AJ54">
        <v>0.97535159999999999</v>
      </c>
      <c r="AK54">
        <v>0.97535159999999999</v>
      </c>
      <c r="AL54">
        <v>2.9099999999999999E-5</v>
      </c>
      <c r="AM54">
        <v>2.9099999999999999E-5</v>
      </c>
      <c r="AN54">
        <v>2.46193E-2</v>
      </c>
      <c r="AO54">
        <v>2.46193E-2</v>
      </c>
      <c r="AP54">
        <v>-135.06379999999999</v>
      </c>
      <c r="AQ54">
        <v>-135.06379999999999</v>
      </c>
      <c r="AR54">
        <v>158.23580000000001</v>
      </c>
      <c r="AS54">
        <v>158.23580000000001</v>
      </c>
      <c r="AT54">
        <v>0</v>
      </c>
      <c r="AU54">
        <v>0</v>
      </c>
      <c r="AV54">
        <v>0</v>
      </c>
      <c r="AW54">
        <v>180</v>
      </c>
      <c r="AY54">
        <v>0.49614999999999998</v>
      </c>
      <c r="AZ54">
        <v>3.6020000000000002E-3</v>
      </c>
      <c r="BA54">
        <v>3.6020000000000002E-3</v>
      </c>
      <c r="BB54">
        <v>0.99463889999999999</v>
      </c>
      <c r="BC54">
        <v>0.99463889999999999</v>
      </c>
      <c r="BD54">
        <v>1.7591E-3</v>
      </c>
      <c r="BE54">
        <v>1.7591E-3</v>
      </c>
      <c r="BF54">
        <v>-123.485</v>
      </c>
      <c r="BG54">
        <v>-123.485</v>
      </c>
      <c r="BH54">
        <v>-167.17250000000001</v>
      </c>
      <c r="BI54">
        <v>-167.17250000000001</v>
      </c>
      <c r="BJ54">
        <v>0</v>
      </c>
      <c r="BK54">
        <v>0</v>
      </c>
      <c r="BL54">
        <v>0</v>
      </c>
      <c r="BM54">
        <v>180</v>
      </c>
      <c r="BP54">
        <v>0.49614999999999998</v>
      </c>
      <c r="BQ54">
        <v>0.92169849999999998</v>
      </c>
      <c r="BR54">
        <v>0.92169849999999998</v>
      </c>
      <c r="BS54">
        <v>0</v>
      </c>
      <c r="BT54">
        <v>0</v>
      </c>
      <c r="BU54">
        <v>7.8301499999999996E-2</v>
      </c>
      <c r="BV54">
        <v>7.8301499999999996E-2</v>
      </c>
      <c r="BW54">
        <v>-11.973000000000001</v>
      </c>
      <c r="BX54">
        <v>-11.973000000000001</v>
      </c>
      <c r="BY54">
        <v>159.7946</v>
      </c>
      <c r="BZ54">
        <v>159.7946</v>
      </c>
      <c r="CA54">
        <v>0</v>
      </c>
      <c r="CB54">
        <v>0</v>
      </c>
      <c r="CC54">
        <v>0</v>
      </c>
      <c r="CD54">
        <v>180</v>
      </c>
    </row>
    <row r="55" spans="3:82">
      <c r="C55" s="763" t="s">
        <v>877</v>
      </c>
      <c r="D55" s="765"/>
      <c r="E55" s="766"/>
      <c r="F55" s="761"/>
      <c r="G55" s="762"/>
      <c r="H55" s="765"/>
      <c r="I55" s="766"/>
      <c r="K55" s="765"/>
      <c r="L55" s="766"/>
      <c r="M55" s="761">
        <f>BBARx2</f>
        <v>0.99</v>
      </c>
      <c r="N55" s="762"/>
      <c r="O55" s="765"/>
      <c r="P55" s="766"/>
      <c r="S55">
        <v>0.4975</v>
      </c>
      <c r="T55">
        <v>0.96984610000000004</v>
      </c>
      <c r="U55">
        <v>0.96984610000000004</v>
      </c>
      <c r="V55">
        <v>2.5199999999999999E-5</v>
      </c>
      <c r="W55">
        <v>2.5199999999999999E-5</v>
      </c>
      <c r="X55">
        <v>3.0128800000000001E-2</v>
      </c>
      <c r="Y55">
        <v>3.0128800000000001E-2</v>
      </c>
      <c r="Z55">
        <v>-146.27420000000001</v>
      </c>
      <c r="AA55">
        <v>-146.27420000000001</v>
      </c>
      <c r="AB55">
        <v>138.26240000000001</v>
      </c>
      <c r="AC55">
        <v>138.26240000000001</v>
      </c>
      <c r="AD55">
        <v>0</v>
      </c>
      <c r="AE55">
        <v>0</v>
      </c>
      <c r="AF55">
        <v>0</v>
      </c>
      <c r="AG55">
        <v>180</v>
      </c>
      <c r="AI55">
        <v>0.4975</v>
      </c>
      <c r="AJ55">
        <v>0.97572800000000004</v>
      </c>
      <c r="AK55">
        <v>0.97572800000000004</v>
      </c>
      <c r="AL55">
        <v>2.83E-5</v>
      </c>
      <c r="AM55">
        <v>2.83E-5</v>
      </c>
      <c r="AN55">
        <v>2.42437E-2</v>
      </c>
      <c r="AO55">
        <v>2.42437E-2</v>
      </c>
      <c r="AP55">
        <v>-134.6173</v>
      </c>
      <c r="AQ55">
        <v>-134.6173</v>
      </c>
      <c r="AR55">
        <v>158.84690000000001</v>
      </c>
      <c r="AS55">
        <v>158.84690000000001</v>
      </c>
      <c r="AT55">
        <v>0</v>
      </c>
      <c r="AU55">
        <v>0</v>
      </c>
      <c r="AV55">
        <v>0</v>
      </c>
      <c r="AW55">
        <v>180</v>
      </c>
      <c r="AY55">
        <v>0.4975</v>
      </c>
      <c r="AZ55">
        <v>3.663E-3</v>
      </c>
      <c r="BA55">
        <v>3.663E-3</v>
      </c>
      <c r="BB55">
        <v>0.99459960000000003</v>
      </c>
      <c r="BC55">
        <v>0.99459960000000003</v>
      </c>
      <c r="BD55">
        <v>1.7374000000000001E-3</v>
      </c>
      <c r="BE55">
        <v>1.7374000000000001E-3</v>
      </c>
      <c r="BF55">
        <v>-122.00109999999999</v>
      </c>
      <c r="BG55">
        <v>-122.00109999999999</v>
      </c>
      <c r="BH55">
        <v>-168.12430000000001</v>
      </c>
      <c r="BI55">
        <v>-168.12430000000001</v>
      </c>
      <c r="BJ55">
        <v>0</v>
      </c>
      <c r="BK55">
        <v>0</v>
      </c>
      <c r="BL55">
        <v>0</v>
      </c>
      <c r="BM55">
        <v>180</v>
      </c>
      <c r="BP55">
        <v>0.4975</v>
      </c>
      <c r="BQ55">
        <v>0.92151380000000005</v>
      </c>
      <c r="BR55">
        <v>0.92151380000000005</v>
      </c>
      <c r="BS55">
        <v>0</v>
      </c>
      <c r="BT55">
        <v>0</v>
      </c>
      <c r="BU55">
        <v>7.8486200000000006E-2</v>
      </c>
      <c r="BV55">
        <v>7.8486200000000006E-2</v>
      </c>
      <c r="BW55">
        <v>-12.242800000000001</v>
      </c>
      <c r="BX55">
        <v>-12.242800000000001</v>
      </c>
      <c r="BY55">
        <v>159.8408</v>
      </c>
      <c r="BZ55">
        <v>159.8408</v>
      </c>
      <c r="CA55">
        <v>0</v>
      </c>
      <c r="CB55">
        <v>0</v>
      </c>
      <c r="CC55">
        <v>0</v>
      </c>
      <c r="CD55">
        <v>180</v>
      </c>
    </row>
    <row r="56" spans="3:82">
      <c r="C56" s="763" t="s">
        <v>878</v>
      </c>
      <c r="D56" s="765"/>
      <c r="E56" s="766"/>
      <c r="F56" s="761"/>
      <c r="G56" s="762"/>
      <c r="H56" s="765"/>
      <c r="I56" s="766"/>
      <c r="K56" s="765"/>
      <c r="L56" s="766"/>
      <c r="M56" s="761">
        <f>BBARx2</f>
        <v>0.99</v>
      </c>
      <c r="N56" s="762"/>
      <c r="O56" s="765"/>
      <c r="P56" s="766"/>
      <c r="S56">
        <v>0.49885000000000002</v>
      </c>
      <c r="T56">
        <v>0.97034980000000004</v>
      </c>
      <c r="U56">
        <v>0.97034980000000004</v>
      </c>
      <c r="V56">
        <v>2.44E-5</v>
      </c>
      <c r="W56">
        <v>2.44E-5</v>
      </c>
      <c r="X56">
        <v>2.9625800000000001E-2</v>
      </c>
      <c r="Y56">
        <v>2.9625800000000001E-2</v>
      </c>
      <c r="Z56">
        <v>-145.76070000000001</v>
      </c>
      <c r="AA56">
        <v>-145.76070000000001</v>
      </c>
      <c r="AB56">
        <v>139.01929999999999</v>
      </c>
      <c r="AC56">
        <v>139.01929999999999</v>
      </c>
      <c r="AD56">
        <v>0</v>
      </c>
      <c r="AE56">
        <v>0</v>
      </c>
      <c r="AF56">
        <v>0</v>
      </c>
      <c r="AG56">
        <v>180</v>
      </c>
      <c r="AI56">
        <v>0.49885000000000002</v>
      </c>
      <c r="AJ56">
        <v>0.97609310000000005</v>
      </c>
      <c r="AK56">
        <v>0.97609310000000005</v>
      </c>
      <c r="AL56">
        <v>2.7399999999999999E-5</v>
      </c>
      <c r="AM56">
        <v>2.7399999999999999E-5</v>
      </c>
      <c r="AN56">
        <v>2.3879500000000001E-2</v>
      </c>
      <c r="AO56">
        <v>2.3879500000000001E-2</v>
      </c>
      <c r="AP56">
        <v>-134.1756</v>
      </c>
      <c r="AQ56">
        <v>-134.1756</v>
      </c>
      <c r="AR56">
        <v>159.45060000000001</v>
      </c>
      <c r="AS56">
        <v>159.45060000000001</v>
      </c>
      <c r="AT56">
        <v>0</v>
      </c>
      <c r="AU56">
        <v>0</v>
      </c>
      <c r="AV56">
        <v>0</v>
      </c>
      <c r="AW56">
        <v>180</v>
      </c>
      <c r="AY56">
        <v>0.49885000000000002</v>
      </c>
      <c r="AZ56">
        <v>3.7299999999999998E-3</v>
      </c>
      <c r="BA56">
        <v>3.7299999999999998E-3</v>
      </c>
      <c r="BB56">
        <v>0.99455420000000005</v>
      </c>
      <c r="BC56">
        <v>0.99455420000000005</v>
      </c>
      <c r="BD56">
        <v>1.7156999999999999E-3</v>
      </c>
      <c r="BE56">
        <v>1.7156999999999999E-3</v>
      </c>
      <c r="BF56">
        <v>-120.52549999999999</v>
      </c>
      <c r="BG56">
        <v>-120.52549999999999</v>
      </c>
      <c r="BH56">
        <v>-169.01519999999999</v>
      </c>
      <c r="BI56">
        <v>-169.01519999999999</v>
      </c>
      <c r="BJ56">
        <v>0</v>
      </c>
      <c r="BK56">
        <v>0</v>
      </c>
      <c r="BL56">
        <v>0</v>
      </c>
      <c r="BM56">
        <v>180</v>
      </c>
      <c r="BP56">
        <v>0.49885000000000002</v>
      </c>
      <c r="BQ56">
        <v>0.92133149999999997</v>
      </c>
      <c r="BR56">
        <v>0.92133149999999997</v>
      </c>
      <c r="BS56">
        <v>0</v>
      </c>
      <c r="BT56">
        <v>0</v>
      </c>
      <c r="BU56">
        <v>7.8668500000000002E-2</v>
      </c>
      <c r="BV56">
        <v>7.8668500000000002E-2</v>
      </c>
      <c r="BW56">
        <v>-12.511200000000001</v>
      </c>
      <c r="BX56">
        <v>-12.511200000000001</v>
      </c>
      <c r="BY56">
        <v>159.88679999999999</v>
      </c>
      <c r="BZ56">
        <v>159.88679999999999</v>
      </c>
      <c r="CA56">
        <v>0</v>
      </c>
      <c r="CB56">
        <v>0</v>
      </c>
      <c r="CC56">
        <v>0</v>
      </c>
      <c r="CD56">
        <v>180</v>
      </c>
    </row>
    <row r="57" spans="3:82">
      <c r="C57" s="763" t="s">
        <v>879</v>
      </c>
      <c r="D57" s="765"/>
      <c r="E57" s="766"/>
      <c r="F57" s="761"/>
      <c r="G57" s="762"/>
      <c r="H57" s="765"/>
      <c r="I57" s="766"/>
      <c r="K57" s="765"/>
      <c r="L57" s="766"/>
      <c r="M57" s="761">
        <f>BBARx2</f>
        <v>0.99</v>
      </c>
      <c r="N57" s="762"/>
      <c r="O57" s="765"/>
      <c r="P57" s="766"/>
      <c r="S57">
        <v>0.50019999999999998</v>
      </c>
      <c r="T57">
        <v>0.97082760000000001</v>
      </c>
      <c r="U57">
        <v>0.97082760000000001</v>
      </c>
      <c r="V57">
        <v>2.3600000000000001E-5</v>
      </c>
      <c r="W57">
        <v>2.3600000000000001E-5</v>
      </c>
      <c r="X57">
        <v>2.9148799999999999E-2</v>
      </c>
      <c r="Y57">
        <v>2.9148799999999999E-2</v>
      </c>
      <c r="Z57">
        <v>-145.25880000000001</v>
      </c>
      <c r="AA57">
        <v>-145.25880000000001</v>
      </c>
      <c r="AB57">
        <v>139.7645</v>
      </c>
      <c r="AC57">
        <v>139.7645</v>
      </c>
      <c r="AD57">
        <v>0</v>
      </c>
      <c r="AE57">
        <v>0</v>
      </c>
      <c r="AF57">
        <v>0</v>
      </c>
      <c r="AG57">
        <v>180</v>
      </c>
      <c r="AI57">
        <v>0.50019999999999998</v>
      </c>
      <c r="AJ57">
        <v>0.97643559999999996</v>
      </c>
      <c r="AK57">
        <v>0.97643559999999996</v>
      </c>
      <c r="AL57">
        <v>2.6599999999999999E-5</v>
      </c>
      <c r="AM57">
        <v>2.6599999999999999E-5</v>
      </c>
      <c r="AN57">
        <v>2.3537700000000002E-2</v>
      </c>
      <c r="AO57">
        <v>2.3537700000000002E-2</v>
      </c>
      <c r="AP57">
        <v>-133.7433</v>
      </c>
      <c r="AQ57">
        <v>-133.7433</v>
      </c>
      <c r="AR57">
        <v>160.0472</v>
      </c>
      <c r="AS57">
        <v>160.0472</v>
      </c>
      <c r="AT57">
        <v>0</v>
      </c>
      <c r="AU57">
        <v>0</v>
      </c>
      <c r="AV57">
        <v>0</v>
      </c>
      <c r="AW57">
        <v>180</v>
      </c>
      <c r="AY57">
        <v>0.50019999999999998</v>
      </c>
      <c r="AZ57">
        <v>3.8026000000000002E-3</v>
      </c>
      <c r="BA57">
        <v>3.8026000000000002E-3</v>
      </c>
      <c r="BB57">
        <v>0.99450320000000003</v>
      </c>
      <c r="BC57">
        <v>0.99450320000000003</v>
      </c>
      <c r="BD57">
        <v>1.6942000000000001E-3</v>
      </c>
      <c r="BE57">
        <v>1.6942000000000001E-3</v>
      </c>
      <c r="BF57">
        <v>-119.0586</v>
      </c>
      <c r="BG57">
        <v>-119.0586</v>
      </c>
      <c r="BH57">
        <v>-169.84460000000001</v>
      </c>
      <c r="BI57">
        <v>-169.84460000000001</v>
      </c>
      <c r="BJ57">
        <v>0</v>
      </c>
      <c r="BK57">
        <v>0</v>
      </c>
      <c r="BL57">
        <v>0</v>
      </c>
      <c r="BM57">
        <v>180</v>
      </c>
      <c r="BP57">
        <v>0.50019999999999998</v>
      </c>
      <c r="BQ57">
        <v>0.92115170000000002</v>
      </c>
      <c r="BR57">
        <v>0.92115170000000002</v>
      </c>
      <c r="BS57">
        <v>0</v>
      </c>
      <c r="BT57">
        <v>0</v>
      </c>
      <c r="BU57">
        <v>7.8848299999999996E-2</v>
      </c>
      <c r="BV57">
        <v>7.8848299999999996E-2</v>
      </c>
      <c r="BW57">
        <v>-12.7781</v>
      </c>
      <c r="BX57">
        <v>-12.7781</v>
      </c>
      <c r="BY57">
        <v>159.93260000000001</v>
      </c>
      <c r="BZ57">
        <v>159.93260000000001</v>
      </c>
      <c r="CA57">
        <v>0</v>
      </c>
      <c r="CB57">
        <v>0</v>
      </c>
      <c r="CC57">
        <v>0</v>
      </c>
      <c r="CD57">
        <v>180</v>
      </c>
    </row>
    <row r="58" spans="3:82">
      <c r="C58" s="763" t="s">
        <v>880</v>
      </c>
      <c r="D58" s="765"/>
      <c r="E58" s="766"/>
      <c r="F58" s="761"/>
      <c r="G58" s="762"/>
      <c r="H58" s="765"/>
      <c r="I58" s="766"/>
      <c r="K58" s="765"/>
      <c r="L58" s="766"/>
      <c r="M58" s="761">
        <f>BBARx2</f>
        <v>0.99</v>
      </c>
      <c r="N58" s="762"/>
      <c r="O58" s="765"/>
      <c r="P58" s="766"/>
      <c r="S58">
        <v>0.50155000000000005</v>
      </c>
      <c r="T58">
        <v>0.97123020000000004</v>
      </c>
      <c r="U58">
        <v>0.97123020000000004</v>
      </c>
      <c r="V58">
        <v>2.2900000000000001E-5</v>
      </c>
      <c r="W58">
        <v>2.2900000000000001E-5</v>
      </c>
      <c r="X58">
        <v>2.8746899999999999E-2</v>
      </c>
      <c r="Y58">
        <v>2.8746899999999999E-2</v>
      </c>
      <c r="Z58">
        <v>-144.79230000000001</v>
      </c>
      <c r="AA58">
        <v>-144.79230000000001</v>
      </c>
      <c r="AB58">
        <v>140.49709999999999</v>
      </c>
      <c r="AC58">
        <v>140.49709999999999</v>
      </c>
      <c r="AD58">
        <v>0</v>
      </c>
      <c r="AE58">
        <v>0</v>
      </c>
      <c r="AF58">
        <v>0</v>
      </c>
      <c r="AG58">
        <v>180</v>
      </c>
      <c r="AI58">
        <v>0.50155000000000005</v>
      </c>
      <c r="AJ58">
        <v>0.97670270000000003</v>
      </c>
      <c r="AK58">
        <v>0.97670270000000003</v>
      </c>
      <c r="AL58">
        <v>2.5899999999999999E-5</v>
      </c>
      <c r="AM58">
        <v>2.5899999999999999E-5</v>
      </c>
      <c r="AN58">
        <v>2.3271400000000001E-2</v>
      </c>
      <c r="AO58">
        <v>2.3271400000000001E-2</v>
      </c>
      <c r="AP58">
        <v>-133.34379999999999</v>
      </c>
      <c r="AQ58">
        <v>-133.34379999999999</v>
      </c>
      <c r="AR58">
        <v>160.6371</v>
      </c>
      <c r="AS58">
        <v>160.6371</v>
      </c>
      <c r="AT58">
        <v>0</v>
      </c>
      <c r="AU58">
        <v>0</v>
      </c>
      <c r="AV58">
        <v>0</v>
      </c>
      <c r="AW58">
        <v>180</v>
      </c>
      <c r="AY58">
        <v>0.50155000000000005</v>
      </c>
      <c r="AZ58">
        <v>3.8814000000000001E-3</v>
      </c>
      <c r="BA58">
        <v>3.8814000000000001E-3</v>
      </c>
      <c r="BB58">
        <v>0.99444580000000005</v>
      </c>
      <c r="BC58">
        <v>0.99444580000000005</v>
      </c>
      <c r="BD58">
        <v>1.6727999999999999E-3</v>
      </c>
      <c r="BE58">
        <v>1.6727999999999999E-3</v>
      </c>
      <c r="BF58">
        <v>-117.6018</v>
      </c>
      <c r="BG58">
        <v>-117.6018</v>
      </c>
      <c r="BH58">
        <v>-170.61410000000001</v>
      </c>
      <c r="BI58">
        <v>-170.61410000000001</v>
      </c>
      <c r="BJ58">
        <v>0</v>
      </c>
      <c r="BK58">
        <v>0</v>
      </c>
      <c r="BL58">
        <v>0</v>
      </c>
      <c r="BM58">
        <v>180</v>
      </c>
      <c r="BP58">
        <v>0.50155000000000005</v>
      </c>
      <c r="BQ58">
        <v>0.92097419999999997</v>
      </c>
      <c r="BR58">
        <v>0.92097419999999997</v>
      </c>
      <c r="BS58">
        <v>0</v>
      </c>
      <c r="BT58">
        <v>0</v>
      </c>
      <c r="BU58">
        <v>7.9025799999999993E-2</v>
      </c>
      <c r="BV58">
        <v>7.9025799999999993E-2</v>
      </c>
      <c r="BW58">
        <v>-13.0436</v>
      </c>
      <c r="BX58">
        <v>-13.0436</v>
      </c>
      <c r="BY58">
        <v>159.97819999999999</v>
      </c>
      <c r="BZ58">
        <v>159.97819999999999</v>
      </c>
      <c r="CA58">
        <v>0</v>
      </c>
      <c r="CB58">
        <v>0</v>
      </c>
      <c r="CC58">
        <v>0</v>
      </c>
      <c r="CD58">
        <v>180</v>
      </c>
    </row>
    <row r="59" spans="3:82">
      <c r="C59" s="763" t="s">
        <v>881</v>
      </c>
      <c r="D59" s="765"/>
      <c r="E59" s="766"/>
      <c r="F59" s="761"/>
      <c r="G59" s="762"/>
      <c r="H59" s="765"/>
      <c r="I59" s="766"/>
      <c r="K59" s="765"/>
      <c r="L59" s="766"/>
      <c r="M59" s="761">
        <f>FSS99_600</f>
        <v>0.98364700000000005</v>
      </c>
      <c r="N59" s="762"/>
      <c r="O59" s="765"/>
      <c r="P59" s="766"/>
      <c r="S59">
        <v>0.50290000000000001</v>
      </c>
      <c r="T59">
        <v>0.97162099999999996</v>
      </c>
      <c r="U59">
        <v>0.97162099999999996</v>
      </c>
      <c r="V59">
        <v>2.2200000000000001E-5</v>
      </c>
      <c r="W59">
        <v>2.2200000000000001E-5</v>
      </c>
      <c r="X59">
        <v>2.8356800000000001E-2</v>
      </c>
      <c r="Y59">
        <v>2.8356800000000001E-2</v>
      </c>
      <c r="Z59">
        <v>-144.33189999999999</v>
      </c>
      <c r="AA59">
        <v>-144.33189999999999</v>
      </c>
      <c r="AB59">
        <v>141.21879999999999</v>
      </c>
      <c r="AC59">
        <v>141.21879999999999</v>
      </c>
      <c r="AD59">
        <v>0</v>
      </c>
      <c r="AE59">
        <v>0</v>
      </c>
      <c r="AF59">
        <v>0</v>
      </c>
      <c r="AG59">
        <v>180</v>
      </c>
      <c r="AI59">
        <v>0.50290000000000001</v>
      </c>
      <c r="AJ59">
        <v>0.97696170000000004</v>
      </c>
      <c r="AK59">
        <v>0.97696170000000004</v>
      </c>
      <c r="AL59">
        <v>2.5199999999999999E-5</v>
      </c>
      <c r="AM59">
        <v>2.5199999999999999E-5</v>
      </c>
      <c r="AN59">
        <v>2.3013200000000001E-2</v>
      </c>
      <c r="AO59">
        <v>2.3013200000000001E-2</v>
      </c>
      <c r="AP59">
        <v>-132.94829999999999</v>
      </c>
      <c r="AQ59">
        <v>-132.94829999999999</v>
      </c>
      <c r="AR59">
        <v>161.2201</v>
      </c>
      <c r="AS59">
        <v>161.2201</v>
      </c>
      <c r="AT59">
        <v>0</v>
      </c>
      <c r="AU59">
        <v>0</v>
      </c>
      <c r="AV59">
        <v>0</v>
      </c>
      <c r="AW59">
        <v>180</v>
      </c>
      <c r="AY59">
        <v>0.50290000000000001</v>
      </c>
      <c r="AZ59">
        <v>3.9643999999999999E-3</v>
      </c>
      <c r="BA59">
        <v>3.9643999999999999E-3</v>
      </c>
      <c r="BB59">
        <v>0.99438409999999999</v>
      </c>
      <c r="BC59">
        <v>0.99438409999999999</v>
      </c>
      <c r="BD59">
        <v>1.6515E-3</v>
      </c>
      <c r="BE59">
        <v>1.6515E-3</v>
      </c>
      <c r="BF59">
        <v>-116.1532</v>
      </c>
      <c r="BG59">
        <v>-116.1532</v>
      </c>
      <c r="BH59">
        <v>-171.3218</v>
      </c>
      <c r="BI59">
        <v>-171.3218</v>
      </c>
      <c r="BJ59">
        <v>0</v>
      </c>
      <c r="BK59">
        <v>0</v>
      </c>
      <c r="BL59">
        <v>0</v>
      </c>
      <c r="BM59">
        <v>180</v>
      </c>
      <c r="BP59">
        <v>0.50290000000000001</v>
      </c>
      <c r="BQ59">
        <v>0.92079909999999998</v>
      </c>
      <c r="BR59">
        <v>0.92079909999999998</v>
      </c>
      <c r="BS59">
        <v>0</v>
      </c>
      <c r="BT59">
        <v>0</v>
      </c>
      <c r="BU59">
        <v>7.9200900000000005E-2</v>
      </c>
      <c r="BV59">
        <v>7.9200900000000005E-2</v>
      </c>
      <c r="BW59">
        <v>-13.307600000000001</v>
      </c>
      <c r="BX59">
        <v>-13.307600000000001</v>
      </c>
      <c r="BY59">
        <v>160.02359999999999</v>
      </c>
      <c r="BZ59">
        <v>160.02359999999999</v>
      </c>
      <c r="CA59">
        <v>0</v>
      </c>
      <c r="CB59">
        <v>0</v>
      </c>
      <c r="CC59">
        <v>0</v>
      </c>
      <c r="CD59">
        <v>180</v>
      </c>
    </row>
    <row r="60" spans="3:82">
      <c r="C60" s="771" t="s">
        <v>882</v>
      </c>
      <c r="D60" s="765"/>
      <c r="E60" s="766"/>
      <c r="F60" s="761"/>
      <c r="G60" s="762"/>
      <c r="H60" s="765"/>
      <c r="I60" s="766"/>
      <c r="K60" s="765"/>
      <c r="L60" s="766"/>
      <c r="M60" s="761" t="s">
        <v>856</v>
      </c>
      <c r="N60" s="762"/>
      <c r="O60" s="765"/>
      <c r="P60" s="766"/>
      <c r="S60">
        <v>0.50424999999999998</v>
      </c>
      <c r="T60">
        <v>0.97200050000000005</v>
      </c>
      <c r="U60">
        <v>0.97200050000000005</v>
      </c>
      <c r="V60">
        <v>2.1500000000000001E-5</v>
      </c>
      <c r="W60">
        <v>2.1500000000000001E-5</v>
      </c>
      <c r="X60">
        <v>2.7977999999999999E-2</v>
      </c>
      <c r="Y60">
        <v>2.7977999999999999E-2</v>
      </c>
      <c r="Z60">
        <v>-143.8775</v>
      </c>
      <c r="AA60">
        <v>-143.8775</v>
      </c>
      <c r="AB60">
        <v>141.9299</v>
      </c>
      <c r="AC60">
        <v>141.9299</v>
      </c>
      <c r="AD60">
        <v>0</v>
      </c>
      <c r="AE60">
        <v>0</v>
      </c>
      <c r="AF60">
        <v>0</v>
      </c>
      <c r="AG60">
        <v>180</v>
      </c>
      <c r="AI60">
        <v>0.50424999999999998</v>
      </c>
      <c r="AJ60">
        <v>0.97721290000000005</v>
      </c>
      <c r="AK60">
        <v>0.97721290000000005</v>
      </c>
      <c r="AL60">
        <v>2.4499999999999999E-5</v>
      </c>
      <c r="AM60">
        <v>2.4499999999999999E-5</v>
      </c>
      <c r="AN60">
        <v>2.2762600000000001E-2</v>
      </c>
      <c r="AO60">
        <v>2.2762600000000001E-2</v>
      </c>
      <c r="AP60">
        <v>-132.55690000000001</v>
      </c>
      <c r="AQ60">
        <v>-132.55690000000001</v>
      </c>
      <c r="AR60">
        <v>161.79669999999999</v>
      </c>
      <c r="AS60">
        <v>161.79669999999999</v>
      </c>
      <c r="AT60">
        <v>0</v>
      </c>
      <c r="AU60">
        <v>0</v>
      </c>
      <c r="AV60">
        <v>0</v>
      </c>
      <c r="AW60">
        <v>180</v>
      </c>
      <c r="AY60">
        <v>0.50424999999999998</v>
      </c>
      <c r="AZ60">
        <v>4.0511000000000002E-3</v>
      </c>
      <c r="BA60">
        <v>4.0511000000000002E-3</v>
      </c>
      <c r="BB60">
        <v>0.99431860000000005</v>
      </c>
      <c r="BC60">
        <v>0.99431860000000005</v>
      </c>
      <c r="BD60">
        <v>1.6302999999999999E-3</v>
      </c>
      <c r="BE60">
        <v>1.6302999999999999E-3</v>
      </c>
      <c r="BF60">
        <v>-114.7127</v>
      </c>
      <c r="BG60">
        <v>-114.7127</v>
      </c>
      <c r="BH60">
        <v>-171.96879999999999</v>
      </c>
      <c r="BI60">
        <v>-171.96879999999999</v>
      </c>
      <c r="BJ60">
        <v>0</v>
      </c>
      <c r="BK60">
        <v>0</v>
      </c>
      <c r="BL60">
        <v>0</v>
      </c>
      <c r="BM60">
        <v>180</v>
      </c>
      <c r="BP60">
        <v>0.50424999999999998</v>
      </c>
      <c r="BQ60">
        <v>0.92062630000000001</v>
      </c>
      <c r="BR60">
        <v>0.92062630000000001</v>
      </c>
      <c r="BS60">
        <v>0</v>
      </c>
      <c r="BT60">
        <v>0</v>
      </c>
      <c r="BU60">
        <v>7.9373700000000005E-2</v>
      </c>
      <c r="BV60">
        <v>7.9373700000000005E-2</v>
      </c>
      <c r="BW60">
        <v>-13.5701</v>
      </c>
      <c r="BX60">
        <v>-13.5701</v>
      </c>
      <c r="BY60">
        <v>160.06880000000001</v>
      </c>
      <c r="BZ60">
        <v>160.06880000000001</v>
      </c>
      <c r="CA60">
        <v>0</v>
      </c>
      <c r="CB60">
        <v>0</v>
      </c>
      <c r="CC60">
        <v>0</v>
      </c>
      <c r="CD60">
        <v>180</v>
      </c>
    </row>
    <row r="61" spans="3:82">
      <c r="C61" s="763" t="s">
        <v>883</v>
      </c>
      <c r="D61" s="765"/>
      <c r="E61" s="766"/>
      <c r="F61" s="765"/>
      <c r="G61" s="766"/>
      <c r="H61" s="761">
        <f>BBARx2</f>
        <v>0.99</v>
      </c>
      <c r="I61" s="762"/>
      <c r="K61" s="765"/>
      <c r="L61" s="766"/>
      <c r="M61" s="765"/>
      <c r="N61" s="766"/>
      <c r="O61" s="761">
        <f>BBARx2</f>
        <v>0.99</v>
      </c>
      <c r="P61" s="762"/>
      <c r="S61">
        <v>0.50560000000000005</v>
      </c>
      <c r="T61">
        <v>0.97236909999999999</v>
      </c>
      <c r="U61">
        <v>0.97236909999999999</v>
      </c>
      <c r="V61">
        <v>2.09E-5</v>
      </c>
      <c r="W61">
        <v>2.09E-5</v>
      </c>
      <c r="X61">
        <v>2.7610099999999999E-2</v>
      </c>
      <c r="Y61">
        <v>2.7610099999999999E-2</v>
      </c>
      <c r="Z61">
        <v>-143.42869999999999</v>
      </c>
      <c r="AA61">
        <v>-143.42869999999999</v>
      </c>
      <c r="AB61">
        <v>142.6309</v>
      </c>
      <c r="AC61">
        <v>142.6309</v>
      </c>
      <c r="AD61">
        <v>0</v>
      </c>
      <c r="AE61">
        <v>0</v>
      </c>
      <c r="AF61">
        <v>0</v>
      </c>
      <c r="AG61">
        <v>180</v>
      </c>
      <c r="AI61">
        <v>0.50560000000000005</v>
      </c>
      <c r="AJ61">
        <v>0.97745669999999996</v>
      </c>
      <c r="AK61">
        <v>0.97745669999999996</v>
      </c>
      <c r="AL61">
        <v>2.3799999999999999E-5</v>
      </c>
      <c r="AM61">
        <v>2.3799999999999999E-5</v>
      </c>
      <c r="AN61">
        <v>2.2519500000000001E-2</v>
      </c>
      <c r="AO61">
        <v>2.2519500000000001E-2</v>
      </c>
      <c r="AP61">
        <v>-132.1694</v>
      </c>
      <c r="AQ61">
        <v>-132.1694</v>
      </c>
      <c r="AR61">
        <v>162.36699999999999</v>
      </c>
      <c r="AS61">
        <v>162.36699999999999</v>
      </c>
      <c r="AT61">
        <v>0</v>
      </c>
      <c r="AU61">
        <v>0</v>
      </c>
      <c r="AV61">
        <v>0</v>
      </c>
      <c r="AW61">
        <v>180</v>
      </c>
      <c r="AY61">
        <v>0.50560000000000005</v>
      </c>
      <c r="AZ61">
        <v>4.1409000000000003E-3</v>
      </c>
      <c r="BA61">
        <v>4.1409000000000003E-3</v>
      </c>
      <c r="BB61">
        <v>0.99424990000000002</v>
      </c>
      <c r="BC61">
        <v>0.99424990000000002</v>
      </c>
      <c r="BD61">
        <v>1.6092000000000001E-3</v>
      </c>
      <c r="BE61">
        <v>1.6092000000000001E-3</v>
      </c>
      <c r="BF61">
        <v>-113.28019999999999</v>
      </c>
      <c r="BG61">
        <v>-113.28019999999999</v>
      </c>
      <c r="BH61">
        <v>-172.55670000000001</v>
      </c>
      <c r="BI61">
        <v>-172.55670000000001</v>
      </c>
      <c r="BJ61">
        <v>0</v>
      </c>
      <c r="BK61">
        <v>0</v>
      </c>
      <c r="BL61">
        <v>0</v>
      </c>
      <c r="BM61">
        <v>180</v>
      </c>
      <c r="BP61">
        <v>0.50560000000000005</v>
      </c>
      <c r="BQ61">
        <v>0.92045589999999999</v>
      </c>
      <c r="BR61">
        <v>0.92045589999999999</v>
      </c>
      <c r="BS61">
        <v>0</v>
      </c>
      <c r="BT61">
        <v>0</v>
      </c>
      <c r="BU61">
        <v>7.9544100000000006E-2</v>
      </c>
      <c r="BV61">
        <v>7.9544100000000006E-2</v>
      </c>
      <c r="BW61">
        <v>-13.831300000000001</v>
      </c>
      <c r="BX61">
        <v>-13.831300000000001</v>
      </c>
      <c r="BY61">
        <v>160.1138</v>
      </c>
      <c r="BZ61">
        <v>160.1138</v>
      </c>
      <c r="CA61">
        <v>0</v>
      </c>
      <c r="CB61">
        <v>0</v>
      </c>
      <c r="CC61">
        <v>0</v>
      </c>
      <c r="CD61">
        <v>180</v>
      </c>
    </row>
    <row r="62" spans="3:82">
      <c r="C62" s="763" t="s">
        <v>884</v>
      </c>
      <c r="D62" s="765"/>
      <c r="E62" s="766"/>
      <c r="F62" s="765"/>
      <c r="G62" s="766"/>
      <c r="H62" s="761">
        <f>BBARx2</f>
        <v>0.99</v>
      </c>
      <c r="I62" s="762"/>
      <c r="K62" s="765"/>
      <c r="L62" s="766"/>
      <c r="M62" s="765"/>
      <c r="N62" s="766"/>
      <c r="O62" s="761">
        <f>BBARx2</f>
        <v>0.99</v>
      </c>
      <c r="P62" s="762"/>
      <c r="S62">
        <v>0.50695000000000001</v>
      </c>
      <c r="T62">
        <v>0.97272700000000001</v>
      </c>
      <c r="U62">
        <v>0.97272700000000001</v>
      </c>
      <c r="V62">
        <v>2.02E-5</v>
      </c>
      <c r="W62">
        <v>2.02E-5</v>
      </c>
      <c r="X62">
        <v>2.7252700000000001E-2</v>
      </c>
      <c r="Y62">
        <v>2.7252700000000001E-2</v>
      </c>
      <c r="Z62">
        <v>-142.98560000000001</v>
      </c>
      <c r="AA62">
        <v>-142.98560000000001</v>
      </c>
      <c r="AB62">
        <v>143.3219</v>
      </c>
      <c r="AC62">
        <v>143.3219</v>
      </c>
      <c r="AD62">
        <v>0</v>
      </c>
      <c r="AE62">
        <v>0</v>
      </c>
      <c r="AF62">
        <v>0</v>
      </c>
      <c r="AG62">
        <v>180</v>
      </c>
      <c r="AI62">
        <v>0.50695000000000001</v>
      </c>
      <c r="AJ62">
        <v>0.97769329999999999</v>
      </c>
      <c r="AK62">
        <v>0.97769329999999999</v>
      </c>
      <c r="AL62">
        <v>2.3099999999999999E-5</v>
      </c>
      <c r="AM62">
        <v>2.3099999999999999E-5</v>
      </c>
      <c r="AN62">
        <v>2.2283600000000001E-2</v>
      </c>
      <c r="AO62">
        <v>2.2283600000000001E-2</v>
      </c>
      <c r="AP62">
        <v>-131.78559999999999</v>
      </c>
      <c r="AQ62">
        <v>-131.78559999999999</v>
      </c>
      <c r="AR62">
        <v>162.93109999999999</v>
      </c>
      <c r="AS62">
        <v>162.93109999999999</v>
      </c>
      <c r="AT62">
        <v>0</v>
      </c>
      <c r="AU62">
        <v>0</v>
      </c>
      <c r="AV62">
        <v>0</v>
      </c>
      <c r="AW62">
        <v>180</v>
      </c>
      <c r="AY62">
        <v>0.50695000000000001</v>
      </c>
      <c r="AZ62">
        <v>4.2332000000000003E-3</v>
      </c>
      <c r="BA62">
        <v>4.2332000000000003E-3</v>
      </c>
      <c r="BB62">
        <v>0.99417849999999997</v>
      </c>
      <c r="BC62">
        <v>0.99417849999999997</v>
      </c>
      <c r="BD62">
        <v>1.5881999999999999E-3</v>
      </c>
      <c r="BE62">
        <v>1.5881999999999999E-3</v>
      </c>
      <c r="BF62">
        <v>-111.8557</v>
      </c>
      <c r="BG62">
        <v>-111.8557</v>
      </c>
      <c r="BH62">
        <v>-173.0873</v>
      </c>
      <c r="BI62">
        <v>-173.0873</v>
      </c>
      <c r="BJ62">
        <v>0</v>
      </c>
      <c r="BK62">
        <v>0</v>
      </c>
      <c r="BL62">
        <v>0</v>
      </c>
      <c r="BM62">
        <v>180</v>
      </c>
      <c r="BP62">
        <v>0.50695000000000001</v>
      </c>
      <c r="BQ62">
        <v>0.92028770000000004</v>
      </c>
      <c r="BR62">
        <v>0.92028770000000004</v>
      </c>
      <c r="BS62">
        <v>0</v>
      </c>
      <c r="BT62">
        <v>0</v>
      </c>
      <c r="BU62">
        <v>7.97123E-2</v>
      </c>
      <c r="BV62">
        <v>7.97123E-2</v>
      </c>
      <c r="BW62">
        <v>-14.090999999999999</v>
      </c>
      <c r="BX62">
        <v>-14.090999999999999</v>
      </c>
      <c r="BY62">
        <v>160.15860000000001</v>
      </c>
      <c r="BZ62">
        <v>160.15860000000001</v>
      </c>
      <c r="CA62">
        <v>0</v>
      </c>
      <c r="CB62">
        <v>0</v>
      </c>
      <c r="CC62">
        <v>0</v>
      </c>
      <c r="CD62">
        <v>180</v>
      </c>
    </row>
    <row r="63" spans="3:82">
      <c r="C63" s="763" t="s">
        <v>885</v>
      </c>
      <c r="D63" s="765"/>
      <c r="E63" s="766"/>
      <c r="F63" s="765"/>
      <c r="G63" s="766"/>
      <c r="H63" s="761">
        <f>BBARx2</f>
        <v>0.99</v>
      </c>
      <c r="I63" s="762"/>
      <c r="K63" s="765"/>
      <c r="L63" s="766"/>
      <c r="M63" s="765"/>
      <c r="N63" s="766"/>
      <c r="O63" s="761">
        <f>BBARx2</f>
        <v>0.99</v>
      </c>
      <c r="P63" s="762"/>
      <c r="S63">
        <v>0.50829999999999997</v>
      </c>
      <c r="T63">
        <v>0.97307480000000002</v>
      </c>
      <c r="U63">
        <v>0.97307480000000002</v>
      </c>
      <c r="V63">
        <v>1.9599999999999999E-5</v>
      </c>
      <c r="W63">
        <v>1.9599999999999999E-5</v>
      </c>
      <c r="X63">
        <v>2.6905599999999998E-2</v>
      </c>
      <c r="Y63">
        <v>2.6905599999999998E-2</v>
      </c>
      <c r="Z63">
        <v>-142.5479</v>
      </c>
      <c r="AA63">
        <v>-142.5479</v>
      </c>
      <c r="AB63">
        <v>144.00319999999999</v>
      </c>
      <c r="AC63">
        <v>144.00319999999999</v>
      </c>
      <c r="AD63">
        <v>0</v>
      </c>
      <c r="AE63">
        <v>0</v>
      </c>
      <c r="AF63">
        <v>0</v>
      </c>
      <c r="AG63">
        <v>180</v>
      </c>
      <c r="AI63">
        <v>0.50829999999999997</v>
      </c>
      <c r="AJ63">
        <v>0.97792290000000004</v>
      </c>
      <c r="AK63">
        <v>0.97792290000000004</v>
      </c>
      <c r="AL63">
        <v>2.2500000000000001E-5</v>
      </c>
      <c r="AM63">
        <v>2.2500000000000001E-5</v>
      </c>
      <c r="AN63">
        <v>2.2054600000000001E-2</v>
      </c>
      <c r="AO63">
        <v>2.2054600000000001E-2</v>
      </c>
      <c r="AP63">
        <v>-131.40559999999999</v>
      </c>
      <c r="AQ63">
        <v>-131.40559999999999</v>
      </c>
      <c r="AR63">
        <v>163.48929999999999</v>
      </c>
      <c r="AS63">
        <v>163.48929999999999</v>
      </c>
      <c r="AT63">
        <v>0</v>
      </c>
      <c r="AU63">
        <v>0</v>
      </c>
      <c r="AV63">
        <v>0</v>
      </c>
      <c r="AW63">
        <v>180</v>
      </c>
      <c r="AY63">
        <v>0.50829999999999997</v>
      </c>
      <c r="AZ63">
        <v>4.3274999999999997E-3</v>
      </c>
      <c r="BA63">
        <v>4.3274999999999997E-3</v>
      </c>
      <c r="BB63">
        <v>0.99410509999999996</v>
      </c>
      <c r="BC63">
        <v>0.99410509999999996</v>
      </c>
      <c r="BD63">
        <v>1.5674E-3</v>
      </c>
      <c r="BE63">
        <v>1.5674E-3</v>
      </c>
      <c r="BF63">
        <v>-110.4391</v>
      </c>
      <c r="BG63">
        <v>-110.4391</v>
      </c>
      <c r="BH63">
        <v>-173.56290000000001</v>
      </c>
      <c r="BI63">
        <v>-173.56290000000001</v>
      </c>
      <c r="BJ63">
        <v>0</v>
      </c>
      <c r="BK63">
        <v>0</v>
      </c>
      <c r="BL63">
        <v>0</v>
      </c>
      <c r="BM63">
        <v>180</v>
      </c>
      <c r="BP63">
        <v>0.50829999999999997</v>
      </c>
      <c r="BQ63">
        <v>0.92012179999999999</v>
      </c>
      <c r="BR63">
        <v>0.92012179999999999</v>
      </c>
      <c r="BS63">
        <v>0</v>
      </c>
      <c r="BT63">
        <v>0</v>
      </c>
      <c r="BU63">
        <v>7.9878199999999996E-2</v>
      </c>
      <c r="BV63">
        <v>7.9878199999999996E-2</v>
      </c>
      <c r="BW63">
        <v>-14.349399999999999</v>
      </c>
      <c r="BX63">
        <v>-14.349399999999999</v>
      </c>
      <c r="BY63">
        <v>160.20330000000001</v>
      </c>
      <c r="BZ63">
        <v>160.20330000000001</v>
      </c>
      <c r="CA63">
        <v>0</v>
      </c>
      <c r="CB63">
        <v>0</v>
      </c>
      <c r="CC63">
        <v>0</v>
      </c>
      <c r="CD63">
        <v>180</v>
      </c>
    </row>
    <row r="64" spans="3:82">
      <c r="C64" s="763" t="s">
        <v>886</v>
      </c>
      <c r="D64" s="765"/>
      <c r="E64" s="766"/>
      <c r="F64" s="765"/>
      <c r="G64" s="766"/>
      <c r="H64" s="761" t="s">
        <v>856</v>
      </c>
      <c r="I64" s="762"/>
      <c r="K64" s="765"/>
      <c r="L64" s="766"/>
      <c r="M64" s="765"/>
      <c r="N64" s="766"/>
      <c r="O64" s="761" t="s">
        <v>856</v>
      </c>
      <c r="P64" s="762"/>
      <c r="S64">
        <v>0.50965000000000005</v>
      </c>
      <c r="T64">
        <v>0.97341270000000002</v>
      </c>
      <c r="U64">
        <v>0.97341270000000002</v>
      </c>
      <c r="V64">
        <v>1.91E-5</v>
      </c>
      <c r="W64">
        <v>1.91E-5</v>
      </c>
      <c r="X64">
        <v>2.65682E-2</v>
      </c>
      <c r="Y64">
        <v>2.65682E-2</v>
      </c>
      <c r="Z64">
        <v>-142.11580000000001</v>
      </c>
      <c r="AA64">
        <v>-142.11580000000001</v>
      </c>
      <c r="AB64">
        <v>144.67519999999999</v>
      </c>
      <c r="AC64">
        <v>144.67519999999999</v>
      </c>
      <c r="AD64">
        <v>0</v>
      </c>
      <c r="AE64">
        <v>0</v>
      </c>
      <c r="AF64">
        <v>0</v>
      </c>
      <c r="AG64">
        <v>180</v>
      </c>
      <c r="AI64">
        <v>0.50965000000000005</v>
      </c>
      <c r="AJ64">
        <v>0.9781455</v>
      </c>
      <c r="AK64">
        <v>0.9781455</v>
      </c>
      <c r="AL64">
        <v>2.19E-5</v>
      </c>
      <c r="AM64">
        <v>2.19E-5</v>
      </c>
      <c r="AN64">
        <v>2.1832600000000001E-2</v>
      </c>
      <c r="AO64">
        <v>2.1832600000000001E-2</v>
      </c>
      <c r="AP64">
        <v>-131.02969999999999</v>
      </c>
      <c r="AQ64">
        <v>-131.02969999999999</v>
      </c>
      <c r="AR64">
        <v>164.041</v>
      </c>
      <c r="AS64">
        <v>164.041</v>
      </c>
      <c r="AT64">
        <v>0</v>
      </c>
      <c r="AU64">
        <v>0</v>
      </c>
      <c r="AV64">
        <v>0</v>
      </c>
      <c r="AW64">
        <v>180</v>
      </c>
      <c r="AY64">
        <v>0.50965000000000005</v>
      </c>
      <c r="AZ64">
        <v>4.4232000000000004E-3</v>
      </c>
      <c r="BA64">
        <v>4.4232000000000004E-3</v>
      </c>
      <c r="BB64">
        <v>0.99403010000000003</v>
      </c>
      <c r="BC64">
        <v>0.99403010000000003</v>
      </c>
      <c r="BD64">
        <v>1.5467E-3</v>
      </c>
      <c r="BE64">
        <v>1.5467E-3</v>
      </c>
      <c r="BF64">
        <v>-109.0303</v>
      </c>
      <c r="BG64">
        <v>-109.0303</v>
      </c>
      <c r="BH64">
        <v>-173.98589999999999</v>
      </c>
      <c r="BI64">
        <v>-173.98589999999999</v>
      </c>
      <c r="BJ64">
        <v>0</v>
      </c>
      <c r="BK64">
        <v>0</v>
      </c>
      <c r="BL64">
        <v>0</v>
      </c>
      <c r="BM64">
        <v>180</v>
      </c>
      <c r="BP64">
        <v>0.50965000000000005</v>
      </c>
      <c r="BQ64">
        <v>0.91995819999999995</v>
      </c>
      <c r="BR64">
        <v>0.91995819999999995</v>
      </c>
      <c r="BS64">
        <v>0</v>
      </c>
      <c r="BT64">
        <v>0</v>
      </c>
      <c r="BU64">
        <v>8.0041799999999996E-2</v>
      </c>
      <c r="BV64">
        <v>8.0041799999999996E-2</v>
      </c>
      <c r="BW64">
        <v>-14.606400000000001</v>
      </c>
      <c r="BX64">
        <v>-14.606400000000001</v>
      </c>
      <c r="BY64">
        <v>160.24770000000001</v>
      </c>
      <c r="BZ64">
        <v>160.24770000000001</v>
      </c>
      <c r="CA64">
        <v>0</v>
      </c>
      <c r="CB64">
        <v>0</v>
      </c>
      <c r="CC64">
        <v>0</v>
      </c>
      <c r="CD64">
        <v>180</v>
      </c>
    </row>
    <row r="65" spans="3:82">
      <c r="C65" s="772" t="s">
        <v>522</v>
      </c>
      <c r="D65" s="761"/>
      <c r="E65" s="762"/>
      <c r="F65" s="761"/>
      <c r="G65" s="762"/>
      <c r="H65" s="761"/>
      <c r="I65" s="762"/>
      <c r="K65" s="761"/>
      <c r="L65" s="762"/>
      <c r="M65" s="761"/>
      <c r="N65" s="762"/>
      <c r="O65" s="761"/>
      <c r="P65" s="762"/>
      <c r="S65">
        <v>0.51100000000000001</v>
      </c>
      <c r="T65">
        <v>0.97374110000000003</v>
      </c>
      <c r="U65">
        <v>0.97374110000000003</v>
      </c>
      <c r="V65">
        <v>1.8499999999999999E-5</v>
      </c>
      <c r="W65">
        <v>1.8499999999999999E-5</v>
      </c>
      <c r="X65">
        <v>2.6240400000000001E-2</v>
      </c>
      <c r="Y65">
        <v>2.6240400000000001E-2</v>
      </c>
      <c r="Z65">
        <v>-141.68879999999999</v>
      </c>
      <c r="AA65">
        <v>-141.68879999999999</v>
      </c>
      <c r="AB65">
        <v>145.33799999999999</v>
      </c>
      <c r="AC65">
        <v>145.33799999999999</v>
      </c>
      <c r="AD65">
        <v>0</v>
      </c>
      <c r="AE65">
        <v>0</v>
      </c>
      <c r="AF65">
        <v>0</v>
      </c>
      <c r="AG65">
        <v>180</v>
      </c>
      <c r="AI65">
        <v>0.51100000000000001</v>
      </c>
      <c r="AJ65">
        <v>0.97836160000000005</v>
      </c>
      <c r="AK65">
        <v>0.97836160000000005</v>
      </c>
      <c r="AL65">
        <v>2.1299999999999999E-5</v>
      </c>
      <c r="AM65">
        <v>2.1299999999999999E-5</v>
      </c>
      <c r="AN65">
        <v>2.16171E-2</v>
      </c>
      <c r="AO65">
        <v>2.16171E-2</v>
      </c>
      <c r="AP65">
        <v>-130.6575</v>
      </c>
      <c r="AQ65">
        <v>-130.6575</v>
      </c>
      <c r="AR65">
        <v>164.58690000000001</v>
      </c>
      <c r="AS65">
        <v>164.58690000000001</v>
      </c>
      <c r="AT65">
        <v>0</v>
      </c>
      <c r="AU65">
        <v>0</v>
      </c>
      <c r="AV65">
        <v>0</v>
      </c>
      <c r="AW65">
        <v>180</v>
      </c>
      <c r="AY65">
        <v>0.51100000000000001</v>
      </c>
      <c r="AZ65">
        <v>4.5198E-3</v>
      </c>
      <c r="BA65">
        <v>4.5198E-3</v>
      </c>
      <c r="BB65">
        <v>0.99395409999999995</v>
      </c>
      <c r="BC65">
        <v>0.99395409999999995</v>
      </c>
      <c r="BD65">
        <v>1.526E-3</v>
      </c>
      <c r="BE65">
        <v>1.526E-3</v>
      </c>
      <c r="BF65">
        <v>-107.6293</v>
      </c>
      <c r="BG65">
        <v>-107.6293</v>
      </c>
      <c r="BH65">
        <v>-174.3587</v>
      </c>
      <c r="BI65">
        <v>-174.3587</v>
      </c>
      <c r="BJ65">
        <v>0</v>
      </c>
      <c r="BK65">
        <v>0</v>
      </c>
      <c r="BL65">
        <v>0</v>
      </c>
      <c r="BM65">
        <v>180</v>
      </c>
      <c r="BP65">
        <v>0.51100000000000001</v>
      </c>
      <c r="BQ65">
        <v>0.91979679999999997</v>
      </c>
      <c r="BR65">
        <v>0.91979679999999997</v>
      </c>
      <c r="BS65">
        <v>0</v>
      </c>
      <c r="BT65">
        <v>0</v>
      </c>
      <c r="BU65">
        <v>8.0203200000000002E-2</v>
      </c>
      <c r="BV65">
        <v>8.0203200000000002E-2</v>
      </c>
      <c r="BW65">
        <v>-14.8621</v>
      </c>
      <c r="BX65">
        <v>-14.8621</v>
      </c>
      <c r="BY65">
        <v>160.292</v>
      </c>
      <c r="BZ65">
        <v>160.292</v>
      </c>
      <c r="CA65">
        <v>0</v>
      </c>
      <c r="CB65">
        <v>0</v>
      </c>
      <c r="CC65">
        <v>0</v>
      </c>
      <c r="CD65">
        <v>180</v>
      </c>
    </row>
    <row r="66" spans="3:82">
      <c r="C66" s="773" t="s">
        <v>887</v>
      </c>
      <c r="D66" s="774">
        <f>PRODUCT(D$14:D$32)*PRODUCT(D$38:D$48)*D$33*D$35*D$36</f>
        <v>0.2446591999298916</v>
      </c>
      <c r="E66" s="775">
        <f>PRODUCT(E12:E63)</f>
        <v>0.34316999999999998</v>
      </c>
      <c r="F66" s="774"/>
      <c r="G66" s="775"/>
      <c r="H66" s="774">
        <f>PRODUCT(H$14:H$32)*PRODUCT(H$61:H$64)*H$33*H$35*H$36</f>
        <v>0.36154918708975547</v>
      </c>
      <c r="I66" s="776">
        <f>PRODUCT(I14:I37)</f>
        <v>0.83699999999999997</v>
      </c>
      <c r="K66" s="774">
        <f>PRODUCT(K$14:K$32)*PRODUCT(K$38:K$48)*K$34*K$35*K$37</f>
        <v>0.47423079028268544</v>
      </c>
      <c r="L66" s="775">
        <f>PRODUCT(L14:L65)</f>
        <v>0.21695039999999999</v>
      </c>
      <c r="M66" s="774">
        <f>PRODUCT(M$14:M$32)*PRODUCT(M$38:M$38)*PRODUCT(M$41:M$45)*PRODUCT(M$49:M$60)*M$34*M$35*M$37*M$40</f>
        <v>0.42646914284484827</v>
      </c>
      <c r="N66" s="775">
        <f>PRODUCT(N14:N65)</f>
        <v>0.21695039999999999</v>
      </c>
      <c r="O66" s="774">
        <f>PRODUCT(O$14:O$32)*PRODUCT(O$61:O$64)*O$34*O$35*O$37</f>
        <v>0.5134115925535333</v>
      </c>
      <c r="P66" s="776">
        <f>PRODUCT(P14:P37)</f>
        <v>0.112995</v>
      </c>
      <c r="S66">
        <v>0.51234999999999997</v>
      </c>
      <c r="T66">
        <v>0.97406029999999999</v>
      </c>
      <c r="U66">
        <v>0.97406029999999999</v>
      </c>
      <c r="V66">
        <v>1.8E-5</v>
      </c>
      <c r="W66">
        <v>1.8E-5</v>
      </c>
      <c r="X66">
        <v>2.5921799999999998E-2</v>
      </c>
      <c r="Y66">
        <v>2.5921799999999998E-2</v>
      </c>
      <c r="Z66">
        <v>-141.26689999999999</v>
      </c>
      <c r="AA66">
        <v>-141.26689999999999</v>
      </c>
      <c r="AB66">
        <v>145.99199999999999</v>
      </c>
      <c r="AC66">
        <v>145.99199999999999</v>
      </c>
      <c r="AD66">
        <v>0</v>
      </c>
      <c r="AE66">
        <v>0</v>
      </c>
      <c r="AF66">
        <v>0</v>
      </c>
      <c r="AG66">
        <v>180</v>
      </c>
      <c r="AI66">
        <v>0.51234999999999997</v>
      </c>
      <c r="AJ66">
        <v>0.97857139999999998</v>
      </c>
      <c r="AK66">
        <v>0.97857139999999998</v>
      </c>
      <c r="AL66">
        <v>2.0800000000000001E-5</v>
      </c>
      <c r="AM66">
        <v>2.0800000000000001E-5</v>
      </c>
      <c r="AN66">
        <v>2.1407900000000001E-2</v>
      </c>
      <c r="AO66">
        <v>2.1407900000000001E-2</v>
      </c>
      <c r="AP66">
        <v>-130.2886</v>
      </c>
      <c r="AQ66">
        <v>-130.2886</v>
      </c>
      <c r="AR66">
        <v>165.12739999999999</v>
      </c>
      <c r="AS66">
        <v>165.12739999999999</v>
      </c>
      <c r="AT66">
        <v>0</v>
      </c>
      <c r="AU66">
        <v>0</v>
      </c>
      <c r="AV66">
        <v>0</v>
      </c>
      <c r="AW66">
        <v>180</v>
      </c>
      <c r="AY66">
        <v>0.51234999999999997</v>
      </c>
      <c r="AZ66">
        <v>4.6167999999999999E-3</v>
      </c>
      <c r="BA66">
        <v>4.6167999999999999E-3</v>
      </c>
      <c r="BB66">
        <v>0.99387760000000003</v>
      </c>
      <c r="BC66">
        <v>0.99387760000000003</v>
      </c>
      <c r="BD66">
        <v>1.5054999999999999E-3</v>
      </c>
      <c r="BE66">
        <v>1.5054999999999999E-3</v>
      </c>
      <c r="BF66">
        <v>-106.236</v>
      </c>
      <c r="BG66">
        <v>-106.236</v>
      </c>
      <c r="BH66">
        <v>-174.684</v>
      </c>
      <c r="BI66">
        <v>-174.684</v>
      </c>
      <c r="BJ66">
        <v>0</v>
      </c>
      <c r="BK66">
        <v>0</v>
      </c>
      <c r="BL66">
        <v>0</v>
      </c>
      <c r="BM66">
        <v>180</v>
      </c>
      <c r="BP66">
        <v>0.51234999999999997</v>
      </c>
      <c r="BQ66">
        <v>0.9196375</v>
      </c>
      <c r="BR66">
        <v>0.9196375</v>
      </c>
      <c r="BS66">
        <v>0</v>
      </c>
      <c r="BT66">
        <v>0</v>
      </c>
      <c r="BU66">
        <v>8.0362500000000003E-2</v>
      </c>
      <c r="BV66">
        <v>8.0362500000000003E-2</v>
      </c>
      <c r="BW66">
        <v>-15.1165</v>
      </c>
      <c r="BX66">
        <v>-15.1165</v>
      </c>
      <c r="BY66">
        <v>160.33609999999999</v>
      </c>
      <c r="BZ66">
        <v>160.33609999999999</v>
      </c>
      <c r="CA66">
        <v>0</v>
      </c>
      <c r="CB66">
        <v>0</v>
      </c>
      <c r="CC66">
        <v>0</v>
      </c>
      <c r="CD66">
        <v>180</v>
      </c>
    </row>
    <row r="67" spans="3:82">
      <c r="C67" s="777" t="s">
        <v>888</v>
      </c>
      <c r="D67" s="845">
        <f>D66*E66</f>
        <v>8.3959697639940892E-2</v>
      </c>
      <c r="E67" s="846"/>
      <c r="F67" s="845"/>
      <c r="G67" s="846"/>
      <c r="H67" s="845">
        <f>H66*I66</f>
        <v>0.30261666959412531</v>
      </c>
      <c r="I67" s="846"/>
      <c r="K67" s="845">
        <f>K66*L66</f>
        <v>0.10288455964414471</v>
      </c>
      <c r="L67" s="846"/>
      <c r="M67" s="845">
        <f>M66*N66</f>
        <v>9.2522651127846967E-2</v>
      </c>
      <c r="N67" s="846"/>
      <c r="O67" s="845">
        <f>O66*P66</f>
        <v>5.8012942900586492E-2</v>
      </c>
      <c r="P67" s="846"/>
      <c r="S67">
        <v>0.51370000000000005</v>
      </c>
      <c r="T67">
        <v>0.97437070000000003</v>
      </c>
      <c r="U67">
        <v>0.97437070000000003</v>
      </c>
      <c r="V67">
        <v>1.7499999999999998E-5</v>
      </c>
      <c r="W67">
        <v>1.7499999999999998E-5</v>
      </c>
      <c r="X67">
        <v>2.5611800000000001E-2</v>
      </c>
      <c r="Y67">
        <v>2.5611800000000001E-2</v>
      </c>
      <c r="Z67">
        <v>-140.8502</v>
      </c>
      <c r="AA67">
        <v>-140.8502</v>
      </c>
      <c r="AB67">
        <v>146.63720000000001</v>
      </c>
      <c r="AC67">
        <v>146.63720000000001</v>
      </c>
      <c r="AD67">
        <v>0</v>
      </c>
      <c r="AE67">
        <v>0</v>
      </c>
      <c r="AF67">
        <v>0</v>
      </c>
      <c r="AG67">
        <v>180</v>
      </c>
      <c r="AI67">
        <v>0.51370000000000005</v>
      </c>
      <c r="AJ67">
        <v>0.97877530000000001</v>
      </c>
      <c r="AK67">
        <v>0.97877530000000001</v>
      </c>
      <c r="AL67">
        <v>2.02E-5</v>
      </c>
      <c r="AM67">
        <v>2.02E-5</v>
      </c>
      <c r="AN67">
        <v>2.1204500000000001E-2</v>
      </c>
      <c r="AO67">
        <v>2.1204500000000001E-2</v>
      </c>
      <c r="AP67">
        <v>-129.92320000000001</v>
      </c>
      <c r="AQ67">
        <v>-129.92320000000001</v>
      </c>
      <c r="AR67">
        <v>165.66249999999999</v>
      </c>
      <c r="AS67">
        <v>165.66249999999999</v>
      </c>
      <c r="AT67">
        <v>0</v>
      </c>
      <c r="AU67">
        <v>0</v>
      </c>
      <c r="AV67">
        <v>0</v>
      </c>
      <c r="AW67">
        <v>180</v>
      </c>
      <c r="AY67">
        <v>0.51370000000000005</v>
      </c>
      <c r="AZ67">
        <v>4.7137000000000004E-3</v>
      </c>
      <c r="BA67">
        <v>4.7137000000000004E-3</v>
      </c>
      <c r="BB67">
        <v>0.99380109999999999</v>
      </c>
      <c r="BC67">
        <v>0.99380109999999999</v>
      </c>
      <c r="BD67">
        <v>1.4852000000000001E-3</v>
      </c>
      <c r="BE67">
        <v>1.4852000000000001E-3</v>
      </c>
      <c r="BF67">
        <v>-104.85039999999999</v>
      </c>
      <c r="BG67">
        <v>-104.85039999999999</v>
      </c>
      <c r="BH67">
        <v>-174.96449999999999</v>
      </c>
      <c r="BI67">
        <v>-174.96449999999999</v>
      </c>
      <c r="BJ67">
        <v>0</v>
      </c>
      <c r="BK67">
        <v>0</v>
      </c>
      <c r="BL67">
        <v>0</v>
      </c>
      <c r="BM67">
        <v>180</v>
      </c>
      <c r="BP67">
        <v>0.51370000000000005</v>
      </c>
      <c r="BQ67">
        <v>0.91948039999999998</v>
      </c>
      <c r="BR67">
        <v>0.91948039999999998</v>
      </c>
      <c r="BS67">
        <v>0</v>
      </c>
      <c r="BT67">
        <v>0</v>
      </c>
      <c r="BU67">
        <v>8.0519599999999997E-2</v>
      </c>
      <c r="BV67">
        <v>8.0519599999999997E-2</v>
      </c>
      <c r="BW67">
        <v>-15.369400000000001</v>
      </c>
      <c r="BX67">
        <v>-15.369400000000001</v>
      </c>
      <c r="BY67">
        <v>160.38</v>
      </c>
      <c r="BZ67">
        <v>160.38</v>
      </c>
      <c r="CA67">
        <v>0</v>
      </c>
      <c r="CB67">
        <v>0</v>
      </c>
      <c r="CC67">
        <v>0</v>
      </c>
      <c r="CD67">
        <v>180</v>
      </c>
    </row>
    <row r="68" spans="3:82">
      <c r="S68">
        <v>0.51505000000000001</v>
      </c>
      <c r="T68">
        <v>0.97467280000000001</v>
      </c>
      <c r="U68">
        <v>0.97467280000000001</v>
      </c>
      <c r="V68">
        <v>1.7E-5</v>
      </c>
      <c r="W68">
        <v>1.7E-5</v>
      </c>
      <c r="X68">
        <v>2.5310300000000001E-2</v>
      </c>
      <c r="Y68">
        <v>2.5310300000000001E-2</v>
      </c>
      <c r="Z68">
        <v>-140.4384</v>
      </c>
      <c r="AA68">
        <v>-140.4384</v>
      </c>
      <c r="AB68">
        <v>147.27379999999999</v>
      </c>
      <c r="AC68">
        <v>147.27379999999999</v>
      </c>
      <c r="AD68">
        <v>0</v>
      </c>
      <c r="AE68">
        <v>0</v>
      </c>
      <c r="AF68">
        <v>0</v>
      </c>
      <c r="AG68">
        <v>180</v>
      </c>
      <c r="AI68">
        <v>0.51505000000000001</v>
      </c>
      <c r="AJ68">
        <v>0.9789736</v>
      </c>
      <c r="AK68">
        <v>0.9789736</v>
      </c>
      <c r="AL68">
        <v>1.9700000000000001E-5</v>
      </c>
      <c r="AM68">
        <v>1.9700000000000001E-5</v>
      </c>
      <c r="AN68">
        <v>2.10067E-2</v>
      </c>
      <c r="AO68">
        <v>2.10067E-2</v>
      </c>
      <c r="AP68">
        <v>-129.56100000000001</v>
      </c>
      <c r="AQ68">
        <v>-129.56100000000001</v>
      </c>
      <c r="AR68">
        <v>166.19229999999999</v>
      </c>
      <c r="AS68">
        <v>166.19229999999999</v>
      </c>
      <c r="AT68">
        <v>0</v>
      </c>
      <c r="AU68">
        <v>0</v>
      </c>
      <c r="AV68">
        <v>0</v>
      </c>
      <c r="AW68">
        <v>180</v>
      </c>
      <c r="AY68">
        <v>0.51505000000000001</v>
      </c>
      <c r="AZ68">
        <v>4.8101000000000003E-3</v>
      </c>
      <c r="BA68">
        <v>4.8101000000000003E-3</v>
      </c>
      <c r="BB68">
        <v>0.99372499999999997</v>
      </c>
      <c r="BC68">
        <v>0.99372499999999997</v>
      </c>
      <c r="BD68">
        <v>1.4649000000000001E-3</v>
      </c>
      <c r="BE68">
        <v>1.4649000000000001E-3</v>
      </c>
      <c r="BF68">
        <v>-103.4723</v>
      </c>
      <c r="BG68">
        <v>-103.4723</v>
      </c>
      <c r="BH68">
        <v>-175.2028</v>
      </c>
      <c r="BI68">
        <v>-175.2028</v>
      </c>
      <c r="BJ68">
        <v>0</v>
      </c>
      <c r="BK68">
        <v>0</v>
      </c>
      <c r="BL68">
        <v>0</v>
      </c>
      <c r="BM68">
        <v>180</v>
      </c>
      <c r="BP68">
        <v>0.51505000000000001</v>
      </c>
      <c r="BQ68">
        <v>0.91932550000000002</v>
      </c>
      <c r="BR68">
        <v>0.91932550000000002</v>
      </c>
      <c r="BS68">
        <v>0</v>
      </c>
      <c r="BT68">
        <v>0</v>
      </c>
      <c r="BU68">
        <v>8.0674499999999996E-2</v>
      </c>
      <c r="BV68">
        <v>8.0674499999999996E-2</v>
      </c>
      <c r="BW68">
        <v>-15.6211</v>
      </c>
      <c r="BX68">
        <v>-15.6211</v>
      </c>
      <c r="BY68">
        <v>160.4237</v>
      </c>
      <c r="BZ68">
        <v>160.4237</v>
      </c>
      <c r="CA68">
        <v>0</v>
      </c>
      <c r="CB68">
        <v>0</v>
      </c>
      <c r="CC68">
        <v>0</v>
      </c>
      <c r="CD68">
        <v>180</v>
      </c>
    </row>
    <row r="69" spans="3:82">
      <c r="C69" s="738" t="s">
        <v>889</v>
      </c>
      <c r="S69">
        <v>0.51639999999999997</v>
      </c>
      <c r="T69">
        <v>0.97496660000000002</v>
      </c>
      <c r="U69">
        <v>0.97496660000000002</v>
      </c>
      <c r="V69">
        <v>1.6500000000000001E-5</v>
      </c>
      <c r="W69">
        <v>1.6500000000000001E-5</v>
      </c>
      <c r="X69">
        <v>2.5016900000000002E-2</v>
      </c>
      <c r="Y69">
        <v>2.5016900000000002E-2</v>
      </c>
      <c r="Z69">
        <v>-140.03129999999999</v>
      </c>
      <c r="AA69">
        <v>-140.03129999999999</v>
      </c>
      <c r="AB69">
        <v>147.9023</v>
      </c>
      <c r="AC69">
        <v>147.9023</v>
      </c>
      <c r="AD69">
        <v>0</v>
      </c>
      <c r="AE69">
        <v>0</v>
      </c>
      <c r="AF69">
        <v>0</v>
      </c>
      <c r="AG69">
        <v>180</v>
      </c>
      <c r="AI69">
        <v>0.51639999999999997</v>
      </c>
      <c r="AJ69">
        <v>0.97916630000000004</v>
      </c>
      <c r="AK69">
        <v>0.97916630000000004</v>
      </c>
      <c r="AL69">
        <v>1.9199999999999999E-5</v>
      </c>
      <c r="AM69">
        <v>1.9199999999999999E-5</v>
      </c>
      <c r="AN69">
        <v>2.08145E-2</v>
      </c>
      <c r="AO69">
        <v>2.08145E-2</v>
      </c>
      <c r="AP69">
        <v>-129.202</v>
      </c>
      <c r="AQ69">
        <v>-129.202</v>
      </c>
      <c r="AR69">
        <v>166.71729999999999</v>
      </c>
      <c r="AS69">
        <v>166.71729999999999</v>
      </c>
      <c r="AT69">
        <v>0</v>
      </c>
      <c r="AU69">
        <v>0</v>
      </c>
      <c r="AV69">
        <v>0</v>
      </c>
      <c r="AW69">
        <v>180</v>
      </c>
      <c r="AY69">
        <v>0.51639999999999997</v>
      </c>
      <c r="AZ69">
        <v>4.9053999999999999E-3</v>
      </c>
      <c r="BA69">
        <v>4.9053999999999999E-3</v>
      </c>
      <c r="BB69">
        <v>0.99364989999999997</v>
      </c>
      <c r="BC69">
        <v>0.99364989999999997</v>
      </c>
      <c r="BD69">
        <v>1.4446999999999999E-3</v>
      </c>
      <c r="BE69">
        <v>1.4446999999999999E-3</v>
      </c>
      <c r="BF69">
        <v>-102.1018</v>
      </c>
      <c r="BG69">
        <v>-102.1018</v>
      </c>
      <c r="BH69">
        <v>-175.4016</v>
      </c>
      <c r="BI69">
        <v>-175.4016</v>
      </c>
      <c r="BJ69">
        <v>0</v>
      </c>
      <c r="BK69">
        <v>0</v>
      </c>
      <c r="BL69">
        <v>0</v>
      </c>
      <c r="BM69">
        <v>180</v>
      </c>
      <c r="BP69">
        <v>0.51639999999999997</v>
      </c>
      <c r="BQ69">
        <v>0.91917269999999995</v>
      </c>
      <c r="BR69">
        <v>0.91917269999999995</v>
      </c>
      <c r="BS69">
        <v>0</v>
      </c>
      <c r="BT69">
        <v>0</v>
      </c>
      <c r="BU69">
        <v>8.0827300000000005E-2</v>
      </c>
      <c r="BV69">
        <v>8.0827300000000005E-2</v>
      </c>
      <c r="BW69">
        <v>-15.8714</v>
      </c>
      <c r="BX69">
        <v>-15.8714</v>
      </c>
      <c r="BY69">
        <v>160.46719999999999</v>
      </c>
      <c r="BZ69">
        <v>160.46719999999999</v>
      </c>
      <c r="CA69">
        <v>0</v>
      </c>
      <c r="CB69">
        <v>0</v>
      </c>
      <c r="CC69">
        <v>0</v>
      </c>
      <c r="CD69">
        <v>180</v>
      </c>
    </row>
    <row r="70" spans="3:82">
      <c r="C70" s="773" t="s">
        <v>887</v>
      </c>
      <c r="D70" s="774">
        <f>D66-D66*0.1</f>
        <v>0.22019327993690244</v>
      </c>
      <c r="E70" s="775">
        <v>0.34316999999999998</v>
      </c>
      <c r="F70" s="774"/>
      <c r="G70" s="775"/>
      <c r="H70" s="774">
        <f>H66-H66*0.1</f>
        <v>0.32539426838077995</v>
      </c>
      <c r="I70" s="776">
        <v>0.83699999999999997</v>
      </c>
      <c r="K70" s="774">
        <f>K66-K66*0.1</f>
        <v>0.42680771125441691</v>
      </c>
      <c r="L70" s="775">
        <v>0.21695039999999999</v>
      </c>
      <c r="M70" s="774">
        <f>M66-M66*0.1</f>
        <v>0.38382222856036341</v>
      </c>
      <c r="N70" s="775">
        <v>0.21695039999999999</v>
      </c>
      <c r="O70" s="774">
        <f>O66-O66*0.1</f>
        <v>0.46207043329817998</v>
      </c>
      <c r="P70" s="776">
        <v>0.22599</v>
      </c>
      <c r="S70">
        <v>0.51775000000000004</v>
      </c>
      <c r="T70">
        <v>0.97525240000000002</v>
      </c>
      <c r="U70">
        <v>0.97525240000000002</v>
      </c>
      <c r="V70">
        <v>1.5999999999999999E-5</v>
      </c>
      <c r="W70">
        <v>1.5999999999999999E-5</v>
      </c>
      <c r="X70">
        <v>2.4731599999999999E-2</v>
      </c>
      <c r="Y70">
        <v>2.4731599999999999E-2</v>
      </c>
      <c r="Z70">
        <v>-139.62870000000001</v>
      </c>
      <c r="AA70">
        <v>-139.62870000000001</v>
      </c>
      <c r="AB70">
        <v>148.52289999999999</v>
      </c>
      <c r="AC70">
        <v>148.52289999999999</v>
      </c>
      <c r="AD70">
        <v>0</v>
      </c>
      <c r="AE70">
        <v>0</v>
      </c>
      <c r="AF70">
        <v>0</v>
      </c>
      <c r="AG70">
        <v>180</v>
      </c>
      <c r="AI70">
        <v>0.51775000000000004</v>
      </c>
      <c r="AJ70">
        <v>0.97935360000000005</v>
      </c>
      <c r="AK70">
        <v>0.97935360000000005</v>
      </c>
      <c r="AL70">
        <v>1.8700000000000001E-5</v>
      </c>
      <c r="AM70">
        <v>1.8700000000000001E-5</v>
      </c>
      <c r="AN70">
        <v>2.0627699999999999E-2</v>
      </c>
      <c r="AO70">
        <v>2.0627699999999999E-2</v>
      </c>
      <c r="AP70">
        <v>-128.846</v>
      </c>
      <c r="AQ70">
        <v>-128.846</v>
      </c>
      <c r="AR70">
        <v>167.2373</v>
      </c>
      <c r="AS70">
        <v>167.2373</v>
      </c>
      <c r="AT70">
        <v>0</v>
      </c>
      <c r="AU70">
        <v>0</v>
      </c>
      <c r="AV70">
        <v>0</v>
      </c>
      <c r="AW70">
        <v>180</v>
      </c>
      <c r="AY70">
        <v>0.51775000000000004</v>
      </c>
      <c r="AZ70">
        <v>4.9979000000000004E-3</v>
      </c>
      <c r="BA70">
        <v>4.9979000000000004E-3</v>
      </c>
      <c r="BB70">
        <v>0.99356999999999995</v>
      </c>
      <c r="BC70">
        <v>0.99356999999999995</v>
      </c>
      <c r="BD70">
        <v>1.4321E-3</v>
      </c>
      <c r="BE70">
        <v>1.4321E-3</v>
      </c>
      <c r="BF70">
        <v>-100.7492</v>
      </c>
      <c r="BG70">
        <v>-100.7492</v>
      </c>
      <c r="BH70">
        <v>-175.56729999999999</v>
      </c>
      <c r="BI70">
        <v>-175.56729999999999</v>
      </c>
      <c r="BJ70">
        <v>0</v>
      </c>
      <c r="BK70">
        <v>0</v>
      </c>
      <c r="BL70">
        <v>0</v>
      </c>
      <c r="BM70">
        <v>180</v>
      </c>
      <c r="BP70">
        <v>0.51775000000000004</v>
      </c>
      <c r="BQ70">
        <v>0.91902189999999995</v>
      </c>
      <c r="BR70">
        <v>0.91902189999999995</v>
      </c>
      <c r="BS70">
        <v>0</v>
      </c>
      <c r="BT70">
        <v>0</v>
      </c>
      <c r="BU70">
        <v>8.0978099999999997E-2</v>
      </c>
      <c r="BV70">
        <v>8.0978099999999997E-2</v>
      </c>
      <c r="BW70">
        <v>-16.1204</v>
      </c>
      <c r="BX70">
        <v>-16.1204</v>
      </c>
      <c r="BY70">
        <v>160.51060000000001</v>
      </c>
      <c r="BZ70">
        <v>160.51060000000001</v>
      </c>
      <c r="CA70">
        <v>0</v>
      </c>
      <c r="CB70">
        <v>0</v>
      </c>
      <c r="CC70">
        <v>0</v>
      </c>
      <c r="CD70">
        <v>180</v>
      </c>
    </row>
    <row r="71" spans="3:82">
      <c r="C71" s="777" t="s">
        <v>888</v>
      </c>
      <c r="D71" s="845">
        <f>D70*E70</f>
        <v>7.5563727875946798E-2</v>
      </c>
      <c r="E71" s="846"/>
      <c r="F71" s="845"/>
      <c r="G71" s="846"/>
      <c r="H71" s="845">
        <f>H70*I70</f>
        <v>0.2723550026347128</v>
      </c>
      <c r="I71" s="846"/>
      <c r="K71" s="845">
        <f>K70*L70</f>
        <v>9.2596103679730243E-2</v>
      </c>
      <c r="L71" s="846"/>
      <c r="M71" s="845">
        <f>M70*N70</f>
        <v>8.3270386015062259E-2</v>
      </c>
      <c r="N71" s="846"/>
      <c r="O71" s="845">
        <f>O70*P70</f>
        <v>0.10442329722105569</v>
      </c>
      <c r="P71" s="846"/>
      <c r="S71">
        <v>0.51910000000000001</v>
      </c>
      <c r="T71">
        <v>0.97553049999999997</v>
      </c>
      <c r="U71">
        <v>0.97553049999999997</v>
      </c>
      <c r="V71">
        <v>1.56E-5</v>
      </c>
      <c r="W71">
        <v>1.56E-5</v>
      </c>
      <c r="X71">
        <v>2.4453900000000001E-2</v>
      </c>
      <c r="Y71">
        <v>2.4453900000000001E-2</v>
      </c>
      <c r="Z71">
        <v>-139.23060000000001</v>
      </c>
      <c r="AA71">
        <v>-139.23060000000001</v>
      </c>
      <c r="AB71">
        <v>149.13570000000001</v>
      </c>
      <c r="AC71">
        <v>149.13570000000001</v>
      </c>
      <c r="AD71">
        <v>0</v>
      </c>
      <c r="AE71">
        <v>0</v>
      </c>
      <c r="AF71">
        <v>0</v>
      </c>
      <c r="AG71">
        <v>180</v>
      </c>
      <c r="AI71">
        <v>0.51910000000000001</v>
      </c>
      <c r="AJ71">
        <v>0.97953570000000001</v>
      </c>
      <c r="AK71">
        <v>0.97953570000000001</v>
      </c>
      <c r="AL71">
        <v>1.8199999999999999E-5</v>
      </c>
      <c r="AM71">
        <v>1.8199999999999999E-5</v>
      </c>
      <c r="AN71">
        <v>2.0446099999999998E-2</v>
      </c>
      <c r="AO71">
        <v>2.0446099999999998E-2</v>
      </c>
      <c r="AP71">
        <v>-128.4931</v>
      </c>
      <c r="AQ71">
        <v>-128.4931</v>
      </c>
      <c r="AR71">
        <v>167.7527</v>
      </c>
      <c r="AS71">
        <v>167.7527</v>
      </c>
      <c r="AT71">
        <v>0</v>
      </c>
      <c r="AU71">
        <v>0</v>
      </c>
      <c r="AV71">
        <v>0</v>
      </c>
      <c r="AW71">
        <v>180</v>
      </c>
      <c r="AY71">
        <v>0.51910000000000001</v>
      </c>
      <c r="AZ71">
        <v>5.0875E-3</v>
      </c>
      <c r="BA71">
        <v>5.0875E-3</v>
      </c>
      <c r="BB71">
        <v>0.99348709999999996</v>
      </c>
      <c r="BC71">
        <v>0.99348709999999996</v>
      </c>
      <c r="BD71">
        <v>1.4254000000000001E-3</v>
      </c>
      <c r="BE71">
        <v>1.4254000000000001E-3</v>
      </c>
      <c r="BF71">
        <v>-99.412400000000005</v>
      </c>
      <c r="BG71">
        <v>-99.412400000000005</v>
      </c>
      <c r="BH71">
        <v>-175.70179999999999</v>
      </c>
      <c r="BI71">
        <v>-175.70179999999999</v>
      </c>
      <c r="BJ71">
        <v>0</v>
      </c>
      <c r="BK71">
        <v>0</v>
      </c>
      <c r="BL71">
        <v>0</v>
      </c>
      <c r="BM71">
        <v>180</v>
      </c>
      <c r="BP71">
        <v>0.51910000000000001</v>
      </c>
      <c r="BQ71">
        <v>0.9188733</v>
      </c>
      <c r="BR71">
        <v>0.9188733</v>
      </c>
      <c r="BS71">
        <v>0</v>
      </c>
      <c r="BT71">
        <v>0</v>
      </c>
      <c r="BU71">
        <v>8.1126699999999996E-2</v>
      </c>
      <c r="BV71">
        <v>8.1126699999999996E-2</v>
      </c>
      <c r="BW71">
        <v>-16.367999999999999</v>
      </c>
      <c r="BX71">
        <v>-16.367999999999999</v>
      </c>
      <c r="BY71">
        <v>160.55369999999999</v>
      </c>
      <c r="BZ71">
        <v>160.55369999999999</v>
      </c>
      <c r="CA71">
        <v>0</v>
      </c>
      <c r="CB71">
        <v>0</v>
      </c>
      <c r="CC71">
        <v>0</v>
      </c>
      <c r="CD71">
        <v>180</v>
      </c>
    </row>
    <row r="72" spans="3:82">
      <c r="S72">
        <v>0.52044999999999997</v>
      </c>
      <c r="T72">
        <v>0.97580109999999998</v>
      </c>
      <c r="U72">
        <v>0.97580109999999998</v>
      </c>
      <c r="V72">
        <v>1.52E-5</v>
      </c>
      <c r="W72">
        <v>1.52E-5</v>
      </c>
      <c r="X72">
        <v>2.4183699999999999E-2</v>
      </c>
      <c r="Y72">
        <v>2.4183699999999999E-2</v>
      </c>
      <c r="Z72">
        <v>-138.83680000000001</v>
      </c>
      <c r="AA72">
        <v>-138.83680000000001</v>
      </c>
      <c r="AB72">
        <v>149.74109999999999</v>
      </c>
      <c r="AC72">
        <v>149.74109999999999</v>
      </c>
      <c r="AD72">
        <v>0</v>
      </c>
      <c r="AE72">
        <v>0</v>
      </c>
      <c r="AF72">
        <v>0</v>
      </c>
      <c r="AG72">
        <v>180</v>
      </c>
      <c r="AI72">
        <v>0.52044999999999997</v>
      </c>
      <c r="AJ72">
        <v>0.97971269999999999</v>
      </c>
      <c r="AK72">
        <v>0.97971269999999999</v>
      </c>
      <c r="AL72">
        <v>1.7799999999999999E-5</v>
      </c>
      <c r="AM72">
        <v>1.7799999999999999E-5</v>
      </c>
      <c r="AN72">
        <v>2.0269499999999999E-2</v>
      </c>
      <c r="AO72">
        <v>2.0269499999999999E-2</v>
      </c>
      <c r="AP72">
        <v>-128.1431</v>
      </c>
      <c r="AQ72">
        <v>-128.1431</v>
      </c>
      <c r="AR72">
        <v>168.2636</v>
      </c>
      <c r="AS72">
        <v>168.2636</v>
      </c>
      <c r="AT72">
        <v>0</v>
      </c>
      <c r="AU72">
        <v>0</v>
      </c>
      <c r="AV72">
        <v>0</v>
      </c>
      <c r="AW72">
        <v>180</v>
      </c>
      <c r="AY72">
        <v>0.52044999999999997</v>
      </c>
      <c r="AZ72">
        <v>5.1749999999999999E-3</v>
      </c>
      <c r="BA72">
        <v>5.1749999999999999E-3</v>
      </c>
      <c r="BB72">
        <v>0.99340629999999996</v>
      </c>
      <c r="BC72">
        <v>0.99340629999999996</v>
      </c>
      <c r="BD72">
        <v>1.4187E-3</v>
      </c>
      <c r="BE72">
        <v>1.4187E-3</v>
      </c>
      <c r="BF72">
        <v>-98.082800000000006</v>
      </c>
      <c r="BG72">
        <v>-98.082800000000006</v>
      </c>
      <c r="BH72">
        <v>-175.80449999999999</v>
      </c>
      <c r="BI72">
        <v>-175.80449999999999</v>
      </c>
      <c r="BJ72">
        <v>0</v>
      </c>
      <c r="BK72">
        <v>0</v>
      </c>
      <c r="BL72">
        <v>0</v>
      </c>
      <c r="BM72">
        <v>180</v>
      </c>
      <c r="BP72">
        <v>0.52044999999999997</v>
      </c>
      <c r="BQ72">
        <v>0.91872670000000001</v>
      </c>
      <c r="BR72">
        <v>0.91872670000000001</v>
      </c>
      <c r="BS72">
        <v>0</v>
      </c>
      <c r="BT72">
        <v>0</v>
      </c>
      <c r="BU72">
        <v>8.1273300000000007E-2</v>
      </c>
      <c r="BV72">
        <v>8.1273300000000007E-2</v>
      </c>
      <c r="BW72">
        <v>-16.6144</v>
      </c>
      <c r="BX72">
        <v>-16.6144</v>
      </c>
      <c r="BY72">
        <v>160.5967</v>
      </c>
      <c r="BZ72">
        <v>160.5967</v>
      </c>
      <c r="CA72">
        <v>0</v>
      </c>
      <c r="CB72">
        <v>0</v>
      </c>
      <c r="CC72">
        <v>0</v>
      </c>
      <c r="CD72">
        <v>180</v>
      </c>
    </row>
    <row r="73" spans="3:82">
      <c r="D73" s="778"/>
      <c r="E73" s="778"/>
      <c r="F73" s="778"/>
      <c r="G73" s="778"/>
      <c r="H73" s="778"/>
      <c r="I73" s="778"/>
      <c r="J73" s="778"/>
      <c r="K73" s="778"/>
      <c r="L73" s="778"/>
      <c r="M73" s="778"/>
      <c r="N73" s="778"/>
      <c r="O73" s="778"/>
      <c r="P73" s="778"/>
      <c r="S73">
        <v>0.52180000000000004</v>
      </c>
      <c r="T73">
        <v>0.97606459999999995</v>
      </c>
      <c r="U73">
        <v>0.97606459999999995</v>
      </c>
      <c r="V73">
        <v>1.4800000000000001E-5</v>
      </c>
      <c r="W73">
        <v>1.4800000000000001E-5</v>
      </c>
      <c r="X73">
        <v>2.39207E-2</v>
      </c>
      <c r="Y73">
        <v>2.39207E-2</v>
      </c>
      <c r="Z73">
        <v>-138.44720000000001</v>
      </c>
      <c r="AA73">
        <v>-138.44720000000001</v>
      </c>
      <c r="AB73">
        <v>150.3391</v>
      </c>
      <c r="AC73">
        <v>150.3391</v>
      </c>
      <c r="AD73">
        <v>0</v>
      </c>
      <c r="AE73">
        <v>0</v>
      </c>
      <c r="AF73">
        <v>0</v>
      </c>
      <c r="AG73">
        <v>180</v>
      </c>
      <c r="AI73">
        <v>0.52180000000000004</v>
      </c>
      <c r="AJ73">
        <v>0.9798848</v>
      </c>
      <c r="AK73">
        <v>0.9798848</v>
      </c>
      <c r="AL73">
        <v>1.7399999999999999E-5</v>
      </c>
      <c r="AM73">
        <v>1.7399999999999999E-5</v>
      </c>
      <c r="AN73">
        <v>2.0097799999999999E-2</v>
      </c>
      <c r="AO73">
        <v>2.0097799999999999E-2</v>
      </c>
      <c r="AP73">
        <v>-127.79600000000001</v>
      </c>
      <c r="AQ73">
        <v>-127.79600000000001</v>
      </c>
      <c r="AR73">
        <v>168.77</v>
      </c>
      <c r="AS73">
        <v>168.77</v>
      </c>
      <c r="AT73">
        <v>0</v>
      </c>
      <c r="AU73">
        <v>0</v>
      </c>
      <c r="AV73">
        <v>0</v>
      </c>
      <c r="AW73">
        <v>180</v>
      </c>
      <c r="AY73">
        <v>0.52180000000000004</v>
      </c>
      <c r="AZ73">
        <v>5.2601000000000002E-3</v>
      </c>
      <c r="BA73">
        <v>5.2601000000000002E-3</v>
      </c>
      <c r="BB73">
        <v>0.99332779999999998</v>
      </c>
      <c r="BC73">
        <v>0.99332779999999998</v>
      </c>
      <c r="BD73">
        <v>1.4120000000000001E-3</v>
      </c>
      <c r="BE73">
        <v>1.4120000000000001E-3</v>
      </c>
      <c r="BF73">
        <v>-96.760400000000004</v>
      </c>
      <c r="BG73">
        <v>-96.760400000000004</v>
      </c>
      <c r="BH73">
        <v>-175.87790000000001</v>
      </c>
      <c r="BI73">
        <v>-175.87790000000001</v>
      </c>
      <c r="BJ73">
        <v>0</v>
      </c>
      <c r="BK73">
        <v>0</v>
      </c>
      <c r="BL73">
        <v>0</v>
      </c>
      <c r="BM73">
        <v>180</v>
      </c>
      <c r="BP73">
        <v>0.52180000000000004</v>
      </c>
      <c r="BQ73">
        <v>0.91858209999999996</v>
      </c>
      <c r="BR73">
        <v>0.91858209999999996</v>
      </c>
      <c r="BS73">
        <v>0</v>
      </c>
      <c r="BT73">
        <v>0</v>
      </c>
      <c r="BU73">
        <v>8.1417900000000001E-2</v>
      </c>
      <c r="BV73">
        <v>8.1417900000000001E-2</v>
      </c>
      <c r="BW73">
        <v>-16.859400000000001</v>
      </c>
      <c r="BX73">
        <v>-16.859400000000001</v>
      </c>
      <c r="BY73">
        <v>160.6395</v>
      </c>
      <c r="BZ73">
        <v>160.6395</v>
      </c>
      <c r="CA73">
        <v>0</v>
      </c>
      <c r="CB73">
        <v>0</v>
      </c>
      <c r="CC73">
        <v>0</v>
      </c>
      <c r="CD73">
        <v>180</v>
      </c>
    </row>
    <row r="74" spans="3:82">
      <c r="D74" s="778"/>
      <c r="E74" s="778"/>
      <c r="F74" s="778"/>
      <c r="G74" s="778"/>
      <c r="H74" s="778"/>
      <c r="I74" s="778"/>
      <c r="J74" s="778"/>
      <c r="K74" s="778"/>
      <c r="L74" s="778"/>
      <c r="M74" s="778"/>
      <c r="N74" s="778"/>
      <c r="O74" s="778"/>
      <c r="P74" s="778"/>
      <c r="S74">
        <v>0.52315</v>
      </c>
      <c r="T74">
        <v>0.97632099999999999</v>
      </c>
      <c r="U74">
        <v>0.97632099999999999</v>
      </c>
      <c r="V74">
        <v>1.4399999999999999E-5</v>
      </c>
      <c r="W74">
        <v>1.4399999999999999E-5</v>
      </c>
      <c r="X74">
        <v>2.3664600000000001E-2</v>
      </c>
      <c r="Y74">
        <v>2.3664600000000001E-2</v>
      </c>
      <c r="Z74">
        <v>-138.0617</v>
      </c>
      <c r="AA74">
        <v>-138.0617</v>
      </c>
      <c r="AB74">
        <v>150.93010000000001</v>
      </c>
      <c r="AC74">
        <v>150.93010000000001</v>
      </c>
      <c r="AD74">
        <v>0</v>
      </c>
      <c r="AE74">
        <v>0</v>
      </c>
      <c r="AF74">
        <v>0</v>
      </c>
      <c r="AG74">
        <v>180</v>
      </c>
      <c r="AI74">
        <v>0.52315</v>
      </c>
      <c r="AJ74">
        <v>0.98005220000000004</v>
      </c>
      <c r="AK74">
        <v>0.98005220000000004</v>
      </c>
      <c r="AL74">
        <v>1.6900000000000001E-5</v>
      </c>
      <c r="AM74">
        <v>1.6900000000000001E-5</v>
      </c>
      <c r="AN74">
        <v>1.9930900000000001E-2</v>
      </c>
      <c r="AO74">
        <v>1.9930900000000001E-2</v>
      </c>
      <c r="AP74">
        <v>-127.4516</v>
      </c>
      <c r="AQ74">
        <v>-127.4516</v>
      </c>
      <c r="AR74">
        <v>169.27199999999999</v>
      </c>
      <c r="AS74">
        <v>169.27199999999999</v>
      </c>
      <c r="AT74">
        <v>0</v>
      </c>
      <c r="AU74">
        <v>0</v>
      </c>
      <c r="AV74">
        <v>0</v>
      </c>
      <c r="AW74">
        <v>180</v>
      </c>
      <c r="AY74">
        <v>0.52315</v>
      </c>
      <c r="AZ74">
        <v>5.3425E-3</v>
      </c>
      <c r="BA74">
        <v>5.3425E-3</v>
      </c>
      <c r="BB74">
        <v>0.99325209999999997</v>
      </c>
      <c r="BC74">
        <v>0.99325209999999997</v>
      </c>
      <c r="BD74">
        <v>1.4054E-3</v>
      </c>
      <c r="BE74">
        <v>1.4054E-3</v>
      </c>
      <c r="BF74">
        <v>-95.444999999999993</v>
      </c>
      <c r="BG74">
        <v>-95.444999999999993</v>
      </c>
      <c r="BH74">
        <v>-175.92410000000001</v>
      </c>
      <c r="BI74">
        <v>-175.92410000000001</v>
      </c>
      <c r="BJ74">
        <v>0</v>
      </c>
      <c r="BK74">
        <v>0</v>
      </c>
      <c r="BL74">
        <v>0</v>
      </c>
      <c r="BM74">
        <v>180</v>
      </c>
      <c r="BP74">
        <v>0.52315</v>
      </c>
      <c r="BQ74">
        <v>0.91843949999999996</v>
      </c>
      <c r="BR74">
        <v>0.91843949999999996</v>
      </c>
      <c r="BS74">
        <v>0</v>
      </c>
      <c r="BT74">
        <v>0</v>
      </c>
      <c r="BU74">
        <v>8.1560499999999994E-2</v>
      </c>
      <c r="BV74">
        <v>8.1560499999999994E-2</v>
      </c>
      <c r="BW74">
        <v>-17.103200000000001</v>
      </c>
      <c r="BX74">
        <v>-17.103200000000001</v>
      </c>
      <c r="BY74">
        <v>160.68219999999999</v>
      </c>
      <c r="BZ74">
        <v>160.68219999999999</v>
      </c>
      <c r="CA74">
        <v>0</v>
      </c>
      <c r="CB74">
        <v>0</v>
      </c>
      <c r="CC74">
        <v>0</v>
      </c>
      <c r="CD74">
        <v>180</v>
      </c>
    </row>
    <row r="75" spans="3:82">
      <c r="S75">
        <v>0.52449999999999997</v>
      </c>
      <c r="T75">
        <v>0.97657059999999996</v>
      </c>
      <c r="U75">
        <v>0.97657059999999996</v>
      </c>
      <c r="V75">
        <v>1.4E-5</v>
      </c>
      <c r="W75">
        <v>1.4E-5</v>
      </c>
      <c r="X75">
        <v>2.3415399999999999E-2</v>
      </c>
      <c r="Y75">
        <v>2.3415399999999999E-2</v>
      </c>
      <c r="Z75">
        <v>-137.68020000000001</v>
      </c>
      <c r="AA75">
        <v>-137.68020000000001</v>
      </c>
      <c r="AB75">
        <v>151.51410000000001</v>
      </c>
      <c r="AC75">
        <v>151.51410000000001</v>
      </c>
      <c r="AD75">
        <v>0</v>
      </c>
      <c r="AE75">
        <v>0</v>
      </c>
      <c r="AF75">
        <v>0</v>
      </c>
      <c r="AG75">
        <v>180</v>
      </c>
      <c r="AI75">
        <v>0.52449999999999997</v>
      </c>
      <c r="AJ75">
        <v>0.98021499999999995</v>
      </c>
      <c r="AK75">
        <v>0.98021499999999995</v>
      </c>
      <c r="AL75">
        <v>1.6500000000000001E-5</v>
      </c>
      <c r="AM75">
        <v>1.6500000000000001E-5</v>
      </c>
      <c r="AN75">
        <v>1.9768500000000001E-2</v>
      </c>
      <c r="AO75">
        <v>1.9768500000000001E-2</v>
      </c>
      <c r="AP75">
        <v>-127.11</v>
      </c>
      <c r="AQ75">
        <v>-127.11</v>
      </c>
      <c r="AR75">
        <v>169.76990000000001</v>
      </c>
      <c r="AS75">
        <v>169.76990000000001</v>
      </c>
      <c r="AT75">
        <v>0</v>
      </c>
      <c r="AU75">
        <v>0</v>
      </c>
      <c r="AV75">
        <v>0</v>
      </c>
      <c r="AW75">
        <v>180</v>
      </c>
      <c r="AY75">
        <v>0.52449999999999997</v>
      </c>
      <c r="AZ75">
        <v>5.4218000000000001E-3</v>
      </c>
      <c r="BA75">
        <v>5.4218000000000001E-3</v>
      </c>
      <c r="BB75">
        <v>0.99317929999999999</v>
      </c>
      <c r="BC75">
        <v>0.99317929999999999</v>
      </c>
      <c r="BD75">
        <v>1.3989E-3</v>
      </c>
      <c r="BE75">
        <v>1.3989E-3</v>
      </c>
      <c r="BF75">
        <v>-94.136600000000001</v>
      </c>
      <c r="BG75">
        <v>-94.136600000000001</v>
      </c>
      <c r="BH75">
        <v>-175.94540000000001</v>
      </c>
      <c r="BI75">
        <v>-175.94540000000001</v>
      </c>
      <c r="BJ75">
        <v>0</v>
      </c>
      <c r="BK75">
        <v>0</v>
      </c>
      <c r="BL75">
        <v>0</v>
      </c>
      <c r="BM75">
        <v>180</v>
      </c>
      <c r="BP75">
        <v>0.52449999999999997</v>
      </c>
      <c r="BQ75">
        <v>0.91829890000000003</v>
      </c>
      <c r="BR75">
        <v>0.91829890000000003</v>
      </c>
      <c r="BS75">
        <v>0</v>
      </c>
      <c r="BT75">
        <v>0</v>
      </c>
      <c r="BU75">
        <v>8.1701099999999999E-2</v>
      </c>
      <c r="BV75">
        <v>8.1701099999999999E-2</v>
      </c>
      <c r="BW75">
        <v>-17.345700000000001</v>
      </c>
      <c r="BX75">
        <v>-17.345700000000001</v>
      </c>
      <c r="BY75">
        <v>160.72460000000001</v>
      </c>
      <c r="BZ75">
        <v>160.72460000000001</v>
      </c>
      <c r="CA75">
        <v>0</v>
      </c>
      <c r="CB75">
        <v>0</v>
      </c>
      <c r="CC75">
        <v>0</v>
      </c>
      <c r="CD75">
        <v>180</v>
      </c>
    </row>
    <row r="76" spans="3:82">
      <c r="S76">
        <v>0.52585000000000004</v>
      </c>
      <c r="T76">
        <v>0.97681370000000001</v>
      </c>
      <c r="U76">
        <v>0.97681370000000001</v>
      </c>
      <c r="V76">
        <v>1.36E-5</v>
      </c>
      <c r="W76">
        <v>1.36E-5</v>
      </c>
      <c r="X76">
        <v>2.3172600000000002E-2</v>
      </c>
      <c r="Y76">
        <v>2.3172600000000002E-2</v>
      </c>
      <c r="Z76">
        <v>-137.30269999999999</v>
      </c>
      <c r="AA76">
        <v>-137.30269999999999</v>
      </c>
      <c r="AB76">
        <v>152.09129999999999</v>
      </c>
      <c r="AC76">
        <v>152.09129999999999</v>
      </c>
      <c r="AD76">
        <v>0</v>
      </c>
      <c r="AE76">
        <v>0</v>
      </c>
      <c r="AF76">
        <v>0</v>
      </c>
      <c r="AG76">
        <v>180</v>
      </c>
      <c r="AI76">
        <v>0.52585000000000004</v>
      </c>
      <c r="AJ76">
        <v>0.98037339999999995</v>
      </c>
      <c r="AK76">
        <v>0.98037339999999995</v>
      </c>
      <c r="AL76">
        <v>1.6099999999999998E-5</v>
      </c>
      <c r="AM76">
        <v>1.6099999999999998E-5</v>
      </c>
      <c r="AN76">
        <v>1.9610499999999999E-2</v>
      </c>
      <c r="AO76">
        <v>1.9610499999999999E-2</v>
      </c>
      <c r="AP76">
        <v>-126.7711</v>
      </c>
      <c r="AQ76">
        <v>-126.7711</v>
      </c>
      <c r="AR76">
        <v>170.2638</v>
      </c>
      <c r="AS76">
        <v>170.2638</v>
      </c>
      <c r="AT76">
        <v>0</v>
      </c>
      <c r="AU76">
        <v>0</v>
      </c>
      <c r="AV76">
        <v>0</v>
      </c>
      <c r="AW76">
        <v>180</v>
      </c>
      <c r="AY76">
        <v>0.52585000000000004</v>
      </c>
      <c r="AZ76">
        <v>5.4977999999999997E-3</v>
      </c>
      <c r="BA76">
        <v>5.4977999999999997E-3</v>
      </c>
      <c r="BB76">
        <v>0.99310989999999999</v>
      </c>
      <c r="BC76">
        <v>0.99310989999999999</v>
      </c>
      <c r="BD76">
        <v>1.3923E-3</v>
      </c>
      <c r="BE76">
        <v>1.3923E-3</v>
      </c>
      <c r="BF76">
        <v>-92.8352</v>
      </c>
      <c r="BG76">
        <v>-92.8352</v>
      </c>
      <c r="BH76">
        <v>-175.94380000000001</v>
      </c>
      <c r="BI76">
        <v>-175.94380000000001</v>
      </c>
      <c r="BJ76">
        <v>0</v>
      </c>
      <c r="BK76">
        <v>0</v>
      </c>
      <c r="BL76">
        <v>0</v>
      </c>
      <c r="BM76">
        <v>180</v>
      </c>
      <c r="BP76">
        <v>0.52585000000000004</v>
      </c>
      <c r="BQ76">
        <v>0.91816030000000004</v>
      </c>
      <c r="BR76">
        <v>0.91816030000000004</v>
      </c>
      <c r="BS76">
        <v>0</v>
      </c>
      <c r="BT76">
        <v>0</v>
      </c>
      <c r="BU76">
        <v>8.1839700000000001E-2</v>
      </c>
      <c r="BV76">
        <v>8.1839700000000001E-2</v>
      </c>
      <c r="BW76">
        <v>-17.587</v>
      </c>
      <c r="BX76">
        <v>-17.587</v>
      </c>
      <c r="BY76">
        <v>160.76689999999999</v>
      </c>
      <c r="BZ76">
        <v>160.76689999999999</v>
      </c>
      <c r="CA76">
        <v>0</v>
      </c>
      <c r="CB76">
        <v>0</v>
      </c>
      <c r="CC76">
        <v>0</v>
      </c>
      <c r="CD76">
        <v>180</v>
      </c>
    </row>
    <row r="77" spans="3:82">
      <c r="S77">
        <v>0.5272</v>
      </c>
      <c r="T77">
        <v>0.97705050000000004</v>
      </c>
      <c r="U77">
        <v>0.97705050000000004</v>
      </c>
      <c r="V77">
        <v>1.33E-5</v>
      </c>
      <c r="W77">
        <v>1.33E-5</v>
      </c>
      <c r="X77">
        <v>2.29362E-2</v>
      </c>
      <c r="Y77">
        <v>2.29362E-2</v>
      </c>
      <c r="Z77">
        <v>-136.929</v>
      </c>
      <c r="AA77">
        <v>-136.929</v>
      </c>
      <c r="AB77">
        <v>152.66200000000001</v>
      </c>
      <c r="AC77">
        <v>152.66200000000001</v>
      </c>
      <c r="AD77">
        <v>0</v>
      </c>
      <c r="AE77">
        <v>0</v>
      </c>
      <c r="AF77">
        <v>0</v>
      </c>
      <c r="AG77">
        <v>180</v>
      </c>
      <c r="AI77">
        <v>0.5272</v>
      </c>
      <c r="AJ77">
        <v>0.9805275</v>
      </c>
      <c r="AK77">
        <v>0.9805275</v>
      </c>
      <c r="AL77">
        <v>1.5800000000000001E-5</v>
      </c>
      <c r="AM77">
        <v>1.5800000000000001E-5</v>
      </c>
      <c r="AN77">
        <v>1.94568E-2</v>
      </c>
      <c r="AO77">
        <v>1.94568E-2</v>
      </c>
      <c r="AP77">
        <v>-126.43470000000001</v>
      </c>
      <c r="AQ77">
        <v>-126.43470000000001</v>
      </c>
      <c r="AR77">
        <v>170.75360000000001</v>
      </c>
      <c r="AS77">
        <v>170.75360000000001</v>
      </c>
      <c r="AT77">
        <v>0</v>
      </c>
      <c r="AU77">
        <v>0</v>
      </c>
      <c r="AV77">
        <v>0</v>
      </c>
      <c r="AW77">
        <v>180</v>
      </c>
      <c r="AY77">
        <v>0.5272</v>
      </c>
      <c r="AZ77">
        <v>5.5702E-3</v>
      </c>
      <c r="BA77">
        <v>5.5702E-3</v>
      </c>
      <c r="BB77">
        <v>0.99304389999999998</v>
      </c>
      <c r="BC77">
        <v>0.99304389999999998</v>
      </c>
      <c r="BD77">
        <v>1.3859E-3</v>
      </c>
      <c r="BE77">
        <v>1.3859E-3</v>
      </c>
      <c r="BF77">
        <v>-91.540700000000001</v>
      </c>
      <c r="BG77">
        <v>-91.540700000000001</v>
      </c>
      <c r="BH77">
        <v>-175.9213</v>
      </c>
      <c r="BI77">
        <v>-175.9213</v>
      </c>
      <c r="BJ77">
        <v>0</v>
      </c>
      <c r="BK77">
        <v>0</v>
      </c>
      <c r="BL77">
        <v>0</v>
      </c>
      <c r="BM77">
        <v>180</v>
      </c>
      <c r="BP77">
        <v>0.5272</v>
      </c>
      <c r="BQ77">
        <v>0.91802360000000005</v>
      </c>
      <c r="BR77">
        <v>0.91802360000000005</v>
      </c>
      <c r="BS77">
        <v>0</v>
      </c>
      <c r="BT77">
        <v>0</v>
      </c>
      <c r="BU77">
        <v>8.1976400000000005E-2</v>
      </c>
      <c r="BV77">
        <v>8.1976400000000005E-2</v>
      </c>
      <c r="BW77">
        <v>-17.827000000000002</v>
      </c>
      <c r="BX77">
        <v>-17.827000000000002</v>
      </c>
      <c r="BY77">
        <v>160.809</v>
      </c>
      <c r="BZ77">
        <v>160.809</v>
      </c>
      <c r="CA77">
        <v>0</v>
      </c>
      <c r="CB77">
        <v>0</v>
      </c>
      <c r="CC77">
        <v>0</v>
      </c>
      <c r="CD77">
        <v>180</v>
      </c>
    </row>
    <row r="78" spans="3:82">
      <c r="S78">
        <v>0.52854999999999996</v>
      </c>
      <c r="T78">
        <v>0.97728110000000001</v>
      </c>
      <c r="U78">
        <v>0.97728110000000001</v>
      </c>
      <c r="V78">
        <v>1.29E-5</v>
      </c>
      <c r="W78">
        <v>1.29E-5</v>
      </c>
      <c r="X78">
        <v>2.2705900000000001E-2</v>
      </c>
      <c r="Y78">
        <v>2.2705900000000001E-2</v>
      </c>
      <c r="Z78">
        <v>-136.559</v>
      </c>
      <c r="AA78">
        <v>-136.559</v>
      </c>
      <c r="AB78">
        <v>153.22630000000001</v>
      </c>
      <c r="AC78">
        <v>153.22630000000001</v>
      </c>
      <c r="AD78">
        <v>0</v>
      </c>
      <c r="AE78">
        <v>0</v>
      </c>
      <c r="AF78">
        <v>0</v>
      </c>
      <c r="AG78">
        <v>180</v>
      </c>
      <c r="AI78">
        <v>0.52854999999999996</v>
      </c>
      <c r="AJ78">
        <v>0.98067740000000003</v>
      </c>
      <c r="AK78">
        <v>0.98067740000000003</v>
      </c>
      <c r="AL78">
        <v>1.5400000000000002E-5</v>
      </c>
      <c r="AM78">
        <v>1.5400000000000002E-5</v>
      </c>
      <c r="AN78">
        <v>1.93072E-2</v>
      </c>
      <c r="AO78">
        <v>1.93072E-2</v>
      </c>
      <c r="AP78">
        <v>-126.1009</v>
      </c>
      <c r="AQ78">
        <v>-126.1009</v>
      </c>
      <c r="AR78">
        <v>171.2396</v>
      </c>
      <c r="AS78">
        <v>171.2396</v>
      </c>
      <c r="AT78">
        <v>0</v>
      </c>
      <c r="AU78">
        <v>0</v>
      </c>
      <c r="AV78">
        <v>0</v>
      </c>
      <c r="AW78">
        <v>180</v>
      </c>
      <c r="AY78">
        <v>0.52854999999999996</v>
      </c>
      <c r="AZ78">
        <v>5.6388999999999996E-3</v>
      </c>
      <c r="BA78">
        <v>5.6388999999999996E-3</v>
      </c>
      <c r="BB78">
        <v>0.99298169999999997</v>
      </c>
      <c r="BC78">
        <v>0.99298169999999997</v>
      </c>
      <c r="BD78">
        <v>1.3794E-3</v>
      </c>
      <c r="BE78">
        <v>1.3794E-3</v>
      </c>
      <c r="BF78">
        <v>-90.253100000000003</v>
      </c>
      <c r="BG78">
        <v>-90.253100000000003</v>
      </c>
      <c r="BH78">
        <v>-175.87989999999999</v>
      </c>
      <c r="BI78">
        <v>-175.87989999999999</v>
      </c>
      <c r="BJ78">
        <v>0</v>
      </c>
      <c r="BK78">
        <v>0</v>
      </c>
      <c r="BL78">
        <v>0</v>
      </c>
      <c r="BM78">
        <v>180</v>
      </c>
      <c r="BP78">
        <v>0.52854999999999996</v>
      </c>
      <c r="BQ78">
        <v>0.91788879999999995</v>
      </c>
      <c r="BR78">
        <v>0.91788879999999995</v>
      </c>
      <c r="BS78">
        <v>0</v>
      </c>
      <c r="BT78">
        <v>0</v>
      </c>
      <c r="BU78">
        <v>8.2111199999999995E-2</v>
      </c>
      <c r="BV78">
        <v>8.2111199999999995E-2</v>
      </c>
      <c r="BW78">
        <v>-18.0657</v>
      </c>
      <c r="BX78">
        <v>-18.0657</v>
      </c>
      <c r="BY78">
        <v>160.8509</v>
      </c>
      <c r="BZ78">
        <v>160.8509</v>
      </c>
      <c r="CA78">
        <v>0</v>
      </c>
      <c r="CB78">
        <v>0</v>
      </c>
      <c r="CC78">
        <v>0</v>
      </c>
      <c r="CD78">
        <v>180</v>
      </c>
    </row>
    <row r="79" spans="3:82">
      <c r="S79">
        <v>0.52990000000000004</v>
      </c>
      <c r="T79">
        <v>0.97750579999999998</v>
      </c>
      <c r="U79">
        <v>0.97750579999999998</v>
      </c>
      <c r="V79">
        <v>1.26E-5</v>
      </c>
      <c r="W79">
        <v>1.26E-5</v>
      </c>
      <c r="X79">
        <v>2.2481600000000001E-2</v>
      </c>
      <c r="Y79">
        <v>2.2481600000000001E-2</v>
      </c>
      <c r="Z79">
        <v>-136.1927</v>
      </c>
      <c r="AA79">
        <v>-136.1927</v>
      </c>
      <c r="AB79">
        <v>153.7843</v>
      </c>
      <c r="AC79">
        <v>153.7843</v>
      </c>
      <c r="AD79">
        <v>0</v>
      </c>
      <c r="AE79">
        <v>0</v>
      </c>
      <c r="AF79">
        <v>0</v>
      </c>
      <c r="AG79">
        <v>180</v>
      </c>
      <c r="AI79">
        <v>0.52990000000000004</v>
      </c>
      <c r="AJ79">
        <v>0.98082329999999995</v>
      </c>
      <c r="AK79">
        <v>0.98082329999999995</v>
      </c>
      <c r="AL79">
        <v>1.5E-5</v>
      </c>
      <c r="AM79">
        <v>1.5E-5</v>
      </c>
      <c r="AN79">
        <v>1.91617E-2</v>
      </c>
      <c r="AO79">
        <v>1.91617E-2</v>
      </c>
      <c r="AP79">
        <v>-125.7696</v>
      </c>
      <c r="AQ79">
        <v>-125.7696</v>
      </c>
      <c r="AR79">
        <v>171.72190000000001</v>
      </c>
      <c r="AS79">
        <v>171.72190000000001</v>
      </c>
      <c r="AT79">
        <v>0</v>
      </c>
      <c r="AU79">
        <v>0</v>
      </c>
      <c r="AV79">
        <v>0</v>
      </c>
      <c r="AW79">
        <v>180</v>
      </c>
      <c r="AY79">
        <v>0.52990000000000004</v>
      </c>
      <c r="AZ79">
        <v>5.7035999999999996E-3</v>
      </c>
      <c r="BA79">
        <v>5.7035999999999996E-3</v>
      </c>
      <c r="BB79">
        <v>0.99292340000000001</v>
      </c>
      <c r="BC79">
        <v>0.99292340000000001</v>
      </c>
      <c r="BD79">
        <v>1.3730000000000001E-3</v>
      </c>
      <c r="BE79">
        <v>1.3730000000000001E-3</v>
      </c>
      <c r="BF79">
        <v>-88.972099999999998</v>
      </c>
      <c r="BG79">
        <v>-88.972099999999998</v>
      </c>
      <c r="BH79">
        <v>-175.82140000000001</v>
      </c>
      <c r="BI79">
        <v>-175.82140000000001</v>
      </c>
      <c r="BJ79">
        <v>0</v>
      </c>
      <c r="BK79">
        <v>0</v>
      </c>
      <c r="BL79">
        <v>0</v>
      </c>
      <c r="BM79">
        <v>180</v>
      </c>
      <c r="BP79">
        <v>0.52990000000000004</v>
      </c>
      <c r="BQ79">
        <v>0.91775600000000002</v>
      </c>
      <c r="BR79">
        <v>0.91775600000000002</v>
      </c>
      <c r="BS79">
        <v>0</v>
      </c>
      <c r="BT79">
        <v>0</v>
      </c>
      <c r="BU79">
        <v>8.2243999999999998E-2</v>
      </c>
      <c r="BV79">
        <v>8.2243999999999998E-2</v>
      </c>
      <c r="BW79">
        <v>-18.3032</v>
      </c>
      <c r="BX79">
        <v>-18.3032</v>
      </c>
      <c r="BY79">
        <v>160.89269999999999</v>
      </c>
      <c r="BZ79">
        <v>160.89269999999999</v>
      </c>
      <c r="CA79">
        <v>0</v>
      </c>
      <c r="CB79">
        <v>0</v>
      </c>
      <c r="CC79">
        <v>0</v>
      </c>
      <c r="CD79">
        <v>180</v>
      </c>
    </row>
    <row r="80" spans="3:82">
      <c r="S80">
        <v>0.53125</v>
      </c>
      <c r="T80">
        <v>0.97772460000000005</v>
      </c>
      <c r="U80">
        <v>0.97772460000000005</v>
      </c>
      <c r="V80">
        <v>1.2300000000000001E-5</v>
      </c>
      <c r="W80">
        <v>1.2300000000000001E-5</v>
      </c>
      <c r="X80">
        <v>2.2263100000000001E-2</v>
      </c>
      <c r="Y80">
        <v>2.2263100000000001E-2</v>
      </c>
      <c r="Z80">
        <v>-135.82990000000001</v>
      </c>
      <c r="AA80">
        <v>-135.82990000000001</v>
      </c>
      <c r="AB80">
        <v>154.33629999999999</v>
      </c>
      <c r="AC80">
        <v>154.33629999999999</v>
      </c>
      <c r="AD80">
        <v>0</v>
      </c>
      <c r="AE80">
        <v>0</v>
      </c>
      <c r="AF80">
        <v>0</v>
      </c>
      <c r="AG80">
        <v>180</v>
      </c>
      <c r="AI80">
        <v>0.53125</v>
      </c>
      <c r="AJ80">
        <v>0.9809639</v>
      </c>
      <c r="AK80">
        <v>0.9809639</v>
      </c>
      <c r="AL80">
        <v>1.47E-5</v>
      </c>
      <c r="AM80">
        <v>1.47E-5</v>
      </c>
      <c r="AN80">
        <v>1.9021400000000001E-2</v>
      </c>
      <c r="AO80">
        <v>1.9021400000000001E-2</v>
      </c>
      <c r="AP80">
        <v>-125.4408</v>
      </c>
      <c r="AQ80">
        <v>-125.4408</v>
      </c>
      <c r="AR80">
        <v>172.2003</v>
      </c>
      <c r="AS80">
        <v>172.2003</v>
      </c>
      <c r="AT80">
        <v>0</v>
      </c>
      <c r="AU80">
        <v>0</v>
      </c>
      <c r="AV80">
        <v>0</v>
      </c>
      <c r="AW80">
        <v>180</v>
      </c>
      <c r="AY80">
        <v>0.53125</v>
      </c>
      <c r="AZ80">
        <v>5.7641999999999997E-3</v>
      </c>
      <c r="BA80">
        <v>5.7641999999999997E-3</v>
      </c>
      <c r="BB80">
        <v>0.99286909999999995</v>
      </c>
      <c r="BC80">
        <v>0.99286909999999995</v>
      </c>
      <c r="BD80">
        <v>1.3665999999999999E-3</v>
      </c>
      <c r="BE80">
        <v>1.3665999999999999E-3</v>
      </c>
      <c r="BF80">
        <v>-87.697900000000004</v>
      </c>
      <c r="BG80">
        <v>-87.697900000000004</v>
      </c>
      <c r="BH80">
        <v>-175.74760000000001</v>
      </c>
      <c r="BI80">
        <v>-175.74760000000001</v>
      </c>
      <c r="BJ80">
        <v>0</v>
      </c>
      <c r="BK80">
        <v>0</v>
      </c>
      <c r="BL80">
        <v>0</v>
      </c>
      <c r="BM80">
        <v>180</v>
      </c>
      <c r="BP80">
        <v>0.53125</v>
      </c>
      <c r="BQ80">
        <v>0.91762500000000002</v>
      </c>
      <c r="BR80">
        <v>0.91762500000000002</v>
      </c>
      <c r="BS80">
        <v>0</v>
      </c>
      <c r="BT80">
        <v>0</v>
      </c>
      <c r="BU80">
        <v>8.2375000000000004E-2</v>
      </c>
      <c r="BV80">
        <v>8.2375000000000004E-2</v>
      </c>
      <c r="BW80">
        <v>-18.5395</v>
      </c>
      <c r="BX80">
        <v>-18.5395</v>
      </c>
      <c r="BY80">
        <v>160.93430000000001</v>
      </c>
      <c r="BZ80">
        <v>160.93430000000001</v>
      </c>
      <c r="CA80">
        <v>0</v>
      </c>
      <c r="CB80">
        <v>0</v>
      </c>
      <c r="CC80">
        <v>0</v>
      </c>
      <c r="CD80">
        <v>180</v>
      </c>
    </row>
    <row r="81" spans="19:82">
      <c r="S81">
        <v>0.53259999999999996</v>
      </c>
      <c r="T81">
        <v>0.97794829999999999</v>
      </c>
      <c r="U81">
        <v>0.97794829999999999</v>
      </c>
      <c r="V81">
        <v>1.2E-5</v>
      </c>
      <c r="W81">
        <v>1.2E-5</v>
      </c>
      <c r="X81">
        <v>2.2039699999999999E-2</v>
      </c>
      <c r="Y81">
        <v>2.2039699999999999E-2</v>
      </c>
      <c r="Z81">
        <v>-135.46870000000001</v>
      </c>
      <c r="AA81">
        <v>-135.46870000000001</v>
      </c>
      <c r="AB81">
        <v>154.88239999999999</v>
      </c>
      <c r="AC81">
        <v>154.88239999999999</v>
      </c>
      <c r="AD81">
        <v>0</v>
      </c>
      <c r="AE81">
        <v>0</v>
      </c>
      <c r="AF81">
        <v>0</v>
      </c>
      <c r="AG81">
        <v>180</v>
      </c>
      <c r="AI81">
        <v>0.53259999999999996</v>
      </c>
      <c r="AJ81">
        <v>0.98110269999999999</v>
      </c>
      <c r="AK81">
        <v>0.98110269999999999</v>
      </c>
      <c r="AL81">
        <v>1.4399999999999999E-5</v>
      </c>
      <c r="AM81">
        <v>1.4399999999999999E-5</v>
      </c>
      <c r="AN81">
        <v>1.8883E-2</v>
      </c>
      <c r="AO81">
        <v>1.8883E-2</v>
      </c>
      <c r="AP81">
        <v>-125.1143</v>
      </c>
      <c r="AQ81">
        <v>-125.1143</v>
      </c>
      <c r="AR81">
        <v>172.67439999999999</v>
      </c>
      <c r="AS81">
        <v>172.67439999999999</v>
      </c>
      <c r="AT81">
        <v>0</v>
      </c>
      <c r="AU81">
        <v>0</v>
      </c>
      <c r="AV81">
        <v>0</v>
      </c>
      <c r="AW81">
        <v>180</v>
      </c>
      <c r="AY81">
        <v>0.53259999999999996</v>
      </c>
      <c r="AZ81">
        <v>5.8206000000000004E-3</v>
      </c>
      <c r="BA81">
        <v>5.8206000000000004E-3</v>
      </c>
      <c r="BB81">
        <v>0.99281909999999995</v>
      </c>
      <c r="BC81">
        <v>0.99281909999999995</v>
      </c>
      <c r="BD81">
        <v>1.3603000000000001E-3</v>
      </c>
      <c r="BE81">
        <v>1.3603000000000001E-3</v>
      </c>
      <c r="BF81">
        <v>-86.430400000000006</v>
      </c>
      <c r="BG81">
        <v>-86.430400000000006</v>
      </c>
      <c r="BH81">
        <v>-175.6601</v>
      </c>
      <c r="BI81">
        <v>-175.6601</v>
      </c>
      <c r="BJ81">
        <v>0</v>
      </c>
      <c r="BK81">
        <v>0</v>
      </c>
      <c r="BL81">
        <v>0</v>
      </c>
      <c r="BM81">
        <v>180</v>
      </c>
      <c r="BP81">
        <v>0.53259999999999996</v>
      </c>
      <c r="BQ81">
        <v>0.91749579999999997</v>
      </c>
      <c r="BR81">
        <v>0.91749579999999997</v>
      </c>
      <c r="BS81">
        <v>0</v>
      </c>
      <c r="BT81">
        <v>0</v>
      </c>
      <c r="BU81">
        <v>8.25042E-2</v>
      </c>
      <c r="BV81">
        <v>8.25042E-2</v>
      </c>
      <c r="BW81">
        <v>-18.7746</v>
      </c>
      <c r="BX81">
        <v>-18.7746</v>
      </c>
      <c r="BY81">
        <v>160.97569999999999</v>
      </c>
      <c r="BZ81">
        <v>160.97569999999999</v>
      </c>
      <c r="CA81">
        <v>0</v>
      </c>
      <c r="CB81">
        <v>0</v>
      </c>
      <c r="CC81">
        <v>0</v>
      </c>
      <c r="CD81">
        <v>180</v>
      </c>
    </row>
    <row r="82" spans="19:82">
      <c r="S82">
        <v>0.53395000000000004</v>
      </c>
      <c r="T82">
        <v>0.97818369999999999</v>
      </c>
      <c r="U82">
        <v>0.97818369999999999</v>
      </c>
      <c r="V82">
        <v>1.17E-5</v>
      </c>
      <c r="W82">
        <v>1.17E-5</v>
      </c>
      <c r="X82">
        <v>2.18046E-2</v>
      </c>
      <c r="Y82">
        <v>2.18046E-2</v>
      </c>
      <c r="Z82">
        <v>-135.10769999999999</v>
      </c>
      <c r="AA82">
        <v>-135.10769999999999</v>
      </c>
      <c r="AB82">
        <v>155.4229</v>
      </c>
      <c r="AC82">
        <v>155.4229</v>
      </c>
      <c r="AD82">
        <v>0</v>
      </c>
      <c r="AE82">
        <v>0</v>
      </c>
      <c r="AF82">
        <v>0</v>
      </c>
      <c r="AG82">
        <v>180</v>
      </c>
      <c r="AI82">
        <v>0.53395000000000004</v>
      </c>
      <c r="AJ82">
        <v>0.9812478</v>
      </c>
      <c r="AK82">
        <v>0.9812478</v>
      </c>
      <c r="AL82">
        <v>1.4E-5</v>
      </c>
      <c r="AM82">
        <v>1.4E-5</v>
      </c>
      <c r="AN82">
        <v>1.87382E-2</v>
      </c>
      <c r="AO82">
        <v>1.87382E-2</v>
      </c>
      <c r="AP82">
        <v>-124.7893</v>
      </c>
      <c r="AQ82">
        <v>-124.7893</v>
      </c>
      <c r="AR82">
        <v>173.14510000000001</v>
      </c>
      <c r="AS82">
        <v>173.14510000000001</v>
      </c>
      <c r="AT82">
        <v>0</v>
      </c>
      <c r="AU82">
        <v>0</v>
      </c>
      <c r="AV82">
        <v>0</v>
      </c>
      <c r="AW82">
        <v>180</v>
      </c>
      <c r="AY82">
        <v>0.53395000000000004</v>
      </c>
      <c r="AZ82">
        <v>5.8725000000000001E-3</v>
      </c>
      <c r="BA82">
        <v>5.8725000000000001E-3</v>
      </c>
      <c r="BB82">
        <v>0.99277349999999998</v>
      </c>
      <c r="BC82">
        <v>0.99277349999999998</v>
      </c>
      <c r="BD82">
        <v>1.354E-3</v>
      </c>
      <c r="BE82">
        <v>1.354E-3</v>
      </c>
      <c r="BF82">
        <v>-85.169399999999996</v>
      </c>
      <c r="BG82">
        <v>-85.169399999999996</v>
      </c>
      <c r="BH82">
        <v>-175.56049999999999</v>
      </c>
      <c r="BI82">
        <v>-175.56049999999999</v>
      </c>
      <c r="BJ82">
        <v>0</v>
      </c>
      <c r="BK82">
        <v>0</v>
      </c>
      <c r="BL82">
        <v>0</v>
      </c>
      <c r="BM82">
        <v>180</v>
      </c>
      <c r="BP82">
        <v>0.53395000000000004</v>
      </c>
      <c r="BQ82">
        <v>0.91736850000000003</v>
      </c>
      <c r="BR82">
        <v>0.91736850000000003</v>
      </c>
      <c r="BS82">
        <v>0</v>
      </c>
      <c r="BT82">
        <v>0</v>
      </c>
      <c r="BU82">
        <v>8.2631499999999997E-2</v>
      </c>
      <c r="BV82">
        <v>8.2631499999999997E-2</v>
      </c>
      <c r="BW82">
        <v>-19.008500000000002</v>
      </c>
      <c r="BX82">
        <v>-19.008500000000002</v>
      </c>
      <c r="BY82">
        <v>161.017</v>
      </c>
      <c r="BZ82">
        <v>161.017</v>
      </c>
      <c r="CA82">
        <v>0</v>
      </c>
      <c r="CB82">
        <v>0</v>
      </c>
      <c r="CC82">
        <v>0</v>
      </c>
      <c r="CD82">
        <v>180</v>
      </c>
    </row>
    <row r="83" spans="19:82">
      <c r="S83">
        <v>0.5353</v>
      </c>
      <c r="T83">
        <v>0.97841310000000004</v>
      </c>
      <c r="U83">
        <v>0.97841310000000004</v>
      </c>
      <c r="V83">
        <v>1.1399999999999999E-5</v>
      </c>
      <c r="W83">
        <v>1.1399999999999999E-5</v>
      </c>
      <c r="X83">
        <v>2.1575500000000001E-2</v>
      </c>
      <c r="Y83">
        <v>2.1575500000000001E-2</v>
      </c>
      <c r="Z83">
        <v>-134.7501</v>
      </c>
      <c r="AA83">
        <v>-134.7501</v>
      </c>
      <c r="AB83">
        <v>155.95769999999999</v>
      </c>
      <c r="AC83">
        <v>155.95769999999999</v>
      </c>
      <c r="AD83">
        <v>0</v>
      </c>
      <c r="AE83">
        <v>0</v>
      </c>
      <c r="AF83">
        <v>0</v>
      </c>
      <c r="AG83">
        <v>180</v>
      </c>
      <c r="AI83">
        <v>0.5353</v>
      </c>
      <c r="AJ83">
        <v>0.98138890000000001</v>
      </c>
      <c r="AK83">
        <v>0.98138890000000001</v>
      </c>
      <c r="AL83">
        <v>1.3699999999999999E-5</v>
      </c>
      <c r="AM83">
        <v>1.3699999999999999E-5</v>
      </c>
      <c r="AN83">
        <v>1.85974E-2</v>
      </c>
      <c r="AO83">
        <v>1.85974E-2</v>
      </c>
      <c r="AP83">
        <v>-124.4665</v>
      </c>
      <c r="AQ83">
        <v>-124.4665</v>
      </c>
      <c r="AR83">
        <v>173.61250000000001</v>
      </c>
      <c r="AS83">
        <v>173.61250000000001</v>
      </c>
      <c r="AT83">
        <v>0</v>
      </c>
      <c r="AU83">
        <v>0</v>
      </c>
      <c r="AV83">
        <v>0</v>
      </c>
      <c r="AW83">
        <v>180</v>
      </c>
      <c r="AY83">
        <v>0.5353</v>
      </c>
      <c r="AZ83">
        <v>5.9198999999999996E-3</v>
      </c>
      <c r="BA83">
        <v>5.9198999999999996E-3</v>
      </c>
      <c r="BB83">
        <v>0.99273230000000001</v>
      </c>
      <c r="BC83">
        <v>0.99273230000000001</v>
      </c>
      <c r="BD83">
        <v>1.3477000000000001E-3</v>
      </c>
      <c r="BE83">
        <v>1.3477000000000001E-3</v>
      </c>
      <c r="BF83">
        <v>-83.915000000000006</v>
      </c>
      <c r="BG83">
        <v>-83.915000000000006</v>
      </c>
      <c r="BH83">
        <v>-175.4503</v>
      </c>
      <c r="BI83">
        <v>-175.4503</v>
      </c>
      <c r="BJ83">
        <v>0</v>
      </c>
      <c r="BK83">
        <v>0</v>
      </c>
      <c r="BL83">
        <v>0</v>
      </c>
      <c r="BM83">
        <v>180</v>
      </c>
      <c r="BP83">
        <v>0.5353</v>
      </c>
      <c r="BQ83">
        <v>0.91724300000000003</v>
      </c>
      <c r="BR83">
        <v>0.91724300000000003</v>
      </c>
      <c r="BS83">
        <v>0</v>
      </c>
      <c r="BT83">
        <v>0</v>
      </c>
      <c r="BU83">
        <v>8.2756999999999997E-2</v>
      </c>
      <c r="BV83">
        <v>8.2756999999999997E-2</v>
      </c>
      <c r="BW83">
        <v>-19.241099999999999</v>
      </c>
      <c r="BX83">
        <v>-19.241099999999999</v>
      </c>
      <c r="BY83">
        <v>161.0581</v>
      </c>
      <c r="BZ83">
        <v>161.0581</v>
      </c>
      <c r="CA83">
        <v>0</v>
      </c>
      <c r="CB83">
        <v>0</v>
      </c>
      <c r="CC83">
        <v>0</v>
      </c>
      <c r="CD83">
        <v>180</v>
      </c>
    </row>
    <row r="84" spans="19:82">
      <c r="S84">
        <v>0.53664999999999996</v>
      </c>
      <c r="T84">
        <v>0.97863670000000003</v>
      </c>
      <c r="U84">
        <v>0.97863670000000003</v>
      </c>
      <c r="V84">
        <v>1.11E-5</v>
      </c>
      <c r="W84">
        <v>1.11E-5</v>
      </c>
      <c r="X84">
        <v>2.1352200000000002E-2</v>
      </c>
      <c r="Y84">
        <v>2.1352200000000002E-2</v>
      </c>
      <c r="Z84">
        <v>-134.39590000000001</v>
      </c>
      <c r="AA84">
        <v>-134.39590000000001</v>
      </c>
      <c r="AB84">
        <v>156.4871</v>
      </c>
      <c r="AC84">
        <v>156.4871</v>
      </c>
      <c r="AD84">
        <v>0</v>
      </c>
      <c r="AE84">
        <v>0</v>
      </c>
      <c r="AF84">
        <v>0</v>
      </c>
      <c r="AG84">
        <v>180</v>
      </c>
      <c r="AI84">
        <v>0.53664999999999996</v>
      </c>
      <c r="AJ84">
        <v>0.98152620000000002</v>
      </c>
      <c r="AK84">
        <v>0.98152620000000002</v>
      </c>
      <c r="AL84">
        <v>1.34E-5</v>
      </c>
      <c r="AM84">
        <v>1.34E-5</v>
      </c>
      <c r="AN84">
        <v>1.8460399999999998E-2</v>
      </c>
      <c r="AO84">
        <v>1.8460399999999998E-2</v>
      </c>
      <c r="AP84">
        <v>-124.146</v>
      </c>
      <c r="AQ84">
        <v>-124.146</v>
      </c>
      <c r="AR84">
        <v>174.07660000000001</v>
      </c>
      <c r="AS84">
        <v>174.07660000000001</v>
      </c>
      <c r="AT84">
        <v>0</v>
      </c>
      <c r="AU84">
        <v>0</v>
      </c>
      <c r="AV84">
        <v>0</v>
      </c>
      <c r="AW84">
        <v>180</v>
      </c>
      <c r="AY84">
        <v>0.53664999999999996</v>
      </c>
      <c r="AZ84">
        <v>5.9627999999999999E-3</v>
      </c>
      <c r="BA84">
        <v>5.9627999999999999E-3</v>
      </c>
      <c r="BB84">
        <v>0.99269560000000001</v>
      </c>
      <c r="BC84">
        <v>0.99269560000000001</v>
      </c>
      <c r="BD84">
        <v>1.3415E-3</v>
      </c>
      <c r="BE84">
        <v>1.3415E-3</v>
      </c>
      <c r="BF84">
        <v>-82.667000000000002</v>
      </c>
      <c r="BG84">
        <v>-82.667000000000002</v>
      </c>
      <c r="BH84">
        <v>-175.33109999999999</v>
      </c>
      <c r="BI84">
        <v>-175.33109999999999</v>
      </c>
      <c r="BJ84">
        <v>0</v>
      </c>
      <c r="BK84">
        <v>0</v>
      </c>
      <c r="BL84">
        <v>0</v>
      </c>
      <c r="BM84">
        <v>180</v>
      </c>
      <c r="BP84">
        <v>0.53664999999999996</v>
      </c>
      <c r="BQ84">
        <v>0.91711940000000003</v>
      </c>
      <c r="BR84">
        <v>0.91711940000000003</v>
      </c>
      <c r="BS84">
        <v>0</v>
      </c>
      <c r="BT84">
        <v>0</v>
      </c>
      <c r="BU84">
        <v>8.2880599999999999E-2</v>
      </c>
      <c r="BV84">
        <v>8.2880599999999999E-2</v>
      </c>
      <c r="BW84">
        <v>-19.4726</v>
      </c>
      <c r="BX84">
        <v>-19.4726</v>
      </c>
      <c r="BY84">
        <v>161.09899999999999</v>
      </c>
      <c r="BZ84">
        <v>161.09899999999999</v>
      </c>
      <c r="CA84">
        <v>0</v>
      </c>
      <c r="CB84">
        <v>0</v>
      </c>
      <c r="CC84">
        <v>0</v>
      </c>
      <c r="CD84">
        <v>180</v>
      </c>
    </row>
    <row r="85" spans="19:82">
      <c r="S85">
        <v>0.53800000000000003</v>
      </c>
      <c r="T85">
        <v>0.97885460000000002</v>
      </c>
      <c r="U85">
        <v>0.97885460000000002</v>
      </c>
      <c r="V85">
        <v>1.0900000000000001E-5</v>
      </c>
      <c r="W85">
        <v>1.0900000000000001E-5</v>
      </c>
      <c r="X85">
        <v>2.11346E-2</v>
      </c>
      <c r="Y85">
        <v>2.11346E-2</v>
      </c>
      <c r="Z85">
        <v>-134.04480000000001</v>
      </c>
      <c r="AA85">
        <v>-134.04480000000001</v>
      </c>
      <c r="AB85">
        <v>157.011</v>
      </c>
      <c r="AC85">
        <v>157.011</v>
      </c>
      <c r="AD85">
        <v>0</v>
      </c>
      <c r="AE85">
        <v>0</v>
      </c>
      <c r="AF85">
        <v>0</v>
      </c>
      <c r="AG85">
        <v>180</v>
      </c>
      <c r="AI85">
        <v>0.53800000000000003</v>
      </c>
      <c r="AJ85">
        <v>0.98165979999999997</v>
      </c>
      <c r="AK85">
        <v>0.98165979999999997</v>
      </c>
      <c r="AL85">
        <v>1.31E-5</v>
      </c>
      <c r="AM85">
        <v>1.31E-5</v>
      </c>
      <c r="AN85">
        <v>1.8327099999999999E-2</v>
      </c>
      <c r="AO85">
        <v>1.8327099999999999E-2</v>
      </c>
      <c r="AP85">
        <v>-123.82769999999999</v>
      </c>
      <c r="AQ85">
        <v>-123.82769999999999</v>
      </c>
      <c r="AR85">
        <v>174.53749999999999</v>
      </c>
      <c r="AS85">
        <v>174.53749999999999</v>
      </c>
      <c r="AT85">
        <v>0</v>
      </c>
      <c r="AU85">
        <v>0</v>
      </c>
      <c r="AV85">
        <v>0</v>
      </c>
      <c r="AW85">
        <v>180</v>
      </c>
      <c r="AY85">
        <v>0.53800000000000003</v>
      </c>
      <c r="AZ85">
        <v>6.0010999999999997E-3</v>
      </c>
      <c r="BA85">
        <v>6.0010999999999997E-3</v>
      </c>
      <c r="BB85">
        <v>0.99266359999999998</v>
      </c>
      <c r="BC85">
        <v>0.99266359999999998</v>
      </c>
      <c r="BD85">
        <v>1.3353E-3</v>
      </c>
      <c r="BE85">
        <v>1.3353E-3</v>
      </c>
      <c r="BF85">
        <v>-81.425399999999996</v>
      </c>
      <c r="BG85">
        <v>-81.425399999999996</v>
      </c>
      <c r="BH85">
        <v>-175.20419999999999</v>
      </c>
      <c r="BI85">
        <v>-175.20419999999999</v>
      </c>
      <c r="BJ85">
        <v>0</v>
      </c>
      <c r="BK85">
        <v>0</v>
      </c>
      <c r="BL85">
        <v>0</v>
      </c>
      <c r="BM85">
        <v>180</v>
      </c>
      <c r="BP85">
        <v>0.53800000000000003</v>
      </c>
      <c r="BQ85">
        <v>0.91699739999999996</v>
      </c>
      <c r="BR85">
        <v>0.91699739999999996</v>
      </c>
      <c r="BS85">
        <v>0</v>
      </c>
      <c r="BT85">
        <v>0</v>
      </c>
      <c r="BU85">
        <v>8.3002599999999996E-2</v>
      </c>
      <c r="BV85">
        <v>8.3002599999999996E-2</v>
      </c>
      <c r="BW85">
        <v>-19.7029</v>
      </c>
      <c r="BX85">
        <v>-19.7029</v>
      </c>
      <c r="BY85">
        <v>161.13980000000001</v>
      </c>
      <c r="BZ85">
        <v>161.13980000000001</v>
      </c>
      <c r="CA85">
        <v>0</v>
      </c>
      <c r="CB85">
        <v>0</v>
      </c>
      <c r="CC85">
        <v>0</v>
      </c>
      <c r="CD85">
        <v>180</v>
      </c>
    </row>
    <row r="86" spans="19:82">
      <c r="S86">
        <v>0.53935</v>
      </c>
      <c r="T86">
        <v>0.97906689999999996</v>
      </c>
      <c r="U86">
        <v>0.97906689999999996</v>
      </c>
      <c r="V86">
        <v>1.06E-5</v>
      </c>
      <c r="W86">
        <v>1.06E-5</v>
      </c>
      <c r="X86">
        <v>2.09225E-2</v>
      </c>
      <c r="Y86">
        <v>2.09225E-2</v>
      </c>
      <c r="Z86">
        <v>-133.697</v>
      </c>
      <c r="AA86">
        <v>-133.697</v>
      </c>
      <c r="AB86">
        <v>157.52979999999999</v>
      </c>
      <c r="AC86">
        <v>157.52979999999999</v>
      </c>
      <c r="AD86">
        <v>0</v>
      </c>
      <c r="AE86">
        <v>0</v>
      </c>
      <c r="AF86">
        <v>0</v>
      </c>
      <c r="AG86">
        <v>180</v>
      </c>
      <c r="AI86">
        <v>0.53935</v>
      </c>
      <c r="AJ86">
        <v>0.98178980000000005</v>
      </c>
      <c r="AK86">
        <v>0.98178980000000005</v>
      </c>
      <c r="AL86">
        <v>1.2799999999999999E-5</v>
      </c>
      <c r="AM86">
        <v>1.2799999999999999E-5</v>
      </c>
      <c r="AN86">
        <v>1.8197399999999999E-2</v>
      </c>
      <c r="AO86">
        <v>1.8197399999999999E-2</v>
      </c>
      <c r="AP86">
        <v>-123.5115</v>
      </c>
      <c r="AQ86">
        <v>-123.5115</v>
      </c>
      <c r="AR86">
        <v>174.99529999999999</v>
      </c>
      <c r="AS86">
        <v>174.99529999999999</v>
      </c>
      <c r="AT86">
        <v>0</v>
      </c>
      <c r="AU86">
        <v>0</v>
      </c>
      <c r="AV86">
        <v>0</v>
      </c>
      <c r="AW86">
        <v>180</v>
      </c>
      <c r="AY86">
        <v>0.53935</v>
      </c>
      <c r="AZ86">
        <v>6.0346999999999996E-3</v>
      </c>
      <c r="BA86">
        <v>6.0346999999999996E-3</v>
      </c>
      <c r="BB86">
        <v>0.99263610000000002</v>
      </c>
      <c r="BC86">
        <v>0.99263610000000002</v>
      </c>
      <c r="BD86">
        <v>1.3292E-3</v>
      </c>
      <c r="BE86">
        <v>1.3292E-3</v>
      </c>
      <c r="BF86">
        <v>-80.190200000000004</v>
      </c>
      <c r="BG86">
        <v>-80.190200000000004</v>
      </c>
      <c r="BH86">
        <v>-175.071</v>
      </c>
      <c r="BI86">
        <v>-175.071</v>
      </c>
      <c r="BJ86">
        <v>0</v>
      </c>
      <c r="BK86">
        <v>0</v>
      </c>
      <c r="BL86">
        <v>0</v>
      </c>
      <c r="BM86">
        <v>180</v>
      </c>
      <c r="BP86">
        <v>0.53935</v>
      </c>
      <c r="BQ86">
        <v>0.91687730000000001</v>
      </c>
      <c r="BR86">
        <v>0.91687730000000001</v>
      </c>
      <c r="BS86">
        <v>0</v>
      </c>
      <c r="BT86">
        <v>0</v>
      </c>
      <c r="BU86">
        <v>8.3122699999999994E-2</v>
      </c>
      <c r="BV86">
        <v>8.3122699999999994E-2</v>
      </c>
      <c r="BW86">
        <v>-19.931999999999999</v>
      </c>
      <c r="BX86">
        <v>-19.931999999999999</v>
      </c>
      <c r="BY86">
        <v>161.18029999999999</v>
      </c>
      <c r="BZ86">
        <v>161.18029999999999</v>
      </c>
      <c r="CA86">
        <v>0</v>
      </c>
      <c r="CB86">
        <v>0</v>
      </c>
      <c r="CC86">
        <v>0</v>
      </c>
      <c r="CD86">
        <v>180</v>
      </c>
    </row>
    <row r="87" spans="19:82">
      <c r="S87">
        <v>0.54069999999999996</v>
      </c>
      <c r="T87">
        <v>0.97927399999999998</v>
      </c>
      <c r="U87">
        <v>0.97927399999999998</v>
      </c>
      <c r="V87">
        <v>1.03E-5</v>
      </c>
      <c r="W87">
        <v>1.03E-5</v>
      </c>
      <c r="X87">
        <v>2.07157E-2</v>
      </c>
      <c r="Y87">
        <v>2.07157E-2</v>
      </c>
      <c r="Z87">
        <v>-133.35220000000001</v>
      </c>
      <c r="AA87">
        <v>-133.35220000000001</v>
      </c>
      <c r="AB87">
        <v>158.04339999999999</v>
      </c>
      <c r="AC87">
        <v>158.04339999999999</v>
      </c>
      <c r="AD87">
        <v>0</v>
      </c>
      <c r="AE87">
        <v>0</v>
      </c>
      <c r="AF87">
        <v>0</v>
      </c>
      <c r="AG87">
        <v>180</v>
      </c>
      <c r="AI87">
        <v>0.54069999999999996</v>
      </c>
      <c r="AJ87">
        <v>0.98191620000000002</v>
      </c>
      <c r="AK87">
        <v>0.98191620000000002</v>
      </c>
      <c r="AL87">
        <v>1.26E-5</v>
      </c>
      <c r="AM87">
        <v>1.26E-5</v>
      </c>
      <c r="AN87">
        <v>1.8071199999999999E-2</v>
      </c>
      <c r="AO87">
        <v>1.8071199999999999E-2</v>
      </c>
      <c r="AP87">
        <v>-123.1974</v>
      </c>
      <c r="AQ87">
        <v>-123.1974</v>
      </c>
      <c r="AR87">
        <v>175.45009999999999</v>
      </c>
      <c r="AS87">
        <v>175.45009999999999</v>
      </c>
      <c r="AT87">
        <v>0</v>
      </c>
      <c r="AU87">
        <v>0</v>
      </c>
      <c r="AV87">
        <v>0</v>
      </c>
      <c r="AW87">
        <v>180</v>
      </c>
      <c r="AY87">
        <v>0.54069999999999996</v>
      </c>
      <c r="AZ87">
        <v>6.0637E-3</v>
      </c>
      <c r="BA87">
        <v>6.0637E-3</v>
      </c>
      <c r="BB87">
        <v>0.99261319999999997</v>
      </c>
      <c r="BC87">
        <v>0.99261319999999997</v>
      </c>
      <c r="BD87">
        <v>1.3231E-3</v>
      </c>
      <c r="BE87">
        <v>1.3231E-3</v>
      </c>
      <c r="BF87">
        <v>-78.961299999999994</v>
      </c>
      <c r="BG87">
        <v>-78.961299999999994</v>
      </c>
      <c r="BH87">
        <v>-174.93270000000001</v>
      </c>
      <c r="BI87">
        <v>-174.93270000000001</v>
      </c>
      <c r="BJ87">
        <v>0</v>
      </c>
      <c r="BK87">
        <v>0</v>
      </c>
      <c r="BL87">
        <v>0</v>
      </c>
      <c r="BM87">
        <v>180</v>
      </c>
      <c r="BP87">
        <v>0.54069999999999996</v>
      </c>
      <c r="BQ87">
        <v>0.91675890000000004</v>
      </c>
      <c r="BR87">
        <v>0.91675890000000004</v>
      </c>
      <c r="BS87">
        <v>0</v>
      </c>
      <c r="BT87">
        <v>0</v>
      </c>
      <c r="BU87">
        <v>8.3241099999999998E-2</v>
      </c>
      <c r="BV87">
        <v>8.3241099999999998E-2</v>
      </c>
      <c r="BW87">
        <v>-20.16</v>
      </c>
      <c r="BX87">
        <v>-20.16</v>
      </c>
      <c r="BY87">
        <v>161.2208</v>
      </c>
      <c r="BZ87">
        <v>161.2208</v>
      </c>
      <c r="CA87">
        <v>0</v>
      </c>
      <c r="CB87">
        <v>0</v>
      </c>
      <c r="CC87">
        <v>0</v>
      </c>
      <c r="CD87">
        <v>180</v>
      </c>
    </row>
    <row r="88" spans="19:82">
      <c r="S88">
        <v>0.54205000000000003</v>
      </c>
      <c r="T88">
        <v>0.97947589999999995</v>
      </c>
      <c r="U88">
        <v>0.97947589999999995</v>
      </c>
      <c r="V88">
        <v>1.01E-5</v>
      </c>
      <c r="W88">
        <v>1.01E-5</v>
      </c>
      <c r="X88">
        <v>2.0514000000000001E-2</v>
      </c>
      <c r="Y88">
        <v>2.0514000000000001E-2</v>
      </c>
      <c r="Z88">
        <v>-133.01050000000001</v>
      </c>
      <c r="AA88">
        <v>-133.01050000000001</v>
      </c>
      <c r="AB88">
        <v>158.55199999999999</v>
      </c>
      <c r="AC88">
        <v>158.55199999999999</v>
      </c>
      <c r="AD88">
        <v>0</v>
      </c>
      <c r="AE88">
        <v>0</v>
      </c>
      <c r="AF88">
        <v>0</v>
      </c>
      <c r="AG88">
        <v>180</v>
      </c>
      <c r="AI88">
        <v>0.54205000000000003</v>
      </c>
      <c r="AJ88">
        <v>0.98203929999999995</v>
      </c>
      <c r="AK88">
        <v>0.98203929999999995</v>
      </c>
      <c r="AL88">
        <v>1.2300000000000001E-5</v>
      </c>
      <c r="AM88">
        <v>1.2300000000000001E-5</v>
      </c>
      <c r="AN88">
        <v>1.79484E-2</v>
      </c>
      <c r="AO88">
        <v>1.79484E-2</v>
      </c>
      <c r="AP88">
        <v>-122.8853</v>
      </c>
      <c r="AQ88">
        <v>-122.8853</v>
      </c>
      <c r="AR88">
        <v>175.90190000000001</v>
      </c>
      <c r="AS88">
        <v>175.90190000000001</v>
      </c>
      <c r="AT88">
        <v>0</v>
      </c>
      <c r="AU88">
        <v>0</v>
      </c>
      <c r="AV88">
        <v>0</v>
      </c>
      <c r="AW88">
        <v>180</v>
      </c>
      <c r="AY88">
        <v>0.54205000000000003</v>
      </c>
      <c r="AZ88">
        <v>6.0879999999999997E-3</v>
      </c>
      <c r="BA88">
        <v>6.0879999999999997E-3</v>
      </c>
      <c r="BB88">
        <v>0.99259500000000001</v>
      </c>
      <c r="BC88">
        <v>0.99259500000000001</v>
      </c>
      <c r="BD88">
        <v>1.317E-3</v>
      </c>
      <c r="BE88">
        <v>1.317E-3</v>
      </c>
      <c r="BF88">
        <v>-77.738600000000005</v>
      </c>
      <c r="BG88">
        <v>-77.738600000000005</v>
      </c>
      <c r="BH88">
        <v>-174.79050000000001</v>
      </c>
      <c r="BI88">
        <v>-174.79050000000001</v>
      </c>
      <c r="BJ88">
        <v>0</v>
      </c>
      <c r="BK88">
        <v>0</v>
      </c>
      <c r="BL88">
        <v>0</v>
      </c>
      <c r="BM88">
        <v>180</v>
      </c>
      <c r="BP88">
        <v>0.54205000000000003</v>
      </c>
      <c r="BQ88">
        <v>0.91664219999999996</v>
      </c>
      <c r="BR88">
        <v>0.91664219999999996</v>
      </c>
      <c r="BS88">
        <v>0</v>
      </c>
      <c r="BT88">
        <v>0</v>
      </c>
      <c r="BU88">
        <v>8.3357799999999996E-2</v>
      </c>
      <c r="BV88">
        <v>8.3357799999999996E-2</v>
      </c>
      <c r="BW88">
        <v>-20.386800000000001</v>
      </c>
      <c r="BX88">
        <v>-20.386800000000001</v>
      </c>
      <c r="BY88">
        <v>161.261</v>
      </c>
      <c r="BZ88">
        <v>161.261</v>
      </c>
      <c r="CA88">
        <v>0</v>
      </c>
      <c r="CB88">
        <v>0</v>
      </c>
      <c r="CC88">
        <v>0</v>
      </c>
      <c r="CD88">
        <v>180</v>
      </c>
    </row>
    <row r="89" spans="19:82">
      <c r="S89">
        <v>0.54339999999999999</v>
      </c>
      <c r="T89">
        <v>0.97967280000000001</v>
      </c>
      <c r="U89">
        <v>0.97967280000000001</v>
      </c>
      <c r="V89">
        <v>9.9000000000000001E-6</v>
      </c>
      <c r="W89">
        <v>9.9000000000000001E-6</v>
      </c>
      <c r="X89">
        <v>2.03173E-2</v>
      </c>
      <c r="Y89">
        <v>2.03173E-2</v>
      </c>
      <c r="Z89">
        <v>-132.67179999999999</v>
      </c>
      <c r="AA89">
        <v>-132.67179999999999</v>
      </c>
      <c r="AB89">
        <v>159.0558</v>
      </c>
      <c r="AC89">
        <v>159.0558</v>
      </c>
      <c r="AD89">
        <v>0</v>
      </c>
      <c r="AE89">
        <v>0</v>
      </c>
      <c r="AF89">
        <v>0</v>
      </c>
      <c r="AG89">
        <v>180</v>
      </c>
      <c r="AI89">
        <v>0.54339999999999999</v>
      </c>
      <c r="AJ89">
        <v>0.982159</v>
      </c>
      <c r="AK89">
        <v>0.982159</v>
      </c>
      <c r="AL89">
        <v>1.2E-5</v>
      </c>
      <c r="AM89">
        <v>1.2E-5</v>
      </c>
      <c r="AN89">
        <v>1.7828900000000002E-2</v>
      </c>
      <c r="AO89">
        <v>1.7828900000000002E-2</v>
      </c>
      <c r="AP89">
        <v>-122.5752</v>
      </c>
      <c r="AQ89">
        <v>-122.5752</v>
      </c>
      <c r="AR89">
        <v>176.3509</v>
      </c>
      <c r="AS89">
        <v>176.3509</v>
      </c>
      <c r="AT89">
        <v>0</v>
      </c>
      <c r="AU89">
        <v>0</v>
      </c>
      <c r="AV89">
        <v>0</v>
      </c>
      <c r="AW89">
        <v>180</v>
      </c>
      <c r="AY89">
        <v>0.54339999999999999</v>
      </c>
      <c r="AZ89">
        <v>6.1076000000000004E-3</v>
      </c>
      <c r="BA89">
        <v>6.1076000000000004E-3</v>
      </c>
      <c r="BB89">
        <v>0.99258139999999995</v>
      </c>
      <c r="BC89">
        <v>0.99258139999999995</v>
      </c>
      <c r="BD89">
        <v>1.3110000000000001E-3</v>
      </c>
      <c r="BE89">
        <v>1.3110000000000001E-3</v>
      </c>
      <c r="BF89">
        <v>-76.522099999999995</v>
      </c>
      <c r="BG89">
        <v>-76.522099999999995</v>
      </c>
      <c r="BH89">
        <v>-174.6456</v>
      </c>
      <c r="BI89">
        <v>-174.6456</v>
      </c>
      <c r="BJ89">
        <v>0</v>
      </c>
      <c r="BK89">
        <v>0</v>
      </c>
      <c r="BL89">
        <v>0</v>
      </c>
      <c r="BM89">
        <v>180</v>
      </c>
      <c r="BP89">
        <v>0.54339999999999999</v>
      </c>
      <c r="BQ89">
        <v>0.91652719999999999</v>
      </c>
      <c r="BR89">
        <v>0.91652719999999999</v>
      </c>
      <c r="BS89">
        <v>0</v>
      </c>
      <c r="BT89">
        <v>0</v>
      </c>
      <c r="BU89">
        <v>8.34728E-2</v>
      </c>
      <c r="BV89">
        <v>8.34728E-2</v>
      </c>
      <c r="BW89">
        <v>-20.612500000000001</v>
      </c>
      <c r="BX89">
        <v>-20.612500000000001</v>
      </c>
      <c r="BY89">
        <v>161.30109999999999</v>
      </c>
      <c r="BZ89">
        <v>161.30109999999999</v>
      </c>
      <c r="CA89">
        <v>0</v>
      </c>
      <c r="CB89">
        <v>0</v>
      </c>
      <c r="CC89">
        <v>0</v>
      </c>
      <c r="CD89">
        <v>180</v>
      </c>
    </row>
    <row r="90" spans="19:82">
      <c r="S90">
        <v>0.54474999999999996</v>
      </c>
      <c r="T90">
        <v>0.97986479999999998</v>
      </c>
      <c r="U90">
        <v>0.97986479999999998</v>
      </c>
      <c r="V90">
        <v>9.5999999999999996E-6</v>
      </c>
      <c r="W90">
        <v>9.5999999999999996E-6</v>
      </c>
      <c r="X90">
        <v>2.0125500000000001E-2</v>
      </c>
      <c r="Y90">
        <v>2.0125500000000001E-2</v>
      </c>
      <c r="Z90">
        <v>-132.33600000000001</v>
      </c>
      <c r="AA90">
        <v>-132.33600000000001</v>
      </c>
      <c r="AB90">
        <v>159.5548</v>
      </c>
      <c r="AC90">
        <v>159.5548</v>
      </c>
      <c r="AD90">
        <v>0</v>
      </c>
      <c r="AE90">
        <v>0</v>
      </c>
      <c r="AF90">
        <v>0</v>
      </c>
      <c r="AG90">
        <v>180</v>
      </c>
      <c r="AI90">
        <v>0.54474999999999996</v>
      </c>
      <c r="AJ90">
        <v>0.98227549999999997</v>
      </c>
      <c r="AK90">
        <v>0.98227549999999997</v>
      </c>
      <c r="AL90">
        <v>1.1800000000000001E-5</v>
      </c>
      <c r="AM90">
        <v>1.1800000000000001E-5</v>
      </c>
      <c r="AN90">
        <v>1.7712700000000001E-2</v>
      </c>
      <c r="AO90">
        <v>1.7712700000000001E-2</v>
      </c>
      <c r="AP90">
        <v>-122.2671</v>
      </c>
      <c r="AQ90">
        <v>-122.2671</v>
      </c>
      <c r="AR90">
        <v>176.7971</v>
      </c>
      <c r="AS90">
        <v>176.7971</v>
      </c>
      <c r="AT90">
        <v>0</v>
      </c>
      <c r="AU90">
        <v>0</v>
      </c>
      <c r="AV90">
        <v>0</v>
      </c>
      <c r="AW90">
        <v>180</v>
      </c>
      <c r="AY90">
        <v>0.54474999999999996</v>
      </c>
      <c r="AZ90">
        <v>6.1227E-3</v>
      </c>
      <c r="BA90">
        <v>6.1227E-3</v>
      </c>
      <c r="BB90">
        <v>0.99257229999999996</v>
      </c>
      <c r="BC90">
        <v>0.99257229999999996</v>
      </c>
      <c r="BD90">
        <v>1.305E-3</v>
      </c>
      <c r="BE90">
        <v>1.305E-3</v>
      </c>
      <c r="BF90">
        <v>-75.311700000000002</v>
      </c>
      <c r="BG90">
        <v>-75.311700000000002</v>
      </c>
      <c r="BH90">
        <v>-174.4991</v>
      </c>
      <c r="BI90">
        <v>-174.4991</v>
      </c>
      <c r="BJ90">
        <v>0</v>
      </c>
      <c r="BK90">
        <v>0</v>
      </c>
      <c r="BL90">
        <v>0</v>
      </c>
      <c r="BM90">
        <v>180</v>
      </c>
      <c r="BP90">
        <v>0.54474999999999996</v>
      </c>
      <c r="BQ90">
        <v>0.9164139</v>
      </c>
      <c r="BR90">
        <v>0.9164139</v>
      </c>
      <c r="BS90">
        <v>0</v>
      </c>
      <c r="BT90">
        <v>0</v>
      </c>
      <c r="BU90">
        <v>8.3586099999999997E-2</v>
      </c>
      <c r="BV90">
        <v>8.3586099999999997E-2</v>
      </c>
      <c r="BW90">
        <v>-20.8371</v>
      </c>
      <c r="BX90">
        <v>-20.8371</v>
      </c>
      <c r="BY90">
        <v>161.34110000000001</v>
      </c>
      <c r="BZ90">
        <v>161.34110000000001</v>
      </c>
      <c r="CA90">
        <v>0</v>
      </c>
      <c r="CB90">
        <v>0</v>
      </c>
      <c r="CC90">
        <v>0</v>
      </c>
      <c r="CD90">
        <v>180</v>
      </c>
    </row>
    <row r="91" spans="19:82">
      <c r="S91">
        <v>0.54610000000000003</v>
      </c>
      <c r="T91">
        <v>0.98005209999999998</v>
      </c>
      <c r="U91">
        <v>0.98005209999999998</v>
      </c>
      <c r="V91">
        <v>9.3999999999999998E-6</v>
      </c>
      <c r="W91">
        <v>9.3999999999999998E-6</v>
      </c>
      <c r="X91">
        <v>1.9938500000000001E-2</v>
      </c>
      <c r="Y91">
        <v>1.9938500000000001E-2</v>
      </c>
      <c r="Z91">
        <v>-132.00309999999999</v>
      </c>
      <c r="AA91">
        <v>-132.00309999999999</v>
      </c>
      <c r="AB91">
        <v>160.04920000000001</v>
      </c>
      <c r="AC91">
        <v>160.04920000000001</v>
      </c>
      <c r="AD91">
        <v>0</v>
      </c>
      <c r="AE91">
        <v>0</v>
      </c>
      <c r="AF91">
        <v>0</v>
      </c>
      <c r="AG91">
        <v>180</v>
      </c>
      <c r="AI91">
        <v>0.54610000000000003</v>
      </c>
      <c r="AJ91">
        <v>0.98238890000000001</v>
      </c>
      <c r="AK91">
        <v>0.98238890000000001</v>
      </c>
      <c r="AL91">
        <v>1.15E-5</v>
      </c>
      <c r="AM91">
        <v>1.15E-5</v>
      </c>
      <c r="AN91">
        <v>1.7599500000000001E-2</v>
      </c>
      <c r="AO91">
        <v>1.7599500000000001E-2</v>
      </c>
      <c r="AP91">
        <v>-121.9609</v>
      </c>
      <c r="AQ91">
        <v>-121.9609</v>
      </c>
      <c r="AR91">
        <v>177.2405</v>
      </c>
      <c r="AS91">
        <v>177.2405</v>
      </c>
      <c r="AT91">
        <v>0</v>
      </c>
      <c r="AU91">
        <v>0</v>
      </c>
      <c r="AV91">
        <v>0</v>
      </c>
      <c r="AW91">
        <v>180</v>
      </c>
      <c r="AY91">
        <v>0.54610000000000003</v>
      </c>
      <c r="AZ91">
        <v>6.1332000000000001E-3</v>
      </c>
      <c r="BA91">
        <v>6.1332000000000001E-3</v>
      </c>
      <c r="BB91">
        <v>0.99256770000000005</v>
      </c>
      <c r="BC91">
        <v>0.99256770000000005</v>
      </c>
      <c r="BD91">
        <v>1.2991000000000001E-3</v>
      </c>
      <c r="BE91">
        <v>1.2991000000000001E-3</v>
      </c>
      <c r="BF91">
        <v>-74.107399999999998</v>
      </c>
      <c r="BG91">
        <v>-74.107399999999998</v>
      </c>
      <c r="BH91">
        <v>-174.35220000000001</v>
      </c>
      <c r="BI91">
        <v>-174.35220000000001</v>
      </c>
      <c r="BJ91">
        <v>0</v>
      </c>
      <c r="BK91">
        <v>0</v>
      </c>
      <c r="BL91">
        <v>0</v>
      </c>
      <c r="BM91">
        <v>180</v>
      </c>
      <c r="BP91">
        <v>0.54610000000000003</v>
      </c>
      <c r="BQ91">
        <v>0.91630529999999999</v>
      </c>
      <c r="BR91">
        <v>0.91630529999999999</v>
      </c>
      <c r="BS91">
        <v>0</v>
      </c>
      <c r="BT91">
        <v>0</v>
      </c>
      <c r="BU91">
        <v>8.3694699999999997E-2</v>
      </c>
      <c r="BV91">
        <v>8.3694699999999997E-2</v>
      </c>
      <c r="BW91">
        <v>-21.0609</v>
      </c>
      <c r="BX91">
        <v>-21.0609</v>
      </c>
      <c r="BY91">
        <v>161.38130000000001</v>
      </c>
      <c r="BZ91">
        <v>161.38130000000001</v>
      </c>
      <c r="CA91">
        <v>0</v>
      </c>
      <c r="CB91">
        <v>0</v>
      </c>
      <c r="CC91">
        <v>0</v>
      </c>
      <c r="CD91">
        <v>180</v>
      </c>
    </row>
    <row r="92" spans="19:82">
      <c r="S92">
        <v>0.54744999999999999</v>
      </c>
      <c r="T92">
        <v>0.98023479999999996</v>
      </c>
      <c r="U92">
        <v>0.98023479999999996</v>
      </c>
      <c r="V92">
        <v>9.2E-6</v>
      </c>
      <c r="W92">
        <v>9.2E-6</v>
      </c>
      <c r="X92">
        <v>1.9755999999999999E-2</v>
      </c>
      <c r="Y92">
        <v>1.9755999999999999E-2</v>
      </c>
      <c r="Z92">
        <v>-131.673</v>
      </c>
      <c r="AA92">
        <v>-131.673</v>
      </c>
      <c r="AB92">
        <v>160.53909999999999</v>
      </c>
      <c r="AC92">
        <v>160.53909999999999</v>
      </c>
      <c r="AD92">
        <v>0</v>
      </c>
      <c r="AE92">
        <v>0</v>
      </c>
      <c r="AF92">
        <v>0</v>
      </c>
      <c r="AG92">
        <v>180</v>
      </c>
      <c r="AI92">
        <v>0.54744999999999999</v>
      </c>
      <c r="AJ92">
        <v>0.98249909999999996</v>
      </c>
      <c r="AK92">
        <v>0.98249909999999996</v>
      </c>
      <c r="AL92">
        <v>1.13E-5</v>
      </c>
      <c r="AM92">
        <v>1.13E-5</v>
      </c>
      <c r="AN92">
        <v>1.7489600000000001E-2</v>
      </c>
      <c r="AO92">
        <v>1.7489600000000001E-2</v>
      </c>
      <c r="AP92">
        <v>-121.6571</v>
      </c>
      <c r="AQ92">
        <v>-121.6571</v>
      </c>
      <c r="AR92">
        <v>177.6808</v>
      </c>
      <c r="AS92">
        <v>177.6808</v>
      </c>
      <c r="AT92">
        <v>0</v>
      </c>
      <c r="AU92">
        <v>0</v>
      </c>
      <c r="AV92">
        <v>0</v>
      </c>
      <c r="AW92">
        <v>180</v>
      </c>
      <c r="AY92">
        <v>0.54744999999999999</v>
      </c>
      <c r="AZ92">
        <v>6.1392E-3</v>
      </c>
      <c r="BA92">
        <v>6.1392E-3</v>
      </c>
      <c r="BB92">
        <v>0.99256759999999999</v>
      </c>
      <c r="BC92">
        <v>0.99256759999999999</v>
      </c>
      <c r="BD92">
        <v>1.2932E-3</v>
      </c>
      <c r="BE92">
        <v>1.2932E-3</v>
      </c>
      <c r="BF92">
        <v>-72.909099999999995</v>
      </c>
      <c r="BG92">
        <v>-72.909099999999995</v>
      </c>
      <c r="BH92">
        <v>-174.20570000000001</v>
      </c>
      <c r="BI92">
        <v>-174.20570000000001</v>
      </c>
      <c r="BJ92">
        <v>0</v>
      </c>
      <c r="BK92">
        <v>0</v>
      </c>
      <c r="BL92">
        <v>0</v>
      </c>
      <c r="BM92">
        <v>180</v>
      </c>
      <c r="BP92">
        <v>0.54744999999999999</v>
      </c>
      <c r="BQ92">
        <v>0.91623560000000004</v>
      </c>
      <c r="BR92">
        <v>0.91623560000000004</v>
      </c>
      <c r="BS92">
        <v>0</v>
      </c>
      <c r="BT92">
        <v>0</v>
      </c>
      <c r="BU92">
        <v>8.3764400000000003E-2</v>
      </c>
      <c r="BV92">
        <v>8.3764400000000003E-2</v>
      </c>
      <c r="BW92">
        <v>-21.288699999999999</v>
      </c>
      <c r="BX92">
        <v>-21.288699999999999</v>
      </c>
      <c r="BY92">
        <v>161.4272</v>
      </c>
      <c r="BZ92">
        <v>161.4272</v>
      </c>
      <c r="CA92">
        <v>0</v>
      </c>
      <c r="CB92">
        <v>0</v>
      </c>
      <c r="CC92">
        <v>0</v>
      </c>
      <c r="CD92">
        <v>180</v>
      </c>
    </row>
    <row r="93" spans="19:82">
      <c r="S93">
        <v>0.54879999999999995</v>
      </c>
      <c r="T93">
        <v>0.98041310000000004</v>
      </c>
      <c r="U93">
        <v>0.98041310000000004</v>
      </c>
      <c r="V93">
        <v>9.0000000000000002E-6</v>
      </c>
      <c r="W93">
        <v>9.0000000000000002E-6</v>
      </c>
      <c r="X93">
        <v>1.9577899999999999E-2</v>
      </c>
      <c r="Y93">
        <v>1.9577899999999999E-2</v>
      </c>
      <c r="Z93">
        <v>-131.3458</v>
      </c>
      <c r="AA93">
        <v>-131.3458</v>
      </c>
      <c r="AB93">
        <v>161.02449999999999</v>
      </c>
      <c r="AC93">
        <v>161.02449999999999</v>
      </c>
      <c r="AD93">
        <v>0</v>
      </c>
      <c r="AE93">
        <v>0</v>
      </c>
      <c r="AF93">
        <v>0</v>
      </c>
      <c r="AG93">
        <v>180</v>
      </c>
      <c r="AI93">
        <v>0.54879999999999995</v>
      </c>
      <c r="AJ93">
        <v>0.98260630000000004</v>
      </c>
      <c r="AK93">
        <v>0.98260630000000004</v>
      </c>
      <c r="AL93">
        <v>1.11E-5</v>
      </c>
      <c r="AM93">
        <v>1.11E-5</v>
      </c>
      <c r="AN93">
        <v>1.7382600000000002E-2</v>
      </c>
      <c r="AO93">
        <v>1.7382600000000002E-2</v>
      </c>
      <c r="AP93">
        <v>-121.355</v>
      </c>
      <c r="AQ93">
        <v>-121.355</v>
      </c>
      <c r="AR93">
        <v>178.11850000000001</v>
      </c>
      <c r="AS93">
        <v>178.11850000000001</v>
      </c>
      <c r="AT93">
        <v>0</v>
      </c>
      <c r="AU93">
        <v>0</v>
      </c>
      <c r="AV93">
        <v>0</v>
      </c>
      <c r="AW93">
        <v>180</v>
      </c>
      <c r="AY93">
        <v>0.54879999999999995</v>
      </c>
      <c r="AZ93">
        <v>6.1409000000000004E-3</v>
      </c>
      <c r="BA93">
        <v>6.1409000000000004E-3</v>
      </c>
      <c r="BB93">
        <v>0.9925718</v>
      </c>
      <c r="BC93">
        <v>0.9925718</v>
      </c>
      <c r="BD93">
        <v>1.2872999999999999E-3</v>
      </c>
      <c r="BE93">
        <v>1.2872999999999999E-3</v>
      </c>
      <c r="BF93">
        <v>-71.716700000000003</v>
      </c>
      <c r="BG93">
        <v>-71.716700000000003</v>
      </c>
      <c r="BH93">
        <v>-174.0608</v>
      </c>
      <c r="BI93">
        <v>-174.0608</v>
      </c>
      <c r="BJ93">
        <v>0</v>
      </c>
      <c r="BK93">
        <v>0</v>
      </c>
      <c r="BL93">
        <v>0</v>
      </c>
      <c r="BM93">
        <v>180</v>
      </c>
      <c r="BP93">
        <v>0.54879999999999995</v>
      </c>
      <c r="BQ93">
        <v>0.91616759999999997</v>
      </c>
      <c r="BR93">
        <v>0.91616759999999997</v>
      </c>
      <c r="BS93">
        <v>0</v>
      </c>
      <c r="BT93">
        <v>0</v>
      </c>
      <c r="BU93">
        <v>8.3832400000000001E-2</v>
      </c>
      <c r="BV93">
        <v>8.3832400000000001E-2</v>
      </c>
      <c r="BW93">
        <v>-21.5154</v>
      </c>
      <c r="BX93">
        <v>-21.5154</v>
      </c>
      <c r="BY93">
        <v>161.47280000000001</v>
      </c>
      <c r="BZ93">
        <v>161.47280000000001</v>
      </c>
      <c r="CA93">
        <v>0</v>
      </c>
      <c r="CB93">
        <v>0</v>
      </c>
      <c r="CC93">
        <v>0</v>
      </c>
      <c r="CD93">
        <v>180</v>
      </c>
    </row>
    <row r="94" spans="19:82">
      <c r="S94">
        <v>0.55015000000000003</v>
      </c>
      <c r="T94">
        <v>0.98058630000000002</v>
      </c>
      <c r="U94">
        <v>0.98058630000000002</v>
      </c>
      <c r="V94">
        <v>8.8000000000000004E-6</v>
      </c>
      <c r="W94">
        <v>8.8000000000000004E-6</v>
      </c>
      <c r="X94">
        <v>1.9404899999999999E-2</v>
      </c>
      <c r="Y94">
        <v>1.9404899999999999E-2</v>
      </c>
      <c r="Z94">
        <v>-131.0215</v>
      </c>
      <c r="AA94">
        <v>-131.0215</v>
      </c>
      <c r="AB94">
        <v>161.50569999999999</v>
      </c>
      <c r="AC94">
        <v>161.50569999999999</v>
      </c>
      <c r="AD94">
        <v>0</v>
      </c>
      <c r="AE94">
        <v>0</v>
      </c>
      <c r="AF94">
        <v>0</v>
      </c>
      <c r="AG94">
        <v>180</v>
      </c>
      <c r="AI94">
        <v>0.55015000000000003</v>
      </c>
      <c r="AJ94">
        <v>0.98271010000000003</v>
      </c>
      <c r="AK94">
        <v>0.98271010000000003</v>
      </c>
      <c r="AL94">
        <v>1.0900000000000001E-5</v>
      </c>
      <c r="AM94">
        <v>1.0900000000000001E-5</v>
      </c>
      <c r="AN94">
        <v>1.7278999999999999E-2</v>
      </c>
      <c r="AO94">
        <v>1.7278999999999999E-2</v>
      </c>
      <c r="AP94">
        <v>-121.0553</v>
      </c>
      <c r="AQ94">
        <v>-121.0553</v>
      </c>
      <c r="AR94">
        <v>178.55340000000001</v>
      </c>
      <c r="AS94">
        <v>178.55340000000001</v>
      </c>
      <c r="AT94">
        <v>0</v>
      </c>
      <c r="AU94">
        <v>0</v>
      </c>
      <c r="AV94">
        <v>0</v>
      </c>
      <c r="AW94">
        <v>180</v>
      </c>
      <c r="AY94">
        <v>0.55015000000000003</v>
      </c>
      <c r="AZ94">
        <v>6.1383000000000002E-3</v>
      </c>
      <c r="BA94">
        <v>6.1383000000000002E-3</v>
      </c>
      <c r="BB94">
        <v>0.99258020000000002</v>
      </c>
      <c r="BC94">
        <v>0.99258020000000002</v>
      </c>
      <c r="BD94">
        <v>1.2815000000000001E-3</v>
      </c>
      <c r="BE94">
        <v>1.2815000000000001E-3</v>
      </c>
      <c r="BF94">
        <v>-70.530299999999997</v>
      </c>
      <c r="BG94">
        <v>-70.530299999999997</v>
      </c>
      <c r="BH94">
        <v>-173.91829999999999</v>
      </c>
      <c r="BI94">
        <v>-173.91829999999999</v>
      </c>
      <c r="BJ94">
        <v>0</v>
      </c>
      <c r="BK94">
        <v>0</v>
      </c>
      <c r="BL94">
        <v>0</v>
      </c>
      <c r="BM94">
        <v>180</v>
      </c>
      <c r="BP94">
        <v>0.55015000000000003</v>
      </c>
      <c r="BQ94">
        <v>0.9161011</v>
      </c>
      <c r="BR94">
        <v>0.9161011</v>
      </c>
      <c r="BS94">
        <v>0</v>
      </c>
      <c r="BT94">
        <v>0</v>
      </c>
      <c r="BU94">
        <v>8.3898899999999998E-2</v>
      </c>
      <c r="BV94">
        <v>8.3898899999999998E-2</v>
      </c>
      <c r="BW94">
        <v>-21.741</v>
      </c>
      <c r="BX94">
        <v>-21.741</v>
      </c>
      <c r="BY94">
        <v>161.51830000000001</v>
      </c>
      <c r="BZ94">
        <v>161.51830000000001</v>
      </c>
      <c r="CA94">
        <v>0</v>
      </c>
      <c r="CB94">
        <v>0</v>
      </c>
      <c r="CC94">
        <v>0</v>
      </c>
      <c r="CD94">
        <v>180</v>
      </c>
    </row>
    <row r="95" spans="19:82">
      <c r="S95">
        <v>0.55149999999999999</v>
      </c>
      <c r="T95">
        <v>0.98074939999999999</v>
      </c>
      <c r="U95">
        <v>0.98074939999999999</v>
      </c>
      <c r="V95">
        <v>8.6000000000000007E-6</v>
      </c>
      <c r="W95">
        <v>8.6000000000000007E-6</v>
      </c>
      <c r="X95">
        <v>1.9241999999999999E-2</v>
      </c>
      <c r="Y95">
        <v>1.9241999999999999E-2</v>
      </c>
      <c r="Z95">
        <v>-130.70259999999999</v>
      </c>
      <c r="AA95">
        <v>-130.70259999999999</v>
      </c>
      <c r="AB95">
        <v>161.9838</v>
      </c>
      <c r="AC95">
        <v>161.9838</v>
      </c>
      <c r="AD95">
        <v>0</v>
      </c>
      <c r="AE95">
        <v>0</v>
      </c>
      <c r="AF95">
        <v>0</v>
      </c>
      <c r="AG95">
        <v>180</v>
      </c>
      <c r="AI95">
        <v>0.55149999999999999</v>
      </c>
      <c r="AJ95">
        <v>0.98280670000000003</v>
      </c>
      <c r="AK95">
        <v>0.98280670000000003</v>
      </c>
      <c r="AL95">
        <v>1.0699999999999999E-5</v>
      </c>
      <c r="AM95">
        <v>1.0699999999999999E-5</v>
      </c>
      <c r="AN95">
        <v>1.7182699999999999E-2</v>
      </c>
      <c r="AO95">
        <v>1.7182699999999999E-2</v>
      </c>
      <c r="AP95">
        <v>-120.76179999999999</v>
      </c>
      <c r="AQ95">
        <v>-120.76179999999999</v>
      </c>
      <c r="AR95">
        <v>178.98310000000001</v>
      </c>
      <c r="AS95">
        <v>178.98310000000001</v>
      </c>
      <c r="AT95">
        <v>0</v>
      </c>
      <c r="AU95">
        <v>0</v>
      </c>
      <c r="AV95">
        <v>0</v>
      </c>
      <c r="AW95">
        <v>180</v>
      </c>
      <c r="AY95">
        <v>0.55149999999999999</v>
      </c>
      <c r="AZ95">
        <v>6.1316000000000001E-3</v>
      </c>
      <c r="BA95">
        <v>6.1316000000000001E-3</v>
      </c>
      <c r="BB95">
        <v>0.99259280000000005</v>
      </c>
      <c r="BC95">
        <v>0.99259280000000005</v>
      </c>
      <c r="BD95">
        <v>1.2757000000000001E-3</v>
      </c>
      <c r="BE95">
        <v>1.2757000000000001E-3</v>
      </c>
      <c r="BF95">
        <v>-69.349699999999999</v>
      </c>
      <c r="BG95">
        <v>-69.349699999999999</v>
      </c>
      <c r="BH95">
        <v>-173.7792</v>
      </c>
      <c r="BI95">
        <v>-173.7792</v>
      </c>
      <c r="BJ95">
        <v>0</v>
      </c>
      <c r="BK95">
        <v>0</v>
      </c>
      <c r="BL95">
        <v>0</v>
      </c>
      <c r="BM95">
        <v>180</v>
      </c>
      <c r="BP95">
        <v>0.55149999999999999</v>
      </c>
      <c r="BQ95">
        <v>0.91603630000000003</v>
      </c>
      <c r="BR95">
        <v>0.91603630000000003</v>
      </c>
      <c r="BS95">
        <v>0</v>
      </c>
      <c r="BT95">
        <v>0</v>
      </c>
      <c r="BU95">
        <v>8.3963700000000002E-2</v>
      </c>
      <c r="BV95">
        <v>8.3963700000000002E-2</v>
      </c>
      <c r="BW95">
        <v>-21.965499999999999</v>
      </c>
      <c r="BX95">
        <v>-21.965499999999999</v>
      </c>
      <c r="BY95">
        <v>161.5635</v>
      </c>
      <c r="BZ95">
        <v>161.5635</v>
      </c>
      <c r="CA95">
        <v>0</v>
      </c>
      <c r="CB95">
        <v>0</v>
      </c>
      <c r="CC95">
        <v>0</v>
      </c>
      <c r="CD95">
        <v>180</v>
      </c>
    </row>
    <row r="96" spans="19:82">
      <c r="S96">
        <v>0.55284999999999995</v>
      </c>
      <c r="T96">
        <v>0.98090849999999996</v>
      </c>
      <c r="U96">
        <v>0.98090849999999996</v>
      </c>
      <c r="V96">
        <v>8.4999999999999999E-6</v>
      </c>
      <c r="W96">
        <v>8.4999999999999999E-6</v>
      </c>
      <c r="X96">
        <v>1.9083099999999999E-2</v>
      </c>
      <c r="Y96">
        <v>1.9083099999999999E-2</v>
      </c>
      <c r="Z96">
        <v>-130.3862</v>
      </c>
      <c r="AA96">
        <v>-130.3862</v>
      </c>
      <c r="AB96">
        <v>162.45779999999999</v>
      </c>
      <c r="AC96">
        <v>162.45779999999999</v>
      </c>
      <c r="AD96">
        <v>0</v>
      </c>
      <c r="AE96">
        <v>0</v>
      </c>
      <c r="AF96">
        <v>0</v>
      </c>
      <c r="AG96">
        <v>180</v>
      </c>
      <c r="AI96">
        <v>0.55284999999999995</v>
      </c>
      <c r="AJ96">
        <v>0.98290060000000001</v>
      </c>
      <c r="AK96">
        <v>0.98290060000000001</v>
      </c>
      <c r="AL96">
        <v>1.0499999999999999E-5</v>
      </c>
      <c r="AM96">
        <v>1.0499999999999999E-5</v>
      </c>
      <c r="AN96">
        <v>1.7088900000000001E-2</v>
      </c>
      <c r="AO96">
        <v>1.7088900000000001E-2</v>
      </c>
      <c r="AP96">
        <v>-120.47</v>
      </c>
      <c r="AQ96">
        <v>-120.47</v>
      </c>
      <c r="AR96">
        <v>179.41050000000001</v>
      </c>
      <c r="AS96">
        <v>179.41050000000001</v>
      </c>
      <c r="AT96">
        <v>0</v>
      </c>
      <c r="AU96">
        <v>0</v>
      </c>
      <c r="AV96">
        <v>0</v>
      </c>
      <c r="AW96">
        <v>180</v>
      </c>
      <c r="AY96">
        <v>0.55284999999999995</v>
      </c>
      <c r="AZ96">
        <v>6.1208E-3</v>
      </c>
      <c r="BA96">
        <v>6.1208E-3</v>
      </c>
      <c r="BB96">
        <v>0.99260930000000003</v>
      </c>
      <c r="BC96">
        <v>0.99260930000000003</v>
      </c>
      <c r="BD96">
        <v>1.2699E-3</v>
      </c>
      <c r="BE96">
        <v>1.2699E-3</v>
      </c>
      <c r="BF96">
        <v>-68.174899999999994</v>
      </c>
      <c r="BG96">
        <v>-68.174899999999994</v>
      </c>
      <c r="BH96">
        <v>-173.64429999999999</v>
      </c>
      <c r="BI96">
        <v>-173.64429999999999</v>
      </c>
      <c r="BJ96">
        <v>0</v>
      </c>
      <c r="BK96">
        <v>0</v>
      </c>
      <c r="BL96">
        <v>0</v>
      </c>
      <c r="BM96">
        <v>180</v>
      </c>
      <c r="BP96">
        <v>0.55284999999999995</v>
      </c>
      <c r="BQ96">
        <v>0.91597300000000004</v>
      </c>
      <c r="BR96">
        <v>0.91597300000000004</v>
      </c>
      <c r="BS96">
        <v>0</v>
      </c>
      <c r="BT96">
        <v>0</v>
      </c>
      <c r="BU96">
        <v>8.4027000000000004E-2</v>
      </c>
      <c r="BV96">
        <v>8.4027000000000004E-2</v>
      </c>
      <c r="BW96">
        <v>-22.1889</v>
      </c>
      <c r="BX96">
        <v>-22.1889</v>
      </c>
      <c r="BY96">
        <v>161.60849999999999</v>
      </c>
      <c r="BZ96">
        <v>161.60849999999999</v>
      </c>
      <c r="CA96">
        <v>0</v>
      </c>
      <c r="CB96">
        <v>0</v>
      </c>
      <c r="CC96">
        <v>0</v>
      </c>
      <c r="CD96">
        <v>180</v>
      </c>
    </row>
    <row r="97" spans="19:82">
      <c r="S97">
        <v>0.55420000000000003</v>
      </c>
      <c r="T97">
        <v>0.98106380000000004</v>
      </c>
      <c r="U97">
        <v>0.98106380000000004</v>
      </c>
      <c r="V97">
        <v>8.3000000000000002E-6</v>
      </c>
      <c r="W97">
        <v>8.3000000000000002E-6</v>
      </c>
      <c r="X97">
        <v>1.8927900000000001E-2</v>
      </c>
      <c r="Y97">
        <v>1.8927900000000001E-2</v>
      </c>
      <c r="Z97">
        <v>-130.07220000000001</v>
      </c>
      <c r="AA97">
        <v>-130.07220000000001</v>
      </c>
      <c r="AB97">
        <v>162.92779999999999</v>
      </c>
      <c r="AC97">
        <v>162.92779999999999</v>
      </c>
      <c r="AD97">
        <v>0</v>
      </c>
      <c r="AE97">
        <v>0</v>
      </c>
      <c r="AF97">
        <v>0</v>
      </c>
      <c r="AG97">
        <v>180</v>
      </c>
      <c r="AI97">
        <v>0.55420000000000003</v>
      </c>
      <c r="AJ97">
        <v>0.98299210000000004</v>
      </c>
      <c r="AK97">
        <v>0.98299210000000004</v>
      </c>
      <c r="AL97">
        <v>1.03E-5</v>
      </c>
      <c r="AM97">
        <v>1.03E-5</v>
      </c>
      <c r="AN97">
        <v>1.6997600000000002E-2</v>
      </c>
      <c r="AO97">
        <v>1.6997600000000002E-2</v>
      </c>
      <c r="AP97">
        <v>-120.1798</v>
      </c>
      <c r="AQ97">
        <v>-120.1798</v>
      </c>
      <c r="AR97">
        <v>179.8357</v>
      </c>
      <c r="AS97">
        <v>179.8357</v>
      </c>
      <c r="AT97">
        <v>0</v>
      </c>
      <c r="AU97">
        <v>0</v>
      </c>
      <c r="AV97">
        <v>0</v>
      </c>
      <c r="AW97">
        <v>180</v>
      </c>
      <c r="AY97">
        <v>0.55420000000000003</v>
      </c>
      <c r="AZ97">
        <v>6.1060999999999997E-3</v>
      </c>
      <c r="BA97">
        <v>6.1060999999999997E-3</v>
      </c>
      <c r="BB97">
        <v>0.99262980000000001</v>
      </c>
      <c r="BC97">
        <v>0.99262980000000001</v>
      </c>
      <c r="BD97">
        <v>1.2642E-3</v>
      </c>
      <c r="BE97">
        <v>1.2642E-3</v>
      </c>
      <c r="BF97">
        <v>-67.005899999999997</v>
      </c>
      <c r="BG97">
        <v>-67.005899999999997</v>
      </c>
      <c r="BH97">
        <v>-173.5145</v>
      </c>
      <c r="BI97">
        <v>-173.5145</v>
      </c>
      <c r="BJ97">
        <v>0</v>
      </c>
      <c r="BK97">
        <v>0</v>
      </c>
      <c r="BL97">
        <v>0</v>
      </c>
      <c r="BM97">
        <v>180</v>
      </c>
      <c r="BP97">
        <v>0.55420000000000003</v>
      </c>
      <c r="BQ97">
        <v>0.91591120000000004</v>
      </c>
      <c r="BR97">
        <v>0.91591120000000004</v>
      </c>
      <c r="BS97">
        <v>0</v>
      </c>
      <c r="BT97">
        <v>0</v>
      </c>
      <c r="BU97">
        <v>8.4088800000000005E-2</v>
      </c>
      <c r="BV97">
        <v>8.4088800000000005E-2</v>
      </c>
      <c r="BW97">
        <v>-22.411200000000001</v>
      </c>
      <c r="BX97">
        <v>-22.411200000000001</v>
      </c>
      <c r="BY97">
        <v>161.6533</v>
      </c>
      <c r="BZ97">
        <v>161.6533</v>
      </c>
      <c r="CA97">
        <v>0</v>
      </c>
      <c r="CB97">
        <v>0</v>
      </c>
      <c r="CC97">
        <v>0</v>
      </c>
      <c r="CD97">
        <v>180</v>
      </c>
    </row>
    <row r="98" spans="19:82">
      <c r="S98">
        <v>0.55554999999999999</v>
      </c>
      <c r="T98">
        <v>0.98121530000000001</v>
      </c>
      <c r="U98">
        <v>0.98121530000000001</v>
      </c>
      <c r="V98">
        <v>8.1000000000000004E-6</v>
      </c>
      <c r="W98">
        <v>8.1000000000000004E-6</v>
      </c>
      <c r="X98">
        <v>1.8776600000000001E-2</v>
      </c>
      <c r="Y98">
        <v>1.8776600000000001E-2</v>
      </c>
      <c r="Z98">
        <v>-129.76070000000001</v>
      </c>
      <c r="AA98">
        <v>-129.76070000000001</v>
      </c>
      <c r="AB98">
        <v>163.3939</v>
      </c>
      <c r="AC98">
        <v>163.3939</v>
      </c>
      <c r="AD98">
        <v>0</v>
      </c>
      <c r="AE98">
        <v>0</v>
      </c>
      <c r="AF98">
        <v>0</v>
      </c>
      <c r="AG98">
        <v>180</v>
      </c>
      <c r="AI98">
        <v>0.55554999999999999</v>
      </c>
      <c r="AJ98">
        <v>0.98308099999999998</v>
      </c>
      <c r="AK98">
        <v>0.98308099999999998</v>
      </c>
      <c r="AL98">
        <v>1.01E-5</v>
      </c>
      <c r="AM98">
        <v>1.01E-5</v>
      </c>
      <c r="AN98">
        <v>1.6908800000000002E-2</v>
      </c>
      <c r="AO98">
        <v>1.6908800000000002E-2</v>
      </c>
      <c r="AP98">
        <v>-119.8912</v>
      </c>
      <c r="AQ98">
        <v>-119.8912</v>
      </c>
      <c r="AR98">
        <v>-179.7414</v>
      </c>
      <c r="AS98">
        <v>-179.7414</v>
      </c>
      <c r="AT98">
        <v>0</v>
      </c>
      <c r="AU98">
        <v>0</v>
      </c>
      <c r="AV98">
        <v>0</v>
      </c>
      <c r="AW98">
        <v>180</v>
      </c>
      <c r="AY98">
        <v>0.55554999999999999</v>
      </c>
      <c r="AZ98">
        <v>6.0876000000000003E-3</v>
      </c>
      <c r="BA98">
        <v>6.0876000000000003E-3</v>
      </c>
      <c r="BB98">
        <v>0.99265389999999998</v>
      </c>
      <c r="BC98">
        <v>0.99265389999999998</v>
      </c>
      <c r="BD98">
        <v>1.2585000000000001E-3</v>
      </c>
      <c r="BE98">
        <v>1.2585000000000001E-3</v>
      </c>
      <c r="BF98">
        <v>-65.842500000000001</v>
      </c>
      <c r="BG98">
        <v>-65.842500000000001</v>
      </c>
      <c r="BH98">
        <v>-173.3905</v>
      </c>
      <c r="BI98">
        <v>-173.3905</v>
      </c>
      <c r="BJ98">
        <v>0</v>
      </c>
      <c r="BK98">
        <v>0</v>
      </c>
      <c r="BL98">
        <v>0</v>
      </c>
      <c r="BM98">
        <v>180</v>
      </c>
      <c r="BP98">
        <v>0.55554999999999999</v>
      </c>
      <c r="BQ98">
        <v>0.91585099999999997</v>
      </c>
      <c r="BR98">
        <v>0.91585099999999997</v>
      </c>
      <c r="BS98">
        <v>0</v>
      </c>
      <c r="BT98">
        <v>0</v>
      </c>
      <c r="BU98">
        <v>8.4149000000000002E-2</v>
      </c>
      <c r="BV98">
        <v>8.4149000000000002E-2</v>
      </c>
      <c r="BW98">
        <v>-22.6325</v>
      </c>
      <c r="BX98">
        <v>-22.6325</v>
      </c>
      <c r="BY98">
        <v>161.6979</v>
      </c>
      <c r="BZ98">
        <v>161.6979</v>
      </c>
      <c r="CA98">
        <v>0</v>
      </c>
      <c r="CB98">
        <v>0</v>
      </c>
      <c r="CC98">
        <v>0</v>
      </c>
      <c r="CD98">
        <v>180</v>
      </c>
    </row>
    <row r="99" spans="19:82">
      <c r="S99">
        <v>0.55689999999999995</v>
      </c>
      <c r="T99">
        <v>0.98136330000000005</v>
      </c>
      <c r="U99">
        <v>0.98136330000000005</v>
      </c>
      <c r="V99">
        <v>7.9999999999999996E-6</v>
      </c>
      <c r="W99">
        <v>7.9999999999999996E-6</v>
      </c>
      <c r="X99">
        <v>1.8628800000000001E-2</v>
      </c>
      <c r="Y99">
        <v>1.8628800000000001E-2</v>
      </c>
      <c r="Z99">
        <v>-129.45140000000001</v>
      </c>
      <c r="AA99">
        <v>-129.45140000000001</v>
      </c>
      <c r="AB99">
        <v>163.8562</v>
      </c>
      <c r="AC99">
        <v>163.8562</v>
      </c>
      <c r="AD99">
        <v>0</v>
      </c>
      <c r="AE99">
        <v>0</v>
      </c>
      <c r="AF99">
        <v>0</v>
      </c>
      <c r="AG99">
        <v>180</v>
      </c>
      <c r="AI99">
        <v>0.55689999999999995</v>
      </c>
      <c r="AJ99">
        <v>0.98316760000000003</v>
      </c>
      <c r="AK99">
        <v>0.98316760000000003</v>
      </c>
      <c r="AL99">
        <v>9.9000000000000001E-6</v>
      </c>
      <c r="AM99">
        <v>9.9000000000000001E-6</v>
      </c>
      <c r="AN99">
        <v>1.6822500000000001E-2</v>
      </c>
      <c r="AO99">
        <v>1.6822500000000001E-2</v>
      </c>
      <c r="AP99">
        <v>-119.6041</v>
      </c>
      <c r="AQ99">
        <v>-119.6041</v>
      </c>
      <c r="AR99">
        <v>-179.32069999999999</v>
      </c>
      <c r="AS99">
        <v>-179.32069999999999</v>
      </c>
      <c r="AT99">
        <v>0</v>
      </c>
      <c r="AU99">
        <v>0</v>
      </c>
      <c r="AV99">
        <v>0</v>
      </c>
      <c r="AW99">
        <v>180</v>
      </c>
      <c r="AY99">
        <v>0.55689999999999995</v>
      </c>
      <c r="AZ99">
        <v>6.0656E-3</v>
      </c>
      <c r="BA99">
        <v>6.0656E-3</v>
      </c>
      <c r="BB99">
        <v>0.99268160000000005</v>
      </c>
      <c r="BC99">
        <v>0.99268160000000005</v>
      </c>
      <c r="BD99">
        <v>1.2528000000000001E-3</v>
      </c>
      <c r="BE99">
        <v>1.2528000000000001E-3</v>
      </c>
      <c r="BF99">
        <v>-64.684899999999999</v>
      </c>
      <c r="BG99">
        <v>-64.684899999999999</v>
      </c>
      <c r="BH99">
        <v>-173.2732</v>
      </c>
      <c r="BI99">
        <v>-173.2732</v>
      </c>
      <c r="BJ99">
        <v>0</v>
      </c>
      <c r="BK99">
        <v>0</v>
      </c>
      <c r="BL99">
        <v>0</v>
      </c>
      <c r="BM99">
        <v>180</v>
      </c>
      <c r="BP99">
        <v>0.55689999999999995</v>
      </c>
      <c r="BQ99">
        <v>0.9157923</v>
      </c>
      <c r="BR99">
        <v>0.9157923</v>
      </c>
      <c r="BS99">
        <v>0</v>
      </c>
      <c r="BT99">
        <v>0</v>
      </c>
      <c r="BU99">
        <v>8.4207699999999996E-2</v>
      </c>
      <c r="BV99">
        <v>8.4207699999999996E-2</v>
      </c>
      <c r="BW99">
        <v>-22.852599999999999</v>
      </c>
      <c r="BX99">
        <v>-22.852599999999999</v>
      </c>
      <c r="BY99">
        <v>161.7423</v>
      </c>
      <c r="BZ99">
        <v>161.7423</v>
      </c>
      <c r="CA99">
        <v>0</v>
      </c>
      <c r="CB99">
        <v>0</v>
      </c>
      <c r="CC99">
        <v>0</v>
      </c>
      <c r="CD99">
        <v>180</v>
      </c>
    </row>
    <row r="100" spans="19:82">
      <c r="S100">
        <v>0.55825000000000002</v>
      </c>
      <c r="T100">
        <v>0.98150769999999998</v>
      </c>
      <c r="U100">
        <v>0.98150769999999998</v>
      </c>
      <c r="V100">
        <v>7.7999999999999999E-6</v>
      </c>
      <c r="W100">
        <v>7.7999999999999999E-6</v>
      </c>
      <c r="X100">
        <v>1.8484500000000001E-2</v>
      </c>
      <c r="Y100">
        <v>1.8484500000000001E-2</v>
      </c>
      <c r="Z100">
        <v>-129.14449999999999</v>
      </c>
      <c r="AA100">
        <v>-129.14449999999999</v>
      </c>
      <c r="AB100">
        <v>164.31479999999999</v>
      </c>
      <c r="AC100">
        <v>164.31479999999999</v>
      </c>
      <c r="AD100">
        <v>0</v>
      </c>
      <c r="AE100">
        <v>0</v>
      </c>
      <c r="AF100">
        <v>0</v>
      </c>
      <c r="AG100">
        <v>180</v>
      </c>
      <c r="AI100">
        <v>0.55825000000000002</v>
      </c>
      <c r="AJ100">
        <v>0.98325180000000001</v>
      </c>
      <c r="AK100">
        <v>0.98325180000000001</v>
      </c>
      <c r="AL100">
        <v>9.7999999999999993E-6</v>
      </c>
      <c r="AM100">
        <v>9.7999999999999993E-6</v>
      </c>
      <c r="AN100">
        <v>1.67385E-2</v>
      </c>
      <c r="AO100">
        <v>1.67385E-2</v>
      </c>
      <c r="AP100">
        <v>-119.3185</v>
      </c>
      <c r="AQ100">
        <v>-119.3185</v>
      </c>
      <c r="AR100">
        <v>-178.90199999999999</v>
      </c>
      <c r="AS100">
        <v>-178.90199999999999</v>
      </c>
      <c r="AT100">
        <v>0</v>
      </c>
      <c r="AU100">
        <v>0</v>
      </c>
      <c r="AV100">
        <v>0</v>
      </c>
      <c r="AW100">
        <v>180</v>
      </c>
      <c r="AY100">
        <v>0.55825000000000002</v>
      </c>
      <c r="AZ100">
        <v>6.0401999999999999E-3</v>
      </c>
      <c r="BA100">
        <v>6.0401999999999999E-3</v>
      </c>
      <c r="BB100">
        <v>0.9927127</v>
      </c>
      <c r="BC100">
        <v>0.9927127</v>
      </c>
      <c r="BD100">
        <v>1.2472E-3</v>
      </c>
      <c r="BE100">
        <v>1.2472E-3</v>
      </c>
      <c r="BF100">
        <v>-63.532800000000002</v>
      </c>
      <c r="BG100">
        <v>-63.532800000000002</v>
      </c>
      <c r="BH100">
        <v>-173.16329999999999</v>
      </c>
      <c r="BI100">
        <v>-173.16329999999999</v>
      </c>
      <c r="BJ100">
        <v>0</v>
      </c>
      <c r="BK100">
        <v>0</v>
      </c>
      <c r="BL100">
        <v>0</v>
      </c>
      <c r="BM100">
        <v>180</v>
      </c>
      <c r="BP100">
        <v>0.55825000000000002</v>
      </c>
      <c r="BQ100">
        <v>0.91573510000000002</v>
      </c>
      <c r="BR100">
        <v>0.91573510000000002</v>
      </c>
      <c r="BS100">
        <v>0</v>
      </c>
      <c r="BT100">
        <v>0</v>
      </c>
      <c r="BU100">
        <v>8.4264900000000004E-2</v>
      </c>
      <c r="BV100">
        <v>8.4264900000000004E-2</v>
      </c>
      <c r="BW100">
        <v>-23.0717</v>
      </c>
      <c r="BX100">
        <v>-23.0717</v>
      </c>
      <c r="BY100">
        <v>161.78649999999999</v>
      </c>
      <c r="BZ100">
        <v>161.78649999999999</v>
      </c>
      <c r="CA100">
        <v>0</v>
      </c>
      <c r="CB100">
        <v>0</v>
      </c>
      <c r="CC100">
        <v>0</v>
      </c>
      <c r="CD100">
        <v>180</v>
      </c>
    </row>
    <row r="101" spans="19:82">
      <c r="S101">
        <v>0.55959999999999999</v>
      </c>
      <c r="T101">
        <v>0.98165089999999999</v>
      </c>
      <c r="U101">
        <v>0.98165089999999999</v>
      </c>
      <c r="V101">
        <v>7.7000000000000008E-6</v>
      </c>
      <c r="W101">
        <v>7.7000000000000008E-6</v>
      </c>
      <c r="X101">
        <v>1.83415E-2</v>
      </c>
      <c r="Y101">
        <v>1.83415E-2</v>
      </c>
      <c r="Z101">
        <v>-128.83930000000001</v>
      </c>
      <c r="AA101">
        <v>-128.83930000000001</v>
      </c>
      <c r="AB101">
        <v>164.76990000000001</v>
      </c>
      <c r="AC101">
        <v>164.76990000000001</v>
      </c>
      <c r="AD101">
        <v>0</v>
      </c>
      <c r="AE101">
        <v>0</v>
      </c>
      <c r="AF101">
        <v>0</v>
      </c>
      <c r="AG101">
        <v>180</v>
      </c>
      <c r="AI101">
        <v>0.55959999999999999</v>
      </c>
      <c r="AJ101">
        <v>0.98333499999999996</v>
      </c>
      <c r="AK101">
        <v>0.98333499999999996</v>
      </c>
      <c r="AL101">
        <v>9.5999999999999996E-6</v>
      </c>
      <c r="AM101">
        <v>9.5999999999999996E-6</v>
      </c>
      <c r="AN101">
        <v>1.6655400000000001E-2</v>
      </c>
      <c r="AO101">
        <v>1.6655400000000001E-2</v>
      </c>
      <c r="AP101">
        <v>-119.03440000000001</v>
      </c>
      <c r="AQ101">
        <v>-119.03440000000001</v>
      </c>
      <c r="AR101">
        <v>-178.4853</v>
      </c>
      <c r="AS101">
        <v>-178.4853</v>
      </c>
      <c r="AT101">
        <v>0</v>
      </c>
      <c r="AU101">
        <v>0</v>
      </c>
      <c r="AV101">
        <v>0</v>
      </c>
      <c r="AW101">
        <v>180</v>
      </c>
      <c r="AY101">
        <v>0.55959999999999999</v>
      </c>
      <c r="AZ101">
        <v>6.0114000000000001E-3</v>
      </c>
      <c r="BA101">
        <v>6.0114000000000001E-3</v>
      </c>
      <c r="BB101">
        <v>0.99274700000000005</v>
      </c>
      <c r="BC101">
        <v>0.99274700000000005</v>
      </c>
      <c r="BD101">
        <v>1.2416E-3</v>
      </c>
      <c r="BE101">
        <v>1.2416E-3</v>
      </c>
      <c r="BF101">
        <v>-62.386299999999999</v>
      </c>
      <c r="BG101">
        <v>-62.386299999999999</v>
      </c>
      <c r="BH101">
        <v>-173.0615</v>
      </c>
      <c r="BI101">
        <v>-173.0615</v>
      </c>
      <c r="BJ101">
        <v>0</v>
      </c>
      <c r="BK101">
        <v>0</v>
      </c>
      <c r="BL101">
        <v>0</v>
      </c>
      <c r="BM101">
        <v>180</v>
      </c>
      <c r="BP101">
        <v>0.55959999999999999</v>
      </c>
      <c r="BQ101">
        <v>0.91567929999999997</v>
      </c>
      <c r="BR101">
        <v>0.91567929999999997</v>
      </c>
      <c r="BS101">
        <v>0</v>
      </c>
      <c r="BT101">
        <v>0</v>
      </c>
      <c r="BU101">
        <v>8.4320699999999998E-2</v>
      </c>
      <c r="BV101">
        <v>8.4320699999999998E-2</v>
      </c>
      <c r="BW101">
        <v>-23.2897</v>
      </c>
      <c r="BX101">
        <v>-23.2897</v>
      </c>
      <c r="BY101">
        <v>161.8305</v>
      </c>
      <c r="BZ101">
        <v>161.8305</v>
      </c>
      <c r="CA101">
        <v>0</v>
      </c>
      <c r="CB101">
        <v>0</v>
      </c>
      <c r="CC101">
        <v>0</v>
      </c>
      <c r="CD101">
        <v>180</v>
      </c>
    </row>
    <row r="102" spans="19:82">
      <c r="S102">
        <v>0.56094999999999995</v>
      </c>
      <c r="T102">
        <v>0.98179119999999998</v>
      </c>
      <c r="U102">
        <v>0.98179119999999998</v>
      </c>
      <c r="V102">
        <v>7.5000000000000002E-6</v>
      </c>
      <c r="W102">
        <v>7.5000000000000002E-6</v>
      </c>
      <c r="X102">
        <v>1.82013E-2</v>
      </c>
      <c r="Y102">
        <v>1.82013E-2</v>
      </c>
      <c r="Z102">
        <v>-128.53620000000001</v>
      </c>
      <c r="AA102">
        <v>-128.53620000000001</v>
      </c>
      <c r="AB102">
        <v>165.22139999999999</v>
      </c>
      <c r="AC102">
        <v>165.22139999999999</v>
      </c>
      <c r="AD102">
        <v>0</v>
      </c>
      <c r="AE102">
        <v>0</v>
      </c>
      <c r="AF102">
        <v>0</v>
      </c>
      <c r="AG102">
        <v>180</v>
      </c>
      <c r="AI102">
        <v>0.56094999999999995</v>
      </c>
      <c r="AJ102">
        <v>0.98341630000000002</v>
      </c>
      <c r="AK102">
        <v>0.98341630000000002</v>
      </c>
      <c r="AL102">
        <v>9.5000000000000005E-6</v>
      </c>
      <c r="AM102">
        <v>9.5000000000000005E-6</v>
      </c>
      <c r="AN102">
        <v>1.65743E-2</v>
      </c>
      <c r="AO102">
        <v>1.65743E-2</v>
      </c>
      <c r="AP102">
        <v>-118.7516</v>
      </c>
      <c r="AQ102">
        <v>-118.7516</v>
      </c>
      <c r="AR102">
        <v>-178.07060000000001</v>
      </c>
      <c r="AS102">
        <v>-178.07060000000001</v>
      </c>
      <c r="AT102">
        <v>0</v>
      </c>
      <c r="AU102">
        <v>0</v>
      </c>
      <c r="AV102">
        <v>0</v>
      </c>
      <c r="AW102">
        <v>180</v>
      </c>
      <c r="AY102">
        <v>0.56094999999999995</v>
      </c>
      <c r="AZ102">
        <v>5.9797000000000001E-3</v>
      </c>
      <c r="BA102">
        <v>5.9797000000000001E-3</v>
      </c>
      <c r="BB102">
        <v>0.99278429999999995</v>
      </c>
      <c r="BC102">
        <v>0.99278429999999995</v>
      </c>
      <c r="BD102">
        <v>1.2359999999999999E-3</v>
      </c>
      <c r="BE102">
        <v>1.2359999999999999E-3</v>
      </c>
      <c r="BF102">
        <v>-61.245399999999997</v>
      </c>
      <c r="BG102">
        <v>-61.245399999999997</v>
      </c>
      <c r="BH102">
        <v>-172.96860000000001</v>
      </c>
      <c r="BI102">
        <v>-172.96860000000001</v>
      </c>
      <c r="BJ102">
        <v>0</v>
      </c>
      <c r="BK102">
        <v>0</v>
      </c>
      <c r="BL102">
        <v>0</v>
      </c>
      <c r="BM102">
        <v>180</v>
      </c>
      <c r="BP102">
        <v>0.56094999999999995</v>
      </c>
      <c r="BQ102">
        <v>0.91562500000000002</v>
      </c>
      <c r="BR102">
        <v>0.91562500000000002</v>
      </c>
      <c r="BS102">
        <v>0</v>
      </c>
      <c r="BT102">
        <v>0</v>
      </c>
      <c r="BU102">
        <v>8.4375000000000006E-2</v>
      </c>
      <c r="BV102">
        <v>8.4375000000000006E-2</v>
      </c>
      <c r="BW102">
        <v>-23.506699999999999</v>
      </c>
      <c r="BX102">
        <v>-23.506699999999999</v>
      </c>
      <c r="BY102">
        <v>161.8742</v>
      </c>
      <c r="BZ102">
        <v>161.8742</v>
      </c>
      <c r="CA102">
        <v>0</v>
      </c>
      <c r="CB102">
        <v>0</v>
      </c>
      <c r="CC102">
        <v>0</v>
      </c>
      <c r="CD102">
        <v>180</v>
      </c>
    </row>
    <row r="103" spans="19:82">
      <c r="S103">
        <v>0.56230000000000002</v>
      </c>
      <c r="T103">
        <v>0.98192820000000003</v>
      </c>
      <c r="U103">
        <v>0.98192820000000003</v>
      </c>
      <c r="V103">
        <v>7.4000000000000003E-6</v>
      </c>
      <c r="W103">
        <v>7.4000000000000003E-6</v>
      </c>
      <c r="X103">
        <v>1.8064400000000001E-2</v>
      </c>
      <c r="Y103">
        <v>1.8064400000000001E-2</v>
      </c>
      <c r="Z103">
        <v>-128.2353</v>
      </c>
      <c r="AA103">
        <v>-128.2353</v>
      </c>
      <c r="AB103">
        <v>165.6695</v>
      </c>
      <c r="AC103">
        <v>165.6695</v>
      </c>
      <c r="AD103">
        <v>0</v>
      </c>
      <c r="AE103">
        <v>0</v>
      </c>
      <c r="AF103">
        <v>0</v>
      </c>
      <c r="AG103">
        <v>180</v>
      </c>
      <c r="AI103">
        <v>0.56230000000000002</v>
      </c>
      <c r="AJ103">
        <v>0.98349529999999996</v>
      </c>
      <c r="AK103">
        <v>0.98349529999999996</v>
      </c>
      <c r="AL103">
        <v>9.3000000000000007E-6</v>
      </c>
      <c r="AM103">
        <v>9.3000000000000007E-6</v>
      </c>
      <c r="AN103">
        <v>1.64954E-2</v>
      </c>
      <c r="AO103">
        <v>1.64954E-2</v>
      </c>
      <c r="AP103">
        <v>-118.47020000000001</v>
      </c>
      <c r="AQ103">
        <v>-118.47020000000001</v>
      </c>
      <c r="AR103">
        <v>-177.65790000000001</v>
      </c>
      <c r="AS103">
        <v>-177.65790000000001</v>
      </c>
      <c r="AT103">
        <v>0</v>
      </c>
      <c r="AU103">
        <v>0</v>
      </c>
      <c r="AV103">
        <v>0</v>
      </c>
      <c r="AW103">
        <v>180</v>
      </c>
      <c r="AY103">
        <v>0.56230000000000002</v>
      </c>
      <c r="AZ103">
        <v>5.9449999999999998E-3</v>
      </c>
      <c r="BA103">
        <v>5.9449999999999998E-3</v>
      </c>
      <c r="BB103">
        <v>0.9928245</v>
      </c>
      <c r="BC103">
        <v>0.9928245</v>
      </c>
      <c r="BD103">
        <v>1.2305E-3</v>
      </c>
      <c r="BE103">
        <v>1.2305E-3</v>
      </c>
      <c r="BF103">
        <v>-60.109900000000003</v>
      </c>
      <c r="BG103">
        <v>-60.109900000000003</v>
      </c>
      <c r="BH103">
        <v>-172.88509999999999</v>
      </c>
      <c r="BI103">
        <v>-172.88509999999999</v>
      </c>
      <c r="BJ103">
        <v>0</v>
      </c>
      <c r="BK103">
        <v>0</v>
      </c>
      <c r="BL103">
        <v>0</v>
      </c>
      <c r="BM103">
        <v>180</v>
      </c>
      <c r="BP103">
        <v>0.56230000000000002</v>
      </c>
      <c r="BQ103">
        <v>0.91557219999999995</v>
      </c>
      <c r="BR103">
        <v>0.91557219999999995</v>
      </c>
      <c r="BS103">
        <v>0</v>
      </c>
      <c r="BT103">
        <v>0</v>
      </c>
      <c r="BU103">
        <v>8.4427799999999997E-2</v>
      </c>
      <c r="BV103">
        <v>8.4427799999999997E-2</v>
      </c>
      <c r="BW103">
        <v>-23.7226</v>
      </c>
      <c r="BX103">
        <v>-23.7226</v>
      </c>
      <c r="BY103">
        <v>161.9178</v>
      </c>
      <c r="BZ103">
        <v>161.9178</v>
      </c>
      <c r="CA103">
        <v>0</v>
      </c>
      <c r="CB103">
        <v>0</v>
      </c>
      <c r="CC103">
        <v>0</v>
      </c>
      <c r="CD103">
        <v>180</v>
      </c>
    </row>
    <row r="104" spans="19:82">
      <c r="S104">
        <v>0.56364999999999998</v>
      </c>
      <c r="T104">
        <v>0.98206199999999999</v>
      </c>
      <c r="U104">
        <v>0.98206199999999999</v>
      </c>
      <c r="V104">
        <v>7.1999999999999997E-6</v>
      </c>
      <c r="W104">
        <v>7.1999999999999997E-6</v>
      </c>
      <c r="X104">
        <v>1.7930700000000001E-2</v>
      </c>
      <c r="Y104">
        <v>1.7930700000000001E-2</v>
      </c>
      <c r="Z104">
        <v>-127.9365</v>
      </c>
      <c r="AA104">
        <v>-127.9365</v>
      </c>
      <c r="AB104">
        <v>166.11420000000001</v>
      </c>
      <c r="AC104">
        <v>166.11420000000001</v>
      </c>
      <c r="AD104">
        <v>0</v>
      </c>
      <c r="AE104">
        <v>0</v>
      </c>
      <c r="AF104">
        <v>0</v>
      </c>
      <c r="AG104">
        <v>180</v>
      </c>
      <c r="AI104">
        <v>0.56364999999999998</v>
      </c>
      <c r="AJ104">
        <v>0.98357220000000001</v>
      </c>
      <c r="AK104">
        <v>0.98357220000000001</v>
      </c>
      <c r="AL104">
        <v>9.0999999999999993E-6</v>
      </c>
      <c r="AM104">
        <v>9.0999999999999993E-6</v>
      </c>
      <c r="AN104">
        <v>1.6418599999999998E-2</v>
      </c>
      <c r="AO104">
        <v>1.6418599999999998E-2</v>
      </c>
      <c r="AP104">
        <v>-118.19029999999999</v>
      </c>
      <c r="AQ104">
        <v>-118.19029999999999</v>
      </c>
      <c r="AR104">
        <v>-177.24700000000001</v>
      </c>
      <c r="AS104">
        <v>-177.24700000000001</v>
      </c>
      <c r="AT104">
        <v>0</v>
      </c>
      <c r="AU104">
        <v>0</v>
      </c>
      <c r="AV104">
        <v>0</v>
      </c>
      <c r="AW104">
        <v>180</v>
      </c>
      <c r="AY104">
        <v>0.56364999999999998</v>
      </c>
      <c r="AZ104">
        <v>5.9075999999999998E-3</v>
      </c>
      <c r="BA104">
        <v>5.9075999999999998E-3</v>
      </c>
      <c r="BB104">
        <v>0.99286739999999996</v>
      </c>
      <c r="BC104">
        <v>0.99286739999999996</v>
      </c>
      <c r="BD104">
        <v>1.225E-3</v>
      </c>
      <c r="BE104">
        <v>1.225E-3</v>
      </c>
      <c r="BF104">
        <v>-58.979799999999997</v>
      </c>
      <c r="BG104">
        <v>-58.979799999999997</v>
      </c>
      <c r="BH104">
        <v>-172.8116</v>
      </c>
      <c r="BI104">
        <v>-172.8116</v>
      </c>
      <c r="BJ104">
        <v>0</v>
      </c>
      <c r="BK104">
        <v>0</v>
      </c>
      <c r="BL104">
        <v>0</v>
      </c>
      <c r="BM104">
        <v>180</v>
      </c>
      <c r="BP104">
        <v>0.56364999999999998</v>
      </c>
      <c r="BQ104">
        <v>0.91552069999999997</v>
      </c>
      <c r="BR104">
        <v>0.91552069999999997</v>
      </c>
      <c r="BS104">
        <v>0</v>
      </c>
      <c r="BT104">
        <v>0</v>
      </c>
      <c r="BU104">
        <v>8.4479299999999993E-2</v>
      </c>
      <c r="BV104">
        <v>8.4479299999999993E-2</v>
      </c>
      <c r="BW104">
        <v>-23.9375</v>
      </c>
      <c r="BX104">
        <v>-23.9375</v>
      </c>
      <c r="BY104">
        <v>161.96119999999999</v>
      </c>
      <c r="BZ104">
        <v>161.96119999999999</v>
      </c>
      <c r="CA104">
        <v>0</v>
      </c>
      <c r="CB104">
        <v>0</v>
      </c>
      <c r="CC104">
        <v>0</v>
      </c>
      <c r="CD104">
        <v>180</v>
      </c>
    </row>
    <row r="105" spans="19:82">
      <c r="S105">
        <v>0.56499999999999995</v>
      </c>
      <c r="T105">
        <v>0.98219270000000003</v>
      </c>
      <c r="U105">
        <v>0.98219270000000003</v>
      </c>
      <c r="V105">
        <v>7.0999999999999998E-6</v>
      </c>
      <c r="W105">
        <v>7.0999999999999998E-6</v>
      </c>
      <c r="X105">
        <v>1.7800199999999999E-2</v>
      </c>
      <c r="Y105">
        <v>1.7800199999999999E-2</v>
      </c>
      <c r="Z105">
        <v>-127.63979999999999</v>
      </c>
      <c r="AA105">
        <v>-127.63979999999999</v>
      </c>
      <c r="AB105">
        <v>166.55549999999999</v>
      </c>
      <c r="AC105">
        <v>166.55549999999999</v>
      </c>
      <c r="AD105">
        <v>0</v>
      </c>
      <c r="AE105">
        <v>0</v>
      </c>
      <c r="AF105">
        <v>0</v>
      </c>
      <c r="AG105">
        <v>180</v>
      </c>
      <c r="AI105">
        <v>0.56499999999999995</v>
      </c>
      <c r="AJ105">
        <v>0.98364700000000005</v>
      </c>
      <c r="AK105">
        <v>0.98364700000000005</v>
      </c>
      <c r="AL105">
        <v>9.0000000000000002E-6</v>
      </c>
      <c r="AM105">
        <v>9.0000000000000002E-6</v>
      </c>
      <c r="AN105">
        <v>1.6344000000000001E-2</v>
      </c>
      <c r="AO105">
        <v>1.6344000000000001E-2</v>
      </c>
      <c r="AP105">
        <v>-117.9117</v>
      </c>
      <c r="AQ105">
        <v>-117.9117</v>
      </c>
      <c r="AR105">
        <v>-176.83799999999999</v>
      </c>
      <c r="AS105">
        <v>-176.83799999999999</v>
      </c>
      <c r="AT105">
        <v>0</v>
      </c>
      <c r="AU105">
        <v>0</v>
      </c>
      <c r="AV105">
        <v>0</v>
      </c>
      <c r="AW105">
        <v>180</v>
      </c>
      <c r="AY105">
        <v>0.56499999999999995</v>
      </c>
      <c r="AZ105">
        <v>5.8677E-3</v>
      </c>
      <c r="BA105">
        <v>5.8677E-3</v>
      </c>
      <c r="BB105">
        <v>0.99291269999999998</v>
      </c>
      <c r="BC105">
        <v>0.99291269999999998</v>
      </c>
      <c r="BD105">
        <v>1.2195999999999999E-3</v>
      </c>
      <c r="BE105">
        <v>1.2195999999999999E-3</v>
      </c>
      <c r="BF105">
        <v>-57.8551</v>
      </c>
      <c r="BG105">
        <v>-57.8551</v>
      </c>
      <c r="BH105">
        <v>-172.749</v>
      </c>
      <c r="BI105">
        <v>-172.749</v>
      </c>
      <c r="BJ105">
        <v>0</v>
      </c>
      <c r="BK105">
        <v>0</v>
      </c>
      <c r="BL105">
        <v>0</v>
      </c>
      <c r="BM105">
        <v>180</v>
      </c>
      <c r="BP105">
        <v>0.56499999999999995</v>
      </c>
      <c r="BQ105">
        <v>0.91547060000000002</v>
      </c>
      <c r="BR105">
        <v>0.91547060000000002</v>
      </c>
      <c r="BS105">
        <v>0</v>
      </c>
      <c r="BT105">
        <v>0</v>
      </c>
      <c r="BU105">
        <v>8.4529400000000005E-2</v>
      </c>
      <c r="BV105">
        <v>8.4529400000000005E-2</v>
      </c>
      <c r="BW105">
        <v>-24.151399999999999</v>
      </c>
      <c r="BX105">
        <v>-24.151399999999999</v>
      </c>
      <c r="BY105">
        <v>162.0043</v>
      </c>
      <c r="BZ105">
        <v>162.0043</v>
      </c>
      <c r="CA105">
        <v>0</v>
      </c>
      <c r="CB105">
        <v>0</v>
      </c>
      <c r="CC105">
        <v>0</v>
      </c>
      <c r="CD105">
        <v>180</v>
      </c>
    </row>
    <row r="106" spans="19:82">
      <c r="S106">
        <v>0.56635000000000002</v>
      </c>
      <c r="T106">
        <v>0.98232030000000004</v>
      </c>
      <c r="U106">
        <v>0.98232030000000004</v>
      </c>
      <c r="V106">
        <v>6.9999999999999999E-6</v>
      </c>
      <c r="W106">
        <v>6.9999999999999999E-6</v>
      </c>
      <c r="X106">
        <v>1.76727E-2</v>
      </c>
      <c r="Y106">
        <v>1.76727E-2</v>
      </c>
      <c r="Z106">
        <v>-127.34520000000001</v>
      </c>
      <c r="AA106">
        <v>-127.34520000000001</v>
      </c>
      <c r="AB106">
        <v>166.99359999999999</v>
      </c>
      <c r="AC106">
        <v>166.99359999999999</v>
      </c>
      <c r="AD106">
        <v>0</v>
      </c>
      <c r="AE106">
        <v>0</v>
      </c>
      <c r="AF106">
        <v>0</v>
      </c>
      <c r="AG106">
        <v>180</v>
      </c>
      <c r="AI106">
        <v>0.56635000000000002</v>
      </c>
      <c r="AJ106">
        <v>0.98371969999999997</v>
      </c>
      <c r="AK106">
        <v>0.98371969999999997</v>
      </c>
      <c r="AL106">
        <v>8.8000000000000004E-6</v>
      </c>
      <c r="AM106">
        <v>8.8000000000000004E-6</v>
      </c>
      <c r="AN106">
        <v>1.6271399999999998E-2</v>
      </c>
      <c r="AO106">
        <v>1.6271399999999998E-2</v>
      </c>
      <c r="AP106">
        <v>-117.6345</v>
      </c>
      <c r="AQ106">
        <v>-117.6345</v>
      </c>
      <c r="AR106">
        <v>-176.4308</v>
      </c>
      <c r="AS106">
        <v>-176.4308</v>
      </c>
      <c r="AT106">
        <v>0</v>
      </c>
      <c r="AU106">
        <v>0</v>
      </c>
      <c r="AV106">
        <v>0</v>
      </c>
      <c r="AW106">
        <v>180</v>
      </c>
      <c r="AY106">
        <v>0.56635000000000002</v>
      </c>
      <c r="AZ106">
        <v>5.8254999999999999E-3</v>
      </c>
      <c r="BA106">
        <v>5.8254999999999999E-3</v>
      </c>
      <c r="BB106">
        <v>0.99296039999999997</v>
      </c>
      <c r="BC106">
        <v>0.99296039999999997</v>
      </c>
      <c r="BD106">
        <v>1.2141000000000001E-3</v>
      </c>
      <c r="BE106">
        <v>1.2141000000000001E-3</v>
      </c>
      <c r="BF106">
        <v>-56.735799999999998</v>
      </c>
      <c r="BG106">
        <v>-56.735799999999998</v>
      </c>
      <c r="BH106">
        <v>-172.69749999999999</v>
      </c>
      <c r="BI106">
        <v>-172.69749999999999</v>
      </c>
      <c r="BJ106">
        <v>0</v>
      </c>
      <c r="BK106">
        <v>0</v>
      </c>
      <c r="BL106">
        <v>0</v>
      </c>
      <c r="BM106">
        <v>180</v>
      </c>
      <c r="BP106">
        <v>0.56635000000000002</v>
      </c>
      <c r="BQ106">
        <v>0.91542190000000001</v>
      </c>
      <c r="BR106">
        <v>0.91542190000000001</v>
      </c>
      <c r="BS106">
        <v>0</v>
      </c>
      <c r="BT106">
        <v>0</v>
      </c>
      <c r="BU106">
        <v>8.4578100000000003E-2</v>
      </c>
      <c r="BV106">
        <v>8.4578100000000003E-2</v>
      </c>
      <c r="BW106">
        <v>-24.3642</v>
      </c>
      <c r="BX106">
        <v>-24.3642</v>
      </c>
      <c r="BY106">
        <v>162.04730000000001</v>
      </c>
      <c r="BZ106">
        <v>162.04730000000001</v>
      </c>
      <c r="CA106">
        <v>0</v>
      </c>
      <c r="CB106">
        <v>0</v>
      </c>
      <c r="CC106">
        <v>0</v>
      </c>
      <c r="CD106">
        <v>180</v>
      </c>
    </row>
    <row r="107" spans="19:82">
      <c r="S107">
        <v>0.56769999999999998</v>
      </c>
      <c r="T107">
        <v>0.98244489999999995</v>
      </c>
      <c r="U107">
        <v>0.98244489999999995</v>
      </c>
      <c r="V107">
        <v>6.9E-6</v>
      </c>
      <c r="W107">
        <v>6.9E-6</v>
      </c>
      <c r="X107">
        <v>1.75482E-2</v>
      </c>
      <c r="Y107">
        <v>1.75482E-2</v>
      </c>
      <c r="Z107">
        <v>-127.0526</v>
      </c>
      <c r="AA107">
        <v>-127.0526</v>
      </c>
      <c r="AB107">
        <v>167.42859999999999</v>
      </c>
      <c r="AC107">
        <v>167.42859999999999</v>
      </c>
      <c r="AD107">
        <v>0</v>
      </c>
      <c r="AE107">
        <v>0</v>
      </c>
      <c r="AF107">
        <v>0</v>
      </c>
      <c r="AG107">
        <v>180</v>
      </c>
      <c r="AI107">
        <v>0.56769999999999998</v>
      </c>
      <c r="AJ107">
        <v>0.98379320000000003</v>
      </c>
      <c r="AK107">
        <v>0.98379320000000003</v>
      </c>
      <c r="AL107">
        <v>8.6999999999999997E-6</v>
      </c>
      <c r="AM107">
        <v>8.6999999999999997E-6</v>
      </c>
      <c r="AN107">
        <v>1.61981E-2</v>
      </c>
      <c r="AO107">
        <v>1.61981E-2</v>
      </c>
      <c r="AP107">
        <v>-117.3599</v>
      </c>
      <c r="AQ107">
        <v>-117.3599</v>
      </c>
      <c r="AR107">
        <v>-176.02789999999999</v>
      </c>
      <c r="AS107">
        <v>-176.02789999999999</v>
      </c>
      <c r="AT107">
        <v>0</v>
      </c>
      <c r="AU107">
        <v>0</v>
      </c>
      <c r="AV107">
        <v>0</v>
      </c>
      <c r="AW107">
        <v>180</v>
      </c>
      <c r="AY107">
        <v>0.56769999999999998</v>
      </c>
      <c r="AZ107">
        <v>5.7812000000000002E-3</v>
      </c>
      <c r="BA107">
        <v>5.7812000000000002E-3</v>
      </c>
      <c r="BB107">
        <v>0.99301010000000001</v>
      </c>
      <c r="BC107">
        <v>0.99301010000000001</v>
      </c>
      <c r="BD107">
        <v>1.2087000000000001E-3</v>
      </c>
      <c r="BE107">
        <v>1.2087000000000001E-3</v>
      </c>
      <c r="BF107">
        <v>-55.621699999999997</v>
      </c>
      <c r="BG107">
        <v>-55.621699999999997</v>
      </c>
      <c r="BH107">
        <v>-172.65799999999999</v>
      </c>
      <c r="BI107">
        <v>-172.65799999999999</v>
      </c>
      <c r="BJ107">
        <v>0</v>
      </c>
      <c r="BK107">
        <v>0</v>
      </c>
      <c r="BL107">
        <v>0</v>
      </c>
      <c r="BM107">
        <v>180</v>
      </c>
      <c r="BP107">
        <v>0.56769999999999998</v>
      </c>
      <c r="BQ107">
        <v>0.91537460000000004</v>
      </c>
      <c r="BR107">
        <v>0.91537460000000004</v>
      </c>
      <c r="BS107">
        <v>0</v>
      </c>
      <c r="BT107">
        <v>0</v>
      </c>
      <c r="BU107">
        <v>8.4625400000000003E-2</v>
      </c>
      <c r="BV107">
        <v>8.4625400000000003E-2</v>
      </c>
      <c r="BW107">
        <v>-24.576000000000001</v>
      </c>
      <c r="BX107">
        <v>-24.576000000000001</v>
      </c>
      <c r="BY107">
        <v>162.09010000000001</v>
      </c>
      <c r="BZ107">
        <v>162.09010000000001</v>
      </c>
      <c r="CA107">
        <v>0</v>
      </c>
      <c r="CB107">
        <v>0</v>
      </c>
      <c r="CC107">
        <v>0</v>
      </c>
      <c r="CD107">
        <v>180</v>
      </c>
    </row>
    <row r="108" spans="19:82">
      <c r="S108">
        <v>0.56904999999999994</v>
      </c>
      <c r="T108">
        <v>0.98256659999999996</v>
      </c>
      <c r="U108">
        <v>0.98256659999999996</v>
      </c>
      <c r="V108">
        <v>6.7000000000000002E-6</v>
      </c>
      <c r="W108">
        <v>6.7000000000000002E-6</v>
      </c>
      <c r="X108">
        <v>1.74266E-2</v>
      </c>
      <c r="Y108">
        <v>1.74266E-2</v>
      </c>
      <c r="Z108">
        <v>-126.762</v>
      </c>
      <c r="AA108">
        <v>-126.762</v>
      </c>
      <c r="AB108">
        <v>167.8604</v>
      </c>
      <c r="AC108">
        <v>167.8604</v>
      </c>
      <c r="AD108">
        <v>0</v>
      </c>
      <c r="AE108">
        <v>0</v>
      </c>
      <c r="AF108">
        <v>0</v>
      </c>
      <c r="AG108">
        <v>180</v>
      </c>
      <c r="AI108">
        <v>0.56904999999999994</v>
      </c>
      <c r="AJ108">
        <v>0.98386589999999996</v>
      </c>
      <c r="AK108">
        <v>0.98386589999999996</v>
      </c>
      <c r="AL108">
        <v>8.6000000000000007E-6</v>
      </c>
      <c r="AM108">
        <v>8.6000000000000007E-6</v>
      </c>
      <c r="AN108">
        <v>1.6125500000000001E-2</v>
      </c>
      <c r="AO108">
        <v>1.6125500000000001E-2</v>
      </c>
      <c r="AP108">
        <v>-117.0872</v>
      </c>
      <c r="AQ108">
        <v>-117.0872</v>
      </c>
      <c r="AR108">
        <v>-175.62780000000001</v>
      </c>
      <c r="AS108">
        <v>-175.62780000000001</v>
      </c>
      <c r="AT108">
        <v>0</v>
      </c>
      <c r="AU108">
        <v>0</v>
      </c>
      <c r="AV108">
        <v>0</v>
      </c>
      <c r="AW108">
        <v>180</v>
      </c>
      <c r="AY108">
        <v>0.56904999999999994</v>
      </c>
      <c r="AZ108">
        <v>5.7348E-3</v>
      </c>
      <c r="BA108">
        <v>5.7348E-3</v>
      </c>
      <c r="BB108">
        <v>0.99306179999999999</v>
      </c>
      <c r="BC108">
        <v>0.99306179999999999</v>
      </c>
      <c r="BD108">
        <v>1.2033E-3</v>
      </c>
      <c r="BE108">
        <v>1.2033E-3</v>
      </c>
      <c r="BF108">
        <v>-54.5137</v>
      </c>
      <c r="BG108">
        <v>-54.5137</v>
      </c>
      <c r="BH108">
        <v>-172.63069999999999</v>
      </c>
      <c r="BI108">
        <v>-172.63069999999999</v>
      </c>
      <c r="BJ108">
        <v>0</v>
      </c>
      <c r="BK108">
        <v>0</v>
      </c>
      <c r="BL108">
        <v>0</v>
      </c>
      <c r="BM108">
        <v>180</v>
      </c>
      <c r="BP108">
        <v>0.56904999999999994</v>
      </c>
      <c r="BQ108">
        <v>0.91532860000000005</v>
      </c>
      <c r="BR108">
        <v>0.91532860000000005</v>
      </c>
      <c r="BS108">
        <v>0</v>
      </c>
      <c r="BT108">
        <v>0</v>
      </c>
      <c r="BU108">
        <v>8.4671399999999994E-2</v>
      </c>
      <c r="BV108">
        <v>8.4671399999999994E-2</v>
      </c>
      <c r="BW108">
        <v>-24.786799999999999</v>
      </c>
      <c r="BX108">
        <v>-24.786799999999999</v>
      </c>
      <c r="BY108">
        <v>162.1327</v>
      </c>
      <c r="BZ108">
        <v>162.1327</v>
      </c>
      <c r="CA108">
        <v>0</v>
      </c>
      <c r="CB108">
        <v>0</v>
      </c>
      <c r="CC108">
        <v>0</v>
      </c>
      <c r="CD108">
        <v>180</v>
      </c>
    </row>
    <row r="109" spans="19:82">
      <c r="S109">
        <v>0.57040000000000002</v>
      </c>
      <c r="T109">
        <v>0.98268549999999999</v>
      </c>
      <c r="U109">
        <v>0.98268549999999999</v>
      </c>
      <c r="V109">
        <v>6.6000000000000003E-6</v>
      </c>
      <c r="W109">
        <v>6.6000000000000003E-6</v>
      </c>
      <c r="X109">
        <v>1.7307800000000002E-2</v>
      </c>
      <c r="Y109">
        <v>1.7307800000000002E-2</v>
      </c>
      <c r="Z109">
        <v>-126.47329999999999</v>
      </c>
      <c r="AA109">
        <v>-126.47329999999999</v>
      </c>
      <c r="AB109">
        <v>168.28919999999999</v>
      </c>
      <c r="AC109">
        <v>168.28919999999999</v>
      </c>
      <c r="AD109">
        <v>0</v>
      </c>
      <c r="AE109">
        <v>0</v>
      </c>
      <c r="AF109">
        <v>0</v>
      </c>
      <c r="AG109">
        <v>180</v>
      </c>
      <c r="AI109">
        <v>0.57040000000000002</v>
      </c>
      <c r="AJ109">
        <v>0.98393679999999994</v>
      </c>
      <c r="AK109">
        <v>0.98393679999999994</v>
      </c>
      <c r="AL109">
        <v>8.3999999999999992E-6</v>
      </c>
      <c r="AM109">
        <v>8.3999999999999992E-6</v>
      </c>
      <c r="AN109">
        <v>1.6054800000000001E-2</v>
      </c>
      <c r="AO109">
        <v>1.6054800000000001E-2</v>
      </c>
      <c r="AP109">
        <v>-116.8158</v>
      </c>
      <c r="AQ109">
        <v>-116.8158</v>
      </c>
      <c r="AR109">
        <v>-175.2294</v>
      </c>
      <c r="AS109">
        <v>-175.2294</v>
      </c>
      <c r="AT109">
        <v>0</v>
      </c>
      <c r="AU109">
        <v>0</v>
      </c>
      <c r="AV109">
        <v>0</v>
      </c>
      <c r="AW109">
        <v>180</v>
      </c>
      <c r="AY109">
        <v>0.57040000000000002</v>
      </c>
      <c r="AZ109">
        <v>5.6849999999999999E-3</v>
      </c>
      <c r="BA109">
        <v>5.6849999999999999E-3</v>
      </c>
      <c r="BB109">
        <v>0.99311899999999997</v>
      </c>
      <c r="BC109">
        <v>0.99311899999999997</v>
      </c>
      <c r="BD109">
        <v>1.196E-3</v>
      </c>
      <c r="BE109">
        <v>1.196E-3</v>
      </c>
      <c r="BF109">
        <v>-53.430900000000001</v>
      </c>
      <c r="BG109">
        <v>-53.430900000000001</v>
      </c>
      <c r="BH109">
        <v>-172.6148</v>
      </c>
      <c r="BI109">
        <v>-172.6148</v>
      </c>
      <c r="BJ109">
        <v>0</v>
      </c>
      <c r="BK109">
        <v>0</v>
      </c>
      <c r="BL109">
        <v>0</v>
      </c>
      <c r="BM109">
        <v>180</v>
      </c>
      <c r="BP109">
        <v>0.57040000000000002</v>
      </c>
      <c r="BQ109">
        <v>0.91528399999999999</v>
      </c>
      <c r="BR109">
        <v>0.91528399999999999</v>
      </c>
      <c r="BS109">
        <v>0</v>
      </c>
      <c r="BT109">
        <v>0</v>
      </c>
      <c r="BU109">
        <v>8.4716E-2</v>
      </c>
      <c r="BV109">
        <v>8.4716E-2</v>
      </c>
      <c r="BW109">
        <v>-24.996700000000001</v>
      </c>
      <c r="BX109">
        <v>-24.996700000000001</v>
      </c>
      <c r="BY109">
        <v>162.17509999999999</v>
      </c>
      <c r="BZ109">
        <v>162.17509999999999</v>
      </c>
      <c r="CA109">
        <v>0</v>
      </c>
      <c r="CB109">
        <v>0</v>
      </c>
      <c r="CC109">
        <v>0</v>
      </c>
      <c r="CD109">
        <v>180</v>
      </c>
    </row>
    <row r="110" spans="19:82">
      <c r="S110">
        <v>0.57174999999999998</v>
      </c>
      <c r="T110">
        <v>0.9828017</v>
      </c>
      <c r="U110">
        <v>0.9828017</v>
      </c>
      <c r="V110">
        <v>6.4999999999999996E-6</v>
      </c>
      <c r="W110">
        <v>6.4999999999999996E-6</v>
      </c>
      <c r="X110">
        <v>1.71918E-2</v>
      </c>
      <c r="Y110">
        <v>1.71918E-2</v>
      </c>
      <c r="Z110">
        <v>-126.1865</v>
      </c>
      <c r="AA110">
        <v>-126.1865</v>
      </c>
      <c r="AB110">
        <v>168.71510000000001</v>
      </c>
      <c r="AC110">
        <v>168.71510000000001</v>
      </c>
      <c r="AD110">
        <v>0</v>
      </c>
      <c r="AE110">
        <v>0</v>
      </c>
      <c r="AF110">
        <v>0</v>
      </c>
      <c r="AG110">
        <v>180</v>
      </c>
      <c r="AI110">
        <v>0.57174999999999998</v>
      </c>
      <c r="AJ110">
        <v>0.98400589999999999</v>
      </c>
      <c r="AK110">
        <v>0.98400589999999999</v>
      </c>
      <c r="AL110">
        <v>8.3000000000000002E-6</v>
      </c>
      <c r="AM110">
        <v>8.3000000000000002E-6</v>
      </c>
      <c r="AN110">
        <v>1.5985800000000001E-2</v>
      </c>
      <c r="AO110">
        <v>1.5985800000000001E-2</v>
      </c>
      <c r="AP110">
        <v>-116.54559999999999</v>
      </c>
      <c r="AQ110">
        <v>-116.54559999999999</v>
      </c>
      <c r="AR110">
        <v>-174.83269999999999</v>
      </c>
      <c r="AS110">
        <v>-174.83269999999999</v>
      </c>
      <c r="AT110">
        <v>0</v>
      </c>
      <c r="AU110">
        <v>0</v>
      </c>
      <c r="AV110">
        <v>0</v>
      </c>
      <c r="AW110">
        <v>180</v>
      </c>
      <c r="AY110">
        <v>0.57174999999999998</v>
      </c>
      <c r="AZ110">
        <v>5.6335999999999999E-3</v>
      </c>
      <c r="BA110">
        <v>5.6335999999999999E-3</v>
      </c>
      <c r="BB110">
        <v>0.99317770000000005</v>
      </c>
      <c r="BC110">
        <v>0.99317770000000005</v>
      </c>
      <c r="BD110">
        <v>1.1887E-3</v>
      </c>
      <c r="BE110">
        <v>1.1887E-3</v>
      </c>
      <c r="BF110">
        <v>-52.353099999999998</v>
      </c>
      <c r="BG110">
        <v>-52.353099999999998</v>
      </c>
      <c r="BH110">
        <v>-172.61160000000001</v>
      </c>
      <c r="BI110">
        <v>-172.61160000000001</v>
      </c>
      <c r="BJ110">
        <v>0</v>
      </c>
      <c r="BK110">
        <v>0</v>
      </c>
      <c r="BL110">
        <v>0</v>
      </c>
      <c r="BM110">
        <v>180</v>
      </c>
      <c r="BP110">
        <v>0.57174999999999998</v>
      </c>
      <c r="BQ110">
        <v>0.91524059999999996</v>
      </c>
      <c r="BR110">
        <v>0.91524059999999996</v>
      </c>
      <c r="BS110">
        <v>0</v>
      </c>
      <c r="BT110">
        <v>0</v>
      </c>
      <c r="BU110">
        <v>8.4759399999999999E-2</v>
      </c>
      <c r="BV110">
        <v>8.4759399999999999E-2</v>
      </c>
      <c r="BW110">
        <v>-25.205500000000001</v>
      </c>
      <c r="BX110">
        <v>-25.205500000000001</v>
      </c>
      <c r="BY110">
        <v>162.21719999999999</v>
      </c>
      <c r="BZ110">
        <v>162.21719999999999</v>
      </c>
      <c r="CA110">
        <v>0</v>
      </c>
      <c r="CB110">
        <v>0</v>
      </c>
      <c r="CC110">
        <v>0</v>
      </c>
      <c r="CD110">
        <v>180</v>
      </c>
    </row>
    <row r="111" spans="19:82">
      <c r="S111">
        <v>0.57310000000000005</v>
      </c>
      <c r="T111">
        <v>0.98291519999999999</v>
      </c>
      <c r="U111">
        <v>0.98291519999999999</v>
      </c>
      <c r="V111">
        <v>6.3999999999999997E-6</v>
      </c>
      <c r="W111">
        <v>6.3999999999999997E-6</v>
      </c>
      <c r="X111">
        <v>1.7078400000000001E-2</v>
      </c>
      <c r="Y111">
        <v>1.7078400000000001E-2</v>
      </c>
      <c r="Z111">
        <v>-125.9016</v>
      </c>
      <c r="AA111">
        <v>-125.9016</v>
      </c>
      <c r="AB111">
        <v>169.13800000000001</v>
      </c>
      <c r="AC111">
        <v>169.13800000000001</v>
      </c>
      <c r="AD111">
        <v>0</v>
      </c>
      <c r="AE111">
        <v>0</v>
      </c>
      <c r="AF111">
        <v>0</v>
      </c>
      <c r="AG111">
        <v>180</v>
      </c>
      <c r="AI111">
        <v>0.57310000000000005</v>
      </c>
      <c r="AJ111">
        <v>0.98407310000000003</v>
      </c>
      <c r="AK111">
        <v>0.98407310000000003</v>
      </c>
      <c r="AL111">
        <v>8.1999999999999994E-6</v>
      </c>
      <c r="AM111">
        <v>8.1999999999999994E-6</v>
      </c>
      <c r="AN111">
        <v>1.5918700000000001E-2</v>
      </c>
      <c r="AO111">
        <v>1.5918700000000001E-2</v>
      </c>
      <c r="AP111">
        <v>-116.2766</v>
      </c>
      <c r="AQ111">
        <v>-116.2766</v>
      </c>
      <c r="AR111">
        <v>-174.4376</v>
      </c>
      <c r="AS111">
        <v>-174.4376</v>
      </c>
      <c r="AT111">
        <v>0</v>
      </c>
      <c r="AU111">
        <v>0</v>
      </c>
      <c r="AV111">
        <v>0</v>
      </c>
      <c r="AW111">
        <v>180</v>
      </c>
      <c r="AY111">
        <v>0.57310000000000005</v>
      </c>
      <c r="AZ111">
        <v>5.5808000000000003E-3</v>
      </c>
      <c r="BA111">
        <v>5.5808000000000003E-3</v>
      </c>
      <c r="BB111">
        <v>0.9932377</v>
      </c>
      <c r="BC111">
        <v>0.9932377</v>
      </c>
      <c r="BD111">
        <v>1.1814E-3</v>
      </c>
      <c r="BE111">
        <v>1.1814E-3</v>
      </c>
      <c r="BF111">
        <v>-51.2804</v>
      </c>
      <c r="BG111">
        <v>-51.2804</v>
      </c>
      <c r="BH111">
        <v>-172.6215</v>
      </c>
      <c r="BI111">
        <v>-172.6215</v>
      </c>
      <c r="BJ111">
        <v>0</v>
      </c>
      <c r="BK111">
        <v>0</v>
      </c>
      <c r="BL111">
        <v>0</v>
      </c>
      <c r="BM111">
        <v>180</v>
      </c>
      <c r="BP111">
        <v>0.57310000000000005</v>
      </c>
      <c r="BQ111">
        <v>0.91519850000000003</v>
      </c>
      <c r="BR111">
        <v>0.91519850000000003</v>
      </c>
      <c r="BS111">
        <v>0</v>
      </c>
      <c r="BT111">
        <v>0</v>
      </c>
      <c r="BU111">
        <v>8.4801500000000002E-2</v>
      </c>
      <c r="BV111">
        <v>8.4801500000000002E-2</v>
      </c>
      <c r="BW111">
        <v>-25.4133</v>
      </c>
      <c r="BX111">
        <v>-25.4133</v>
      </c>
      <c r="BY111">
        <v>162.25919999999999</v>
      </c>
      <c r="BZ111">
        <v>162.25919999999999</v>
      </c>
      <c r="CA111">
        <v>0</v>
      </c>
      <c r="CB111">
        <v>0</v>
      </c>
      <c r="CC111">
        <v>0</v>
      </c>
      <c r="CD111">
        <v>180</v>
      </c>
    </row>
    <row r="112" spans="19:82">
      <c r="S112">
        <v>0.57445000000000002</v>
      </c>
      <c r="T112">
        <v>0.98302599999999996</v>
      </c>
      <c r="U112">
        <v>0.98302599999999996</v>
      </c>
      <c r="V112">
        <v>6.2999999999999998E-6</v>
      </c>
      <c r="W112">
        <v>6.2999999999999998E-6</v>
      </c>
      <c r="X112">
        <v>1.6967699999999999E-2</v>
      </c>
      <c r="Y112">
        <v>1.6967699999999999E-2</v>
      </c>
      <c r="Z112">
        <v>-125.6185</v>
      </c>
      <c r="AA112">
        <v>-125.6185</v>
      </c>
      <c r="AB112">
        <v>169.5581</v>
      </c>
      <c r="AC112">
        <v>169.5581</v>
      </c>
      <c r="AD112">
        <v>0</v>
      </c>
      <c r="AE112">
        <v>0</v>
      </c>
      <c r="AF112">
        <v>0</v>
      </c>
      <c r="AG112">
        <v>180</v>
      </c>
      <c r="AI112">
        <v>0.57445000000000002</v>
      </c>
      <c r="AJ112">
        <v>0.98413870000000003</v>
      </c>
      <c r="AK112">
        <v>0.98413870000000003</v>
      </c>
      <c r="AL112">
        <v>8.1000000000000004E-6</v>
      </c>
      <c r="AM112">
        <v>8.1000000000000004E-6</v>
      </c>
      <c r="AN112">
        <v>1.5853300000000001E-2</v>
      </c>
      <c r="AO112">
        <v>1.5853300000000001E-2</v>
      </c>
      <c r="AP112">
        <v>-116.0089</v>
      </c>
      <c r="AQ112">
        <v>-116.0089</v>
      </c>
      <c r="AR112">
        <v>-174.04400000000001</v>
      </c>
      <c r="AS112">
        <v>-174.04400000000001</v>
      </c>
      <c r="AT112">
        <v>0</v>
      </c>
      <c r="AU112">
        <v>0</v>
      </c>
      <c r="AV112">
        <v>0</v>
      </c>
      <c r="AW112">
        <v>180</v>
      </c>
      <c r="AY112">
        <v>0.57445000000000002</v>
      </c>
      <c r="AZ112">
        <v>5.5268000000000001E-3</v>
      </c>
      <c r="BA112">
        <v>5.5268000000000001E-3</v>
      </c>
      <c r="BB112">
        <v>0.99329889999999998</v>
      </c>
      <c r="BC112">
        <v>0.99329889999999998</v>
      </c>
      <c r="BD112">
        <v>1.1742E-3</v>
      </c>
      <c r="BE112">
        <v>1.1742E-3</v>
      </c>
      <c r="BF112">
        <v>-50.212699999999998</v>
      </c>
      <c r="BG112">
        <v>-50.212699999999998</v>
      </c>
      <c r="BH112">
        <v>-172.64510000000001</v>
      </c>
      <c r="BI112">
        <v>-172.64510000000001</v>
      </c>
      <c r="BJ112">
        <v>0</v>
      </c>
      <c r="BK112">
        <v>0</v>
      </c>
      <c r="BL112">
        <v>0</v>
      </c>
      <c r="BM112">
        <v>180</v>
      </c>
      <c r="BP112">
        <v>0.57445000000000002</v>
      </c>
      <c r="BQ112">
        <v>0.91515780000000002</v>
      </c>
      <c r="BR112">
        <v>0.91515780000000002</v>
      </c>
      <c r="BS112">
        <v>0</v>
      </c>
      <c r="BT112">
        <v>0</v>
      </c>
      <c r="BU112">
        <v>8.4842200000000006E-2</v>
      </c>
      <c r="BV112">
        <v>8.4842200000000006E-2</v>
      </c>
      <c r="BW112">
        <v>-25.620200000000001</v>
      </c>
      <c r="BX112">
        <v>-25.620200000000001</v>
      </c>
      <c r="BY112">
        <v>162.30109999999999</v>
      </c>
      <c r="BZ112">
        <v>162.30109999999999</v>
      </c>
      <c r="CA112">
        <v>0</v>
      </c>
      <c r="CB112">
        <v>0</v>
      </c>
      <c r="CC112">
        <v>0</v>
      </c>
      <c r="CD112">
        <v>180</v>
      </c>
    </row>
    <row r="113" spans="19:82">
      <c r="S113">
        <v>0.57579999999999998</v>
      </c>
      <c r="T113">
        <v>0.98313439999999996</v>
      </c>
      <c r="U113">
        <v>0.98313439999999996</v>
      </c>
      <c r="V113">
        <v>6.1999999999999999E-6</v>
      </c>
      <c r="W113">
        <v>6.1999999999999999E-6</v>
      </c>
      <c r="X113">
        <v>1.6859499999999999E-2</v>
      </c>
      <c r="Y113">
        <v>1.6859499999999999E-2</v>
      </c>
      <c r="Z113">
        <v>-125.3373</v>
      </c>
      <c r="AA113">
        <v>-125.3373</v>
      </c>
      <c r="AB113">
        <v>169.97550000000001</v>
      </c>
      <c r="AC113">
        <v>169.97550000000001</v>
      </c>
      <c r="AD113">
        <v>0</v>
      </c>
      <c r="AE113">
        <v>0</v>
      </c>
      <c r="AF113">
        <v>0</v>
      </c>
      <c r="AG113">
        <v>180</v>
      </c>
      <c r="AI113">
        <v>0.57579999999999998</v>
      </c>
      <c r="AJ113">
        <v>0.98420249999999998</v>
      </c>
      <c r="AK113">
        <v>0.98420249999999998</v>
      </c>
      <c r="AL113">
        <v>7.9000000000000006E-6</v>
      </c>
      <c r="AM113">
        <v>7.9000000000000006E-6</v>
      </c>
      <c r="AN113">
        <v>1.5789600000000001E-2</v>
      </c>
      <c r="AO113">
        <v>1.5789600000000001E-2</v>
      </c>
      <c r="AP113">
        <v>-115.7423</v>
      </c>
      <c r="AQ113">
        <v>-115.7423</v>
      </c>
      <c r="AR113">
        <v>-173.65199999999999</v>
      </c>
      <c r="AS113">
        <v>-173.65199999999999</v>
      </c>
      <c r="AT113">
        <v>0</v>
      </c>
      <c r="AU113">
        <v>0</v>
      </c>
      <c r="AV113">
        <v>0</v>
      </c>
      <c r="AW113">
        <v>180</v>
      </c>
      <c r="AY113">
        <v>0.57579999999999998</v>
      </c>
      <c r="AZ113">
        <v>5.4717999999999998E-3</v>
      </c>
      <c r="BA113">
        <v>5.4717999999999998E-3</v>
      </c>
      <c r="BB113">
        <v>0.9933611</v>
      </c>
      <c r="BC113">
        <v>0.9933611</v>
      </c>
      <c r="BD113">
        <v>1.1670000000000001E-3</v>
      </c>
      <c r="BE113">
        <v>1.1670000000000001E-3</v>
      </c>
      <c r="BF113">
        <v>-49.15</v>
      </c>
      <c r="BG113">
        <v>-49.15</v>
      </c>
      <c r="BH113">
        <v>-172.6825</v>
      </c>
      <c r="BI113">
        <v>-172.6825</v>
      </c>
      <c r="BJ113">
        <v>0</v>
      </c>
      <c r="BK113">
        <v>0</v>
      </c>
      <c r="BL113">
        <v>0</v>
      </c>
      <c r="BM113">
        <v>180</v>
      </c>
      <c r="BP113">
        <v>0.57579999999999998</v>
      </c>
      <c r="BQ113">
        <v>0.91511819999999999</v>
      </c>
      <c r="BR113">
        <v>0.91511819999999999</v>
      </c>
      <c r="BS113">
        <v>0</v>
      </c>
      <c r="BT113">
        <v>0</v>
      </c>
      <c r="BU113">
        <v>8.4881799999999993E-2</v>
      </c>
      <c r="BV113">
        <v>8.4881799999999993E-2</v>
      </c>
      <c r="BW113">
        <v>-25.8261</v>
      </c>
      <c r="BX113">
        <v>-25.8261</v>
      </c>
      <c r="BY113">
        <v>162.34270000000001</v>
      </c>
      <c r="BZ113">
        <v>162.34270000000001</v>
      </c>
      <c r="CA113">
        <v>0</v>
      </c>
      <c r="CB113">
        <v>0</v>
      </c>
      <c r="CC113">
        <v>0</v>
      </c>
      <c r="CD113">
        <v>180</v>
      </c>
    </row>
    <row r="114" spans="19:82">
      <c r="S114">
        <v>0.57715000000000005</v>
      </c>
      <c r="T114">
        <v>0.98324020000000001</v>
      </c>
      <c r="U114">
        <v>0.98324020000000001</v>
      </c>
      <c r="V114">
        <v>6.1E-6</v>
      </c>
      <c r="W114">
        <v>6.1E-6</v>
      </c>
      <c r="X114">
        <v>1.67537E-2</v>
      </c>
      <c r="Y114">
        <v>1.67537E-2</v>
      </c>
      <c r="Z114">
        <v>-125.0578</v>
      </c>
      <c r="AA114">
        <v>-125.0578</v>
      </c>
      <c r="AB114">
        <v>170.39009999999999</v>
      </c>
      <c r="AC114">
        <v>170.39009999999999</v>
      </c>
      <c r="AD114">
        <v>0</v>
      </c>
      <c r="AE114">
        <v>0</v>
      </c>
      <c r="AF114">
        <v>0</v>
      </c>
      <c r="AG114">
        <v>180</v>
      </c>
      <c r="AI114">
        <v>0.57715000000000005</v>
      </c>
      <c r="AJ114">
        <v>0.98426469999999999</v>
      </c>
      <c r="AK114">
        <v>0.98426469999999999</v>
      </c>
      <c r="AL114">
        <v>7.7999999999999999E-6</v>
      </c>
      <c r="AM114">
        <v>7.7999999999999999E-6</v>
      </c>
      <c r="AN114">
        <v>1.5727499999999998E-2</v>
      </c>
      <c r="AO114">
        <v>1.5727499999999998E-2</v>
      </c>
      <c r="AP114">
        <v>-115.4769</v>
      </c>
      <c r="AQ114">
        <v>-115.4769</v>
      </c>
      <c r="AR114">
        <v>-173.26140000000001</v>
      </c>
      <c r="AS114">
        <v>-173.26140000000001</v>
      </c>
      <c r="AT114">
        <v>0</v>
      </c>
      <c r="AU114">
        <v>0</v>
      </c>
      <c r="AV114">
        <v>0</v>
      </c>
      <c r="AW114">
        <v>180</v>
      </c>
      <c r="AY114">
        <v>0.57715000000000005</v>
      </c>
      <c r="AZ114">
        <v>5.4159999999999998E-3</v>
      </c>
      <c r="BA114">
        <v>5.4159999999999998E-3</v>
      </c>
      <c r="BB114">
        <v>0.99342410000000003</v>
      </c>
      <c r="BC114">
        <v>0.99342410000000003</v>
      </c>
      <c r="BD114">
        <v>1.1599E-3</v>
      </c>
      <c r="BE114">
        <v>1.1599E-3</v>
      </c>
      <c r="BF114">
        <v>-48.092199999999998</v>
      </c>
      <c r="BG114">
        <v>-48.092199999999998</v>
      </c>
      <c r="BH114">
        <v>-172.73439999999999</v>
      </c>
      <c r="BI114">
        <v>-172.73439999999999</v>
      </c>
      <c r="BJ114">
        <v>0</v>
      </c>
      <c r="BK114">
        <v>0</v>
      </c>
      <c r="BL114">
        <v>0</v>
      </c>
      <c r="BM114">
        <v>180</v>
      </c>
      <c r="BP114">
        <v>0.57715000000000005</v>
      </c>
      <c r="BQ114">
        <v>0.91507989999999995</v>
      </c>
      <c r="BR114">
        <v>0.91507989999999995</v>
      </c>
      <c r="BS114">
        <v>0</v>
      </c>
      <c r="BT114">
        <v>0</v>
      </c>
      <c r="BU114">
        <v>8.4920099999999998E-2</v>
      </c>
      <c r="BV114">
        <v>8.4920099999999998E-2</v>
      </c>
      <c r="BW114">
        <v>-26.030999999999999</v>
      </c>
      <c r="BX114">
        <v>-26.030999999999999</v>
      </c>
      <c r="BY114">
        <v>162.38409999999999</v>
      </c>
      <c r="BZ114">
        <v>162.38409999999999</v>
      </c>
      <c r="CA114">
        <v>0</v>
      </c>
      <c r="CB114">
        <v>0</v>
      </c>
      <c r="CC114">
        <v>0</v>
      </c>
      <c r="CD114">
        <v>180</v>
      </c>
    </row>
    <row r="115" spans="19:82">
      <c r="S115">
        <v>0.57850000000000001</v>
      </c>
      <c r="T115">
        <v>0.98334359999999998</v>
      </c>
      <c r="U115">
        <v>0.98334359999999998</v>
      </c>
      <c r="V115">
        <v>6.0000000000000002E-6</v>
      </c>
      <c r="W115">
        <v>6.0000000000000002E-6</v>
      </c>
      <c r="X115">
        <v>1.6650399999999999E-2</v>
      </c>
      <c r="Y115">
        <v>1.6650399999999999E-2</v>
      </c>
      <c r="Z115">
        <v>-124.7801</v>
      </c>
      <c r="AA115">
        <v>-124.7801</v>
      </c>
      <c r="AB115">
        <v>170.80199999999999</v>
      </c>
      <c r="AC115">
        <v>170.80199999999999</v>
      </c>
      <c r="AD115">
        <v>0</v>
      </c>
      <c r="AE115">
        <v>0</v>
      </c>
      <c r="AF115">
        <v>0</v>
      </c>
      <c r="AG115">
        <v>180</v>
      </c>
      <c r="AI115">
        <v>0.57850000000000001</v>
      </c>
      <c r="AJ115">
        <v>0.98432520000000001</v>
      </c>
      <c r="AK115">
        <v>0.98432520000000001</v>
      </c>
      <c r="AL115">
        <v>7.7000000000000008E-6</v>
      </c>
      <c r="AM115">
        <v>7.7000000000000008E-6</v>
      </c>
      <c r="AN115">
        <v>1.56671E-2</v>
      </c>
      <c r="AO115">
        <v>1.56671E-2</v>
      </c>
      <c r="AP115">
        <v>-115.2128</v>
      </c>
      <c r="AQ115">
        <v>-115.2128</v>
      </c>
      <c r="AR115">
        <v>-172.8725</v>
      </c>
      <c r="AS115">
        <v>-172.8725</v>
      </c>
      <c r="AT115">
        <v>0</v>
      </c>
      <c r="AU115">
        <v>0</v>
      </c>
      <c r="AV115">
        <v>0</v>
      </c>
      <c r="AW115">
        <v>180</v>
      </c>
      <c r="AY115">
        <v>0.57850000000000001</v>
      </c>
      <c r="AZ115">
        <v>5.3594999999999997E-3</v>
      </c>
      <c r="BA115">
        <v>5.3594999999999997E-3</v>
      </c>
      <c r="BB115">
        <v>0.99348769999999997</v>
      </c>
      <c r="BC115">
        <v>0.99348769999999997</v>
      </c>
      <c r="BD115">
        <v>1.1528E-3</v>
      </c>
      <c r="BE115">
        <v>1.1528E-3</v>
      </c>
      <c r="BF115">
        <v>-47.039200000000001</v>
      </c>
      <c r="BG115">
        <v>-47.039200000000001</v>
      </c>
      <c r="BH115">
        <v>-172.80090000000001</v>
      </c>
      <c r="BI115">
        <v>-172.80090000000001</v>
      </c>
      <c r="BJ115">
        <v>0</v>
      </c>
      <c r="BK115">
        <v>0</v>
      </c>
      <c r="BL115">
        <v>0</v>
      </c>
      <c r="BM115">
        <v>180</v>
      </c>
      <c r="BP115">
        <v>0.57850000000000001</v>
      </c>
      <c r="BQ115">
        <v>0.91497419999999996</v>
      </c>
      <c r="BR115">
        <v>0.91497419999999996</v>
      </c>
      <c r="BS115">
        <v>0</v>
      </c>
      <c r="BT115">
        <v>0</v>
      </c>
      <c r="BU115">
        <v>8.5025799999999999E-2</v>
      </c>
      <c r="BV115">
        <v>8.5025799999999999E-2</v>
      </c>
      <c r="BW115">
        <v>-26.3202</v>
      </c>
      <c r="BX115">
        <v>-26.3202</v>
      </c>
      <c r="BY115">
        <v>162.4263</v>
      </c>
      <c r="BZ115">
        <v>162.4263</v>
      </c>
      <c r="CA115">
        <v>0</v>
      </c>
      <c r="CB115">
        <v>0</v>
      </c>
      <c r="CC115">
        <v>0</v>
      </c>
      <c r="CD115">
        <v>180</v>
      </c>
    </row>
    <row r="116" spans="19:82">
      <c r="S116">
        <v>0.57984999999999998</v>
      </c>
      <c r="T116">
        <v>0.9834446</v>
      </c>
      <c r="U116">
        <v>0.9834446</v>
      </c>
      <c r="V116">
        <v>5.9000000000000003E-6</v>
      </c>
      <c r="W116">
        <v>5.9000000000000003E-6</v>
      </c>
      <c r="X116">
        <v>1.6549500000000002E-2</v>
      </c>
      <c r="Y116">
        <v>1.6549500000000002E-2</v>
      </c>
      <c r="Z116">
        <v>-124.50409999999999</v>
      </c>
      <c r="AA116">
        <v>-124.50409999999999</v>
      </c>
      <c r="AB116">
        <v>171.21129999999999</v>
      </c>
      <c r="AC116">
        <v>171.21129999999999</v>
      </c>
      <c r="AD116">
        <v>0</v>
      </c>
      <c r="AE116">
        <v>0</v>
      </c>
      <c r="AF116">
        <v>0</v>
      </c>
      <c r="AG116">
        <v>180</v>
      </c>
      <c r="AI116">
        <v>0.57984999999999998</v>
      </c>
      <c r="AJ116">
        <v>0.98438409999999998</v>
      </c>
      <c r="AK116">
        <v>0.98438409999999998</v>
      </c>
      <c r="AL116">
        <v>7.6000000000000001E-6</v>
      </c>
      <c r="AM116">
        <v>7.6000000000000001E-6</v>
      </c>
      <c r="AN116">
        <v>1.56083E-2</v>
      </c>
      <c r="AO116">
        <v>1.56083E-2</v>
      </c>
      <c r="AP116">
        <v>-114.9498</v>
      </c>
      <c r="AQ116">
        <v>-114.9498</v>
      </c>
      <c r="AR116">
        <v>-172.48500000000001</v>
      </c>
      <c r="AS116">
        <v>-172.48500000000001</v>
      </c>
      <c r="AT116">
        <v>0</v>
      </c>
      <c r="AU116">
        <v>0</v>
      </c>
      <c r="AV116">
        <v>0</v>
      </c>
      <c r="AW116">
        <v>180</v>
      </c>
      <c r="AY116">
        <v>0.57984999999999998</v>
      </c>
      <c r="AZ116">
        <v>5.3026000000000002E-3</v>
      </c>
      <c r="BA116">
        <v>5.3026000000000002E-3</v>
      </c>
      <c r="BB116">
        <v>0.99355170000000004</v>
      </c>
      <c r="BC116">
        <v>0.99355170000000004</v>
      </c>
      <c r="BD116">
        <v>1.1456999999999999E-3</v>
      </c>
      <c r="BE116">
        <v>1.1456999999999999E-3</v>
      </c>
      <c r="BF116">
        <v>-45.991100000000003</v>
      </c>
      <c r="BG116">
        <v>-45.991100000000003</v>
      </c>
      <c r="BH116">
        <v>-172.88249999999999</v>
      </c>
      <c r="BI116">
        <v>-172.88249999999999</v>
      </c>
      <c r="BJ116">
        <v>0</v>
      </c>
      <c r="BK116">
        <v>0</v>
      </c>
      <c r="BL116">
        <v>0</v>
      </c>
      <c r="BM116">
        <v>180</v>
      </c>
      <c r="BP116">
        <v>0.57984999999999998</v>
      </c>
      <c r="BQ116">
        <v>0.91475439999999997</v>
      </c>
      <c r="BR116">
        <v>0.91475439999999997</v>
      </c>
      <c r="BS116">
        <v>0</v>
      </c>
      <c r="BT116">
        <v>0</v>
      </c>
      <c r="BU116">
        <v>8.5245600000000005E-2</v>
      </c>
      <c r="BV116">
        <v>8.5245600000000005E-2</v>
      </c>
      <c r="BW116">
        <v>-26.752600000000001</v>
      </c>
      <c r="BX116">
        <v>-26.752600000000001</v>
      </c>
      <c r="BY116">
        <v>162.46979999999999</v>
      </c>
      <c r="BZ116">
        <v>162.46979999999999</v>
      </c>
      <c r="CA116">
        <v>0</v>
      </c>
      <c r="CB116">
        <v>0</v>
      </c>
      <c r="CC116">
        <v>0</v>
      </c>
      <c r="CD116">
        <v>180</v>
      </c>
    </row>
    <row r="117" spans="19:82">
      <c r="S117">
        <v>0.58120000000000005</v>
      </c>
      <c r="T117">
        <v>0.98354339999999996</v>
      </c>
      <c r="U117">
        <v>0.98354339999999996</v>
      </c>
      <c r="V117">
        <v>5.8000000000000004E-6</v>
      </c>
      <c r="W117">
        <v>5.8000000000000004E-6</v>
      </c>
      <c r="X117">
        <v>1.6450800000000002E-2</v>
      </c>
      <c r="Y117">
        <v>1.6450800000000002E-2</v>
      </c>
      <c r="Z117">
        <v>-124.22969999999999</v>
      </c>
      <c r="AA117">
        <v>-124.22969999999999</v>
      </c>
      <c r="AB117">
        <v>171.6181</v>
      </c>
      <c r="AC117">
        <v>171.6181</v>
      </c>
      <c r="AD117">
        <v>0</v>
      </c>
      <c r="AE117">
        <v>0</v>
      </c>
      <c r="AF117">
        <v>0</v>
      </c>
      <c r="AG117">
        <v>180</v>
      </c>
      <c r="AI117">
        <v>0.58120000000000005</v>
      </c>
      <c r="AJ117">
        <v>0.98444140000000002</v>
      </c>
      <c r="AK117">
        <v>0.98444140000000002</v>
      </c>
      <c r="AL117">
        <v>7.5000000000000002E-6</v>
      </c>
      <c r="AM117">
        <v>7.5000000000000002E-6</v>
      </c>
      <c r="AN117">
        <v>1.55511E-2</v>
      </c>
      <c r="AO117">
        <v>1.55511E-2</v>
      </c>
      <c r="AP117">
        <v>-114.688</v>
      </c>
      <c r="AQ117">
        <v>-114.688</v>
      </c>
      <c r="AR117">
        <v>-172.09889999999999</v>
      </c>
      <c r="AS117">
        <v>-172.09889999999999</v>
      </c>
      <c r="AT117">
        <v>0</v>
      </c>
      <c r="AU117">
        <v>0</v>
      </c>
      <c r="AV117">
        <v>0</v>
      </c>
      <c r="AW117">
        <v>180</v>
      </c>
      <c r="AY117">
        <v>0.58120000000000005</v>
      </c>
      <c r="AZ117">
        <v>5.2453999999999999E-3</v>
      </c>
      <c r="BA117">
        <v>5.2453999999999999E-3</v>
      </c>
      <c r="BB117">
        <v>0.9936159</v>
      </c>
      <c r="BC117">
        <v>0.9936159</v>
      </c>
      <c r="BD117">
        <v>1.1387000000000001E-3</v>
      </c>
      <c r="BE117">
        <v>1.1387000000000001E-3</v>
      </c>
      <c r="BF117">
        <v>-44.947800000000001</v>
      </c>
      <c r="BG117">
        <v>-44.947800000000001</v>
      </c>
      <c r="BH117">
        <v>-172.97929999999999</v>
      </c>
      <c r="BI117">
        <v>-172.97929999999999</v>
      </c>
      <c r="BJ117">
        <v>0</v>
      </c>
      <c r="BK117">
        <v>0</v>
      </c>
      <c r="BL117">
        <v>0</v>
      </c>
      <c r="BM117">
        <v>180</v>
      </c>
      <c r="BP117">
        <v>0.58120000000000005</v>
      </c>
      <c r="BQ117">
        <v>0.91453770000000001</v>
      </c>
      <c r="BR117">
        <v>0.91453770000000001</v>
      </c>
      <c r="BS117">
        <v>0</v>
      </c>
      <c r="BT117">
        <v>0</v>
      </c>
      <c r="BU117">
        <v>8.5462300000000005E-2</v>
      </c>
      <c r="BV117">
        <v>8.5462300000000005E-2</v>
      </c>
      <c r="BW117">
        <v>-27.183</v>
      </c>
      <c r="BX117">
        <v>-27.183</v>
      </c>
      <c r="BY117">
        <v>162.51320000000001</v>
      </c>
      <c r="BZ117">
        <v>162.51320000000001</v>
      </c>
      <c r="CA117">
        <v>0</v>
      </c>
      <c r="CB117">
        <v>0</v>
      </c>
      <c r="CC117">
        <v>0</v>
      </c>
      <c r="CD117">
        <v>180</v>
      </c>
    </row>
    <row r="118" spans="19:82">
      <c r="S118">
        <v>0.58255000000000001</v>
      </c>
      <c r="T118">
        <v>0.98364169999999995</v>
      </c>
      <c r="U118">
        <v>0.98364169999999995</v>
      </c>
      <c r="V118">
        <v>5.6999999999999996E-6</v>
      </c>
      <c r="W118">
        <v>5.6999999999999996E-6</v>
      </c>
      <c r="X118">
        <v>1.6352599999999998E-2</v>
      </c>
      <c r="Y118">
        <v>1.6352599999999998E-2</v>
      </c>
      <c r="Z118">
        <v>-123.95659999999999</v>
      </c>
      <c r="AA118">
        <v>-123.95659999999999</v>
      </c>
      <c r="AB118">
        <v>172.02250000000001</v>
      </c>
      <c r="AC118">
        <v>172.02250000000001</v>
      </c>
      <c r="AD118">
        <v>0</v>
      </c>
      <c r="AE118">
        <v>0</v>
      </c>
      <c r="AF118">
        <v>0</v>
      </c>
      <c r="AG118">
        <v>180</v>
      </c>
      <c r="AI118">
        <v>0.58255000000000001</v>
      </c>
      <c r="AJ118">
        <v>0.9844984</v>
      </c>
      <c r="AK118">
        <v>0.9844984</v>
      </c>
      <c r="AL118">
        <v>7.4000000000000003E-6</v>
      </c>
      <c r="AM118">
        <v>7.4000000000000003E-6</v>
      </c>
      <c r="AN118">
        <v>1.54942E-2</v>
      </c>
      <c r="AO118">
        <v>1.54942E-2</v>
      </c>
      <c r="AP118">
        <v>-114.42700000000001</v>
      </c>
      <c r="AQ118">
        <v>-114.42700000000001</v>
      </c>
      <c r="AR118">
        <v>-171.7141</v>
      </c>
      <c r="AS118">
        <v>-171.7141</v>
      </c>
      <c r="AT118">
        <v>0</v>
      </c>
      <c r="AU118">
        <v>0</v>
      </c>
      <c r="AV118">
        <v>0</v>
      </c>
      <c r="AW118">
        <v>180</v>
      </c>
      <c r="AY118">
        <v>0.58255000000000001</v>
      </c>
      <c r="AZ118">
        <v>5.1881000000000002E-3</v>
      </c>
      <c r="BA118">
        <v>5.1881000000000002E-3</v>
      </c>
      <c r="BB118">
        <v>0.99368020000000001</v>
      </c>
      <c r="BC118">
        <v>0.99368020000000001</v>
      </c>
      <c r="BD118">
        <v>1.1317E-3</v>
      </c>
      <c r="BE118">
        <v>1.1317E-3</v>
      </c>
      <c r="BF118">
        <v>-43.909300000000002</v>
      </c>
      <c r="BG118">
        <v>-43.909300000000002</v>
      </c>
      <c r="BH118">
        <v>-173.0917</v>
      </c>
      <c r="BI118">
        <v>-173.0917</v>
      </c>
      <c r="BJ118">
        <v>0</v>
      </c>
      <c r="BK118">
        <v>0</v>
      </c>
      <c r="BL118">
        <v>0</v>
      </c>
      <c r="BM118">
        <v>180</v>
      </c>
      <c r="BP118">
        <v>0.58255000000000001</v>
      </c>
      <c r="BQ118">
        <v>0.91432400000000003</v>
      </c>
      <c r="BR118">
        <v>0.91432400000000003</v>
      </c>
      <c r="BS118">
        <v>0</v>
      </c>
      <c r="BT118">
        <v>0</v>
      </c>
      <c r="BU118">
        <v>8.5676000000000002E-2</v>
      </c>
      <c r="BV118">
        <v>8.5676000000000002E-2</v>
      </c>
      <c r="BW118">
        <v>-27.6114</v>
      </c>
      <c r="BX118">
        <v>-27.6114</v>
      </c>
      <c r="BY118">
        <v>162.5564</v>
      </c>
      <c r="BZ118">
        <v>162.5564</v>
      </c>
      <c r="CA118">
        <v>0</v>
      </c>
      <c r="CB118">
        <v>0</v>
      </c>
      <c r="CC118">
        <v>0</v>
      </c>
      <c r="CD118">
        <v>180</v>
      </c>
    </row>
    <row r="119" spans="19:82">
      <c r="S119">
        <v>0.58389999999999997</v>
      </c>
      <c r="T119">
        <v>0.98374130000000004</v>
      </c>
      <c r="U119">
        <v>0.98374130000000004</v>
      </c>
      <c r="V119">
        <v>5.5999999999999997E-6</v>
      </c>
      <c r="W119">
        <v>5.5999999999999997E-6</v>
      </c>
      <c r="X119">
        <v>1.6253099999999999E-2</v>
      </c>
      <c r="Y119">
        <v>1.6253099999999999E-2</v>
      </c>
      <c r="Z119">
        <v>-123.684</v>
      </c>
      <c r="AA119">
        <v>-123.684</v>
      </c>
      <c r="AB119">
        <v>172.42449999999999</v>
      </c>
      <c r="AC119">
        <v>172.42449999999999</v>
      </c>
      <c r="AD119">
        <v>0</v>
      </c>
      <c r="AE119">
        <v>0</v>
      </c>
      <c r="AF119">
        <v>0</v>
      </c>
      <c r="AG119">
        <v>180</v>
      </c>
      <c r="AI119">
        <v>0.58389999999999997</v>
      </c>
      <c r="AJ119">
        <v>0.98455610000000005</v>
      </c>
      <c r="AK119">
        <v>0.98455610000000005</v>
      </c>
      <c r="AL119">
        <v>7.3000000000000004E-6</v>
      </c>
      <c r="AM119">
        <v>7.3000000000000004E-6</v>
      </c>
      <c r="AN119">
        <v>1.54366E-2</v>
      </c>
      <c r="AO119">
        <v>1.54366E-2</v>
      </c>
      <c r="AP119">
        <v>-114.1669</v>
      </c>
      <c r="AQ119">
        <v>-114.1669</v>
      </c>
      <c r="AR119">
        <v>-171.3305</v>
      </c>
      <c r="AS119">
        <v>-171.3305</v>
      </c>
      <c r="AT119">
        <v>0</v>
      </c>
      <c r="AU119">
        <v>0</v>
      </c>
      <c r="AV119">
        <v>0</v>
      </c>
      <c r="AW119">
        <v>180</v>
      </c>
      <c r="AY119">
        <v>0.58389999999999997</v>
      </c>
      <c r="AZ119">
        <v>5.1308999999999999E-3</v>
      </c>
      <c r="BA119">
        <v>5.1308999999999999E-3</v>
      </c>
      <c r="BB119">
        <v>0.99374439999999997</v>
      </c>
      <c r="BC119">
        <v>0.99374439999999997</v>
      </c>
      <c r="BD119">
        <v>1.1248E-3</v>
      </c>
      <c r="BE119">
        <v>1.1248E-3</v>
      </c>
      <c r="BF119">
        <v>-42.875599999999999</v>
      </c>
      <c r="BG119">
        <v>-42.875599999999999</v>
      </c>
      <c r="BH119">
        <v>-173.21969999999999</v>
      </c>
      <c r="BI119">
        <v>-173.21969999999999</v>
      </c>
      <c r="BJ119">
        <v>0</v>
      </c>
      <c r="BK119">
        <v>0</v>
      </c>
      <c r="BL119">
        <v>0</v>
      </c>
      <c r="BM119">
        <v>180</v>
      </c>
      <c r="BP119">
        <v>0.58389999999999997</v>
      </c>
      <c r="BQ119">
        <v>0.91411350000000002</v>
      </c>
      <c r="BR119">
        <v>0.91411350000000002</v>
      </c>
      <c r="BS119">
        <v>0</v>
      </c>
      <c r="BT119">
        <v>0</v>
      </c>
      <c r="BU119">
        <v>8.5886500000000005E-2</v>
      </c>
      <c r="BV119">
        <v>8.5886500000000005E-2</v>
      </c>
      <c r="BW119">
        <v>-28.037800000000001</v>
      </c>
      <c r="BX119">
        <v>-28.037800000000001</v>
      </c>
      <c r="BY119">
        <v>162.5993</v>
      </c>
      <c r="BZ119">
        <v>162.5993</v>
      </c>
      <c r="CA119">
        <v>0</v>
      </c>
      <c r="CB119">
        <v>0</v>
      </c>
      <c r="CC119">
        <v>0</v>
      </c>
      <c r="CD119">
        <v>180</v>
      </c>
    </row>
    <row r="120" spans="19:82">
      <c r="S120">
        <v>0.58525000000000005</v>
      </c>
      <c r="T120">
        <v>0.98383869999999995</v>
      </c>
      <c r="U120">
        <v>0.98383869999999995</v>
      </c>
      <c r="V120">
        <v>5.4999999999999999E-6</v>
      </c>
      <c r="W120">
        <v>5.4999999999999999E-6</v>
      </c>
      <c r="X120">
        <v>1.6155800000000001E-2</v>
      </c>
      <c r="Y120">
        <v>1.6155800000000001E-2</v>
      </c>
      <c r="Z120">
        <v>-123.4131</v>
      </c>
      <c r="AA120">
        <v>-123.4131</v>
      </c>
      <c r="AB120">
        <v>172.82419999999999</v>
      </c>
      <c r="AC120">
        <v>172.82419999999999</v>
      </c>
      <c r="AD120">
        <v>0</v>
      </c>
      <c r="AE120">
        <v>0</v>
      </c>
      <c r="AF120">
        <v>0</v>
      </c>
      <c r="AG120">
        <v>180</v>
      </c>
      <c r="AI120">
        <v>0.58525000000000005</v>
      </c>
      <c r="AJ120">
        <v>0.9846123</v>
      </c>
      <c r="AK120">
        <v>0.9846123</v>
      </c>
      <c r="AL120">
        <v>7.1999999999999997E-6</v>
      </c>
      <c r="AM120">
        <v>7.1999999999999997E-6</v>
      </c>
      <c r="AN120">
        <v>1.53805E-2</v>
      </c>
      <c r="AO120">
        <v>1.53805E-2</v>
      </c>
      <c r="AP120">
        <v>-113.90779999999999</v>
      </c>
      <c r="AQ120">
        <v>-113.90779999999999</v>
      </c>
      <c r="AR120">
        <v>-170.94810000000001</v>
      </c>
      <c r="AS120">
        <v>-170.94810000000001</v>
      </c>
      <c r="AT120">
        <v>0</v>
      </c>
      <c r="AU120">
        <v>0</v>
      </c>
      <c r="AV120">
        <v>0</v>
      </c>
      <c r="AW120">
        <v>180</v>
      </c>
      <c r="AY120">
        <v>0.58525000000000005</v>
      </c>
      <c r="AZ120">
        <v>5.0737999999999998E-3</v>
      </c>
      <c r="BA120">
        <v>5.0737999999999998E-3</v>
      </c>
      <c r="BB120">
        <v>0.99380829999999998</v>
      </c>
      <c r="BC120">
        <v>0.99380829999999998</v>
      </c>
      <c r="BD120">
        <v>1.1178E-3</v>
      </c>
      <c r="BE120">
        <v>1.1178E-3</v>
      </c>
      <c r="BF120">
        <v>-41.846600000000002</v>
      </c>
      <c r="BG120">
        <v>-41.846600000000002</v>
      </c>
      <c r="BH120">
        <v>-173.36369999999999</v>
      </c>
      <c r="BI120">
        <v>-173.36369999999999</v>
      </c>
      <c r="BJ120">
        <v>0</v>
      </c>
      <c r="BK120">
        <v>0</v>
      </c>
      <c r="BL120">
        <v>0</v>
      </c>
      <c r="BM120">
        <v>180</v>
      </c>
      <c r="BP120">
        <v>0.58525000000000005</v>
      </c>
      <c r="BQ120">
        <v>0.91390590000000005</v>
      </c>
      <c r="BR120">
        <v>0.91390590000000005</v>
      </c>
      <c r="BS120">
        <v>0</v>
      </c>
      <c r="BT120">
        <v>0</v>
      </c>
      <c r="BU120">
        <v>8.6094100000000007E-2</v>
      </c>
      <c r="BV120">
        <v>8.6094100000000007E-2</v>
      </c>
      <c r="BW120">
        <v>-28.462299999999999</v>
      </c>
      <c r="BX120">
        <v>-28.462299999999999</v>
      </c>
      <c r="BY120">
        <v>162.6421</v>
      </c>
      <c r="BZ120">
        <v>162.6421</v>
      </c>
      <c r="CA120">
        <v>0</v>
      </c>
      <c r="CB120">
        <v>0</v>
      </c>
      <c r="CC120">
        <v>0</v>
      </c>
      <c r="CD120">
        <v>180</v>
      </c>
    </row>
    <row r="121" spans="19:82">
      <c r="S121">
        <v>0.58660000000000001</v>
      </c>
      <c r="T121">
        <v>0.98393390000000003</v>
      </c>
      <c r="U121">
        <v>0.98393390000000003</v>
      </c>
      <c r="V121">
        <v>5.4E-6</v>
      </c>
      <c r="W121">
        <v>5.4E-6</v>
      </c>
      <c r="X121">
        <v>1.6060700000000001E-2</v>
      </c>
      <c r="Y121">
        <v>1.6060700000000001E-2</v>
      </c>
      <c r="Z121">
        <v>-123.1438</v>
      </c>
      <c r="AA121">
        <v>-123.1438</v>
      </c>
      <c r="AB121">
        <v>173.22149999999999</v>
      </c>
      <c r="AC121">
        <v>173.22149999999999</v>
      </c>
      <c r="AD121">
        <v>0</v>
      </c>
      <c r="AE121">
        <v>0</v>
      </c>
      <c r="AF121">
        <v>0</v>
      </c>
      <c r="AG121">
        <v>180</v>
      </c>
      <c r="AI121">
        <v>0.58660000000000001</v>
      </c>
      <c r="AJ121">
        <v>0.98466699999999996</v>
      </c>
      <c r="AK121">
        <v>0.98466699999999996</v>
      </c>
      <c r="AL121">
        <v>7.0999999999999998E-6</v>
      </c>
      <c r="AM121">
        <v>7.0999999999999998E-6</v>
      </c>
      <c r="AN121">
        <v>1.53259E-2</v>
      </c>
      <c r="AO121">
        <v>1.53259E-2</v>
      </c>
      <c r="AP121">
        <v>-113.6497</v>
      </c>
      <c r="AQ121">
        <v>-113.6497</v>
      </c>
      <c r="AR121">
        <v>-170.56700000000001</v>
      </c>
      <c r="AS121">
        <v>-170.56700000000001</v>
      </c>
      <c r="AT121">
        <v>0</v>
      </c>
      <c r="AU121">
        <v>0</v>
      </c>
      <c r="AV121">
        <v>0</v>
      </c>
      <c r="AW121">
        <v>180</v>
      </c>
      <c r="AY121">
        <v>0.58660000000000001</v>
      </c>
      <c r="AZ121">
        <v>5.0172000000000003E-3</v>
      </c>
      <c r="BA121">
        <v>5.0172000000000003E-3</v>
      </c>
      <c r="BB121">
        <v>0.99387179999999997</v>
      </c>
      <c r="BC121">
        <v>0.99387179999999997</v>
      </c>
      <c r="BD121">
        <v>1.111E-3</v>
      </c>
      <c r="BE121">
        <v>1.111E-3</v>
      </c>
      <c r="BF121">
        <v>-40.822200000000002</v>
      </c>
      <c r="BG121">
        <v>-40.822200000000002</v>
      </c>
      <c r="BH121">
        <v>-173.52369999999999</v>
      </c>
      <c r="BI121">
        <v>-173.52369999999999</v>
      </c>
      <c r="BJ121">
        <v>0</v>
      </c>
      <c r="BK121">
        <v>0</v>
      </c>
      <c r="BL121">
        <v>0</v>
      </c>
      <c r="BM121">
        <v>180</v>
      </c>
      <c r="BP121">
        <v>0.58660000000000001</v>
      </c>
      <c r="BQ121">
        <v>0.91370130000000005</v>
      </c>
      <c r="BR121">
        <v>0.91370130000000005</v>
      </c>
      <c r="BS121">
        <v>0</v>
      </c>
      <c r="BT121">
        <v>0</v>
      </c>
      <c r="BU121">
        <v>8.6298700000000006E-2</v>
      </c>
      <c r="BV121">
        <v>8.6298700000000006E-2</v>
      </c>
      <c r="BW121">
        <v>-28.884799999999998</v>
      </c>
      <c r="BX121">
        <v>-28.884799999999998</v>
      </c>
      <c r="BY121">
        <v>162.68469999999999</v>
      </c>
      <c r="BZ121">
        <v>162.68469999999999</v>
      </c>
      <c r="CA121">
        <v>0</v>
      </c>
      <c r="CB121">
        <v>0</v>
      </c>
      <c r="CC121">
        <v>0</v>
      </c>
      <c r="CD121">
        <v>180</v>
      </c>
    </row>
    <row r="122" spans="19:82">
      <c r="S122">
        <v>0.58794999999999997</v>
      </c>
      <c r="T122">
        <v>0.98402690000000004</v>
      </c>
      <c r="U122">
        <v>0.98402690000000004</v>
      </c>
      <c r="V122">
        <v>5.3000000000000001E-6</v>
      </c>
      <c r="W122">
        <v>5.3000000000000001E-6</v>
      </c>
      <c r="X122">
        <v>1.5967700000000001E-2</v>
      </c>
      <c r="Y122">
        <v>1.5967700000000001E-2</v>
      </c>
      <c r="Z122">
        <v>-122.876</v>
      </c>
      <c r="AA122">
        <v>-122.876</v>
      </c>
      <c r="AB122">
        <v>173.6165</v>
      </c>
      <c r="AC122">
        <v>173.6165</v>
      </c>
      <c r="AD122">
        <v>0</v>
      </c>
      <c r="AE122">
        <v>0</v>
      </c>
      <c r="AF122">
        <v>0</v>
      </c>
      <c r="AG122">
        <v>180</v>
      </c>
      <c r="AI122">
        <v>0.58794999999999997</v>
      </c>
      <c r="AJ122">
        <v>0.98472029999999999</v>
      </c>
      <c r="AK122">
        <v>0.98472029999999999</v>
      </c>
      <c r="AL122">
        <v>6.9999999999999999E-6</v>
      </c>
      <c r="AM122">
        <v>6.9999999999999999E-6</v>
      </c>
      <c r="AN122">
        <v>1.52727E-2</v>
      </c>
      <c r="AO122">
        <v>1.52727E-2</v>
      </c>
      <c r="AP122">
        <v>-113.3926</v>
      </c>
      <c r="AQ122">
        <v>-113.3926</v>
      </c>
      <c r="AR122">
        <v>-170.18709999999999</v>
      </c>
      <c r="AS122">
        <v>-170.18709999999999</v>
      </c>
      <c r="AT122">
        <v>0</v>
      </c>
      <c r="AU122">
        <v>0</v>
      </c>
      <c r="AV122">
        <v>0</v>
      </c>
      <c r="AW122">
        <v>180</v>
      </c>
      <c r="AY122">
        <v>0.58794999999999997</v>
      </c>
      <c r="AZ122">
        <v>4.9611999999999998E-3</v>
      </c>
      <c r="BA122">
        <v>4.9611999999999998E-3</v>
      </c>
      <c r="BB122">
        <v>0.99393469999999995</v>
      </c>
      <c r="BC122">
        <v>0.99393469999999995</v>
      </c>
      <c r="BD122">
        <v>1.1041E-3</v>
      </c>
      <c r="BE122">
        <v>1.1041E-3</v>
      </c>
      <c r="BF122">
        <v>-39.802500000000002</v>
      </c>
      <c r="BG122">
        <v>-39.802500000000002</v>
      </c>
      <c r="BH122">
        <v>-173.69970000000001</v>
      </c>
      <c r="BI122">
        <v>-173.69970000000001</v>
      </c>
      <c r="BJ122">
        <v>0</v>
      </c>
      <c r="BK122">
        <v>0</v>
      </c>
      <c r="BL122">
        <v>0</v>
      </c>
      <c r="BM122">
        <v>180</v>
      </c>
      <c r="BP122">
        <v>0.58794999999999997</v>
      </c>
      <c r="BQ122">
        <v>0.91349959999999997</v>
      </c>
      <c r="BR122">
        <v>0.91349959999999997</v>
      </c>
      <c r="BS122">
        <v>0</v>
      </c>
      <c r="BT122">
        <v>0</v>
      </c>
      <c r="BU122">
        <v>8.6500400000000005E-2</v>
      </c>
      <c r="BV122">
        <v>8.6500400000000005E-2</v>
      </c>
      <c r="BW122">
        <v>-29.305399999999999</v>
      </c>
      <c r="BX122">
        <v>-29.305399999999999</v>
      </c>
      <c r="BY122">
        <v>162.72710000000001</v>
      </c>
      <c r="BZ122">
        <v>162.72710000000001</v>
      </c>
      <c r="CA122">
        <v>0</v>
      </c>
      <c r="CB122">
        <v>0</v>
      </c>
      <c r="CC122">
        <v>0</v>
      </c>
      <c r="CD122">
        <v>180</v>
      </c>
    </row>
    <row r="123" spans="19:82">
      <c r="S123">
        <v>0.58930000000000005</v>
      </c>
      <c r="T123">
        <v>0.98411789999999999</v>
      </c>
      <c r="U123">
        <v>0.98411789999999999</v>
      </c>
      <c r="V123">
        <v>5.2000000000000002E-6</v>
      </c>
      <c r="W123">
        <v>5.2000000000000002E-6</v>
      </c>
      <c r="X123">
        <v>1.5876899999999999E-2</v>
      </c>
      <c r="Y123">
        <v>1.5876899999999999E-2</v>
      </c>
      <c r="Z123">
        <v>-122.6097</v>
      </c>
      <c r="AA123">
        <v>-122.6097</v>
      </c>
      <c r="AB123">
        <v>174.0093</v>
      </c>
      <c r="AC123">
        <v>174.0093</v>
      </c>
      <c r="AD123">
        <v>0</v>
      </c>
      <c r="AE123">
        <v>0</v>
      </c>
      <c r="AF123">
        <v>0</v>
      </c>
      <c r="AG123">
        <v>180</v>
      </c>
      <c r="AI123">
        <v>0.58930000000000005</v>
      </c>
      <c r="AJ123">
        <v>0.98477219999999999</v>
      </c>
      <c r="AK123">
        <v>0.98477219999999999</v>
      </c>
      <c r="AL123">
        <v>6.9E-6</v>
      </c>
      <c r="AM123">
        <v>6.9E-6</v>
      </c>
      <c r="AN123">
        <v>1.5220900000000001E-2</v>
      </c>
      <c r="AO123">
        <v>1.5220900000000001E-2</v>
      </c>
      <c r="AP123">
        <v>-113.1365</v>
      </c>
      <c r="AQ123">
        <v>-113.1365</v>
      </c>
      <c r="AR123">
        <v>-169.8083</v>
      </c>
      <c r="AS123">
        <v>-169.8083</v>
      </c>
      <c r="AT123">
        <v>0</v>
      </c>
      <c r="AU123">
        <v>0</v>
      </c>
      <c r="AV123">
        <v>0</v>
      </c>
      <c r="AW123">
        <v>180</v>
      </c>
      <c r="AY123">
        <v>0.58930000000000005</v>
      </c>
      <c r="AZ123">
        <v>4.9058000000000001E-3</v>
      </c>
      <c r="BA123">
        <v>4.9058000000000001E-3</v>
      </c>
      <c r="BB123">
        <v>0.99399689999999996</v>
      </c>
      <c r="BC123">
        <v>0.99399689999999996</v>
      </c>
      <c r="BD123">
        <v>1.0973000000000001E-3</v>
      </c>
      <c r="BE123">
        <v>1.0973000000000001E-3</v>
      </c>
      <c r="BF123">
        <v>-38.787399999999998</v>
      </c>
      <c r="BG123">
        <v>-38.787399999999998</v>
      </c>
      <c r="BH123">
        <v>-173.89189999999999</v>
      </c>
      <c r="BI123">
        <v>-173.89189999999999</v>
      </c>
      <c r="BJ123">
        <v>0</v>
      </c>
      <c r="BK123">
        <v>0</v>
      </c>
      <c r="BL123">
        <v>0</v>
      </c>
      <c r="BM123">
        <v>180</v>
      </c>
      <c r="BP123">
        <v>0.58930000000000005</v>
      </c>
      <c r="BQ123">
        <v>0.91330080000000002</v>
      </c>
      <c r="BR123">
        <v>0.91330080000000002</v>
      </c>
      <c r="BS123">
        <v>0</v>
      </c>
      <c r="BT123">
        <v>0</v>
      </c>
      <c r="BU123">
        <v>8.6699200000000004E-2</v>
      </c>
      <c r="BV123">
        <v>8.6699200000000004E-2</v>
      </c>
      <c r="BW123">
        <v>-29.724</v>
      </c>
      <c r="BX123">
        <v>-29.724</v>
      </c>
      <c r="BY123">
        <v>162.76929999999999</v>
      </c>
      <c r="BZ123">
        <v>162.76929999999999</v>
      </c>
      <c r="CA123">
        <v>0</v>
      </c>
      <c r="CB123">
        <v>0</v>
      </c>
      <c r="CC123">
        <v>0</v>
      </c>
      <c r="CD123">
        <v>180</v>
      </c>
    </row>
    <row r="124" spans="19:82">
      <c r="S124">
        <v>0.59065000000000001</v>
      </c>
      <c r="T124">
        <v>0.98420680000000005</v>
      </c>
      <c r="U124">
        <v>0.98420680000000005</v>
      </c>
      <c r="V124">
        <v>5.2000000000000002E-6</v>
      </c>
      <c r="W124">
        <v>5.2000000000000002E-6</v>
      </c>
      <c r="X124">
        <v>1.5788099999999999E-2</v>
      </c>
      <c r="Y124">
        <v>1.5788099999999999E-2</v>
      </c>
      <c r="Z124">
        <v>-122.345</v>
      </c>
      <c r="AA124">
        <v>-122.345</v>
      </c>
      <c r="AB124">
        <v>174.3999</v>
      </c>
      <c r="AC124">
        <v>174.3999</v>
      </c>
      <c r="AD124">
        <v>0</v>
      </c>
      <c r="AE124">
        <v>0</v>
      </c>
      <c r="AF124">
        <v>0</v>
      </c>
      <c r="AG124">
        <v>180</v>
      </c>
      <c r="AI124">
        <v>0.59065000000000001</v>
      </c>
      <c r="AJ124">
        <v>0.98482270000000005</v>
      </c>
      <c r="AK124">
        <v>0.98482270000000005</v>
      </c>
      <c r="AL124">
        <v>6.8000000000000001E-6</v>
      </c>
      <c r="AM124">
        <v>6.8000000000000001E-6</v>
      </c>
      <c r="AN124">
        <v>1.5170599999999999E-2</v>
      </c>
      <c r="AO124">
        <v>1.5170599999999999E-2</v>
      </c>
      <c r="AP124">
        <v>-112.88160000000001</v>
      </c>
      <c r="AQ124">
        <v>-112.88160000000001</v>
      </c>
      <c r="AR124">
        <v>-169.43100000000001</v>
      </c>
      <c r="AS124">
        <v>-169.43100000000001</v>
      </c>
      <c r="AT124">
        <v>0</v>
      </c>
      <c r="AU124">
        <v>0</v>
      </c>
      <c r="AV124">
        <v>0</v>
      </c>
      <c r="AW124">
        <v>180</v>
      </c>
      <c r="AY124">
        <v>0.59065000000000001</v>
      </c>
      <c r="AZ124">
        <v>4.8513000000000002E-3</v>
      </c>
      <c r="BA124">
        <v>4.8513000000000002E-3</v>
      </c>
      <c r="BB124">
        <v>0.99405809999999994</v>
      </c>
      <c r="BC124">
        <v>0.99405809999999994</v>
      </c>
      <c r="BD124">
        <v>1.0905000000000001E-3</v>
      </c>
      <c r="BE124">
        <v>1.0905000000000001E-3</v>
      </c>
      <c r="BF124">
        <v>-37.776899999999998</v>
      </c>
      <c r="BG124">
        <v>-37.776899999999998</v>
      </c>
      <c r="BH124">
        <v>-174.1001</v>
      </c>
      <c r="BI124">
        <v>-174.1001</v>
      </c>
      <c r="BJ124">
        <v>0</v>
      </c>
      <c r="BK124">
        <v>0</v>
      </c>
      <c r="BL124">
        <v>0</v>
      </c>
      <c r="BM124">
        <v>180</v>
      </c>
      <c r="BP124">
        <v>0.59065000000000001</v>
      </c>
      <c r="BQ124">
        <v>0.9131049</v>
      </c>
      <c r="BR124">
        <v>0.9131049</v>
      </c>
      <c r="BS124">
        <v>0</v>
      </c>
      <c r="BT124">
        <v>0</v>
      </c>
      <c r="BU124">
        <v>8.6895100000000003E-2</v>
      </c>
      <c r="BV124">
        <v>8.6895100000000003E-2</v>
      </c>
      <c r="BW124">
        <v>-30.140799999999999</v>
      </c>
      <c r="BX124">
        <v>-30.140799999999999</v>
      </c>
      <c r="BY124">
        <v>162.81139999999999</v>
      </c>
      <c r="BZ124">
        <v>162.81139999999999</v>
      </c>
      <c r="CA124">
        <v>0</v>
      </c>
      <c r="CB124">
        <v>0</v>
      </c>
      <c r="CC124">
        <v>0</v>
      </c>
      <c r="CD124">
        <v>180</v>
      </c>
    </row>
    <row r="125" spans="19:82">
      <c r="S125">
        <v>0.59199999999999997</v>
      </c>
      <c r="T125">
        <v>0.98429370000000005</v>
      </c>
      <c r="U125">
        <v>0.98429370000000005</v>
      </c>
      <c r="V125">
        <v>5.1000000000000003E-6</v>
      </c>
      <c r="W125">
        <v>5.1000000000000003E-6</v>
      </c>
      <c r="X125">
        <v>1.5701199999999998E-2</v>
      </c>
      <c r="Y125">
        <v>1.5701199999999998E-2</v>
      </c>
      <c r="Z125">
        <v>-122.0817</v>
      </c>
      <c r="AA125">
        <v>-122.0817</v>
      </c>
      <c r="AB125">
        <v>174.78829999999999</v>
      </c>
      <c r="AC125">
        <v>174.78829999999999</v>
      </c>
      <c r="AD125">
        <v>0</v>
      </c>
      <c r="AE125">
        <v>0</v>
      </c>
      <c r="AF125">
        <v>0</v>
      </c>
      <c r="AG125">
        <v>180</v>
      </c>
      <c r="AI125">
        <v>0.59199999999999997</v>
      </c>
      <c r="AJ125">
        <v>0.98487179999999996</v>
      </c>
      <c r="AK125">
        <v>0.98487179999999996</v>
      </c>
      <c r="AL125">
        <v>6.7000000000000002E-6</v>
      </c>
      <c r="AM125">
        <v>6.7000000000000002E-6</v>
      </c>
      <c r="AN125">
        <v>1.5121600000000001E-2</v>
      </c>
      <c r="AO125">
        <v>1.5121600000000001E-2</v>
      </c>
      <c r="AP125">
        <v>-112.6275</v>
      </c>
      <c r="AQ125">
        <v>-112.6275</v>
      </c>
      <c r="AR125">
        <v>-169.0547</v>
      </c>
      <c r="AS125">
        <v>-169.0547</v>
      </c>
      <c r="AT125">
        <v>0</v>
      </c>
      <c r="AU125">
        <v>0</v>
      </c>
      <c r="AV125">
        <v>0</v>
      </c>
      <c r="AW125">
        <v>180</v>
      </c>
      <c r="AY125">
        <v>0.59199999999999997</v>
      </c>
      <c r="AZ125">
        <v>4.7977999999999996E-3</v>
      </c>
      <c r="BA125">
        <v>4.7977999999999996E-3</v>
      </c>
      <c r="BB125">
        <v>0.99411839999999996</v>
      </c>
      <c r="BC125">
        <v>0.99411839999999996</v>
      </c>
      <c r="BD125">
        <v>1.0838E-3</v>
      </c>
      <c r="BE125">
        <v>1.0838E-3</v>
      </c>
      <c r="BF125">
        <v>-36.771000000000001</v>
      </c>
      <c r="BG125">
        <v>-36.771000000000001</v>
      </c>
      <c r="BH125">
        <v>-174.3244</v>
      </c>
      <c r="BI125">
        <v>-174.3244</v>
      </c>
      <c r="BJ125">
        <v>0</v>
      </c>
      <c r="BK125">
        <v>0</v>
      </c>
      <c r="BL125">
        <v>0</v>
      </c>
      <c r="BM125">
        <v>180</v>
      </c>
      <c r="BP125">
        <v>0.59199999999999997</v>
      </c>
      <c r="BQ125">
        <v>0.9129119</v>
      </c>
      <c r="BR125">
        <v>0.9129119</v>
      </c>
      <c r="BS125">
        <v>0</v>
      </c>
      <c r="BT125">
        <v>0</v>
      </c>
      <c r="BU125">
        <v>8.7088100000000002E-2</v>
      </c>
      <c r="BV125">
        <v>8.7088100000000002E-2</v>
      </c>
      <c r="BW125">
        <v>-30.555700000000002</v>
      </c>
      <c r="BX125">
        <v>-30.555700000000002</v>
      </c>
      <c r="BY125">
        <v>162.85319999999999</v>
      </c>
      <c r="BZ125">
        <v>162.85319999999999</v>
      </c>
      <c r="CA125">
        <v>0</v>
      </c>
      <c r="CB125">
        <v>0</v>
      </c>
      <c r="CC125">
        <v>0</v>
      </c>
      <c r="CD125">
        <v>180</v>
      </c>
    </row>
    <row r="126" spans="19:82">
      <c r="S126">
        <v>0.59335000000000004</v>
      </c>
      <c r="T126">
        <v>0.98437859999999999</v>
      </c>
      <c r="U126">
        <v>0.98437859999999999</v>
      </c>
      <c r="V126">
        <v>5.0000000000000004E-6</v>
      </c>
      <c r="W126">
        <v>5.0000000000000004E-6</v>
      </c>
      <c r="X126">
        <v>1.5616400000000001E-2</v>
      </c>
      <c r="Y126">
        <v>1.5616400000000001E-2</v>
      </c>
      <c r="Z126">
        <v>-121.8199</v>
      </c>
      <c r="AA126">
        <v>-121.8199</v>
      </c>
      <c r="AB126">
        <v>175.1746</v>
      </c>
      <c r="AC126">
        <v>175.1746</v>
      </c>
      <c r="AD126">
        <v>0</v>
      </c>
      <c r="AE126">
        <v>0</v>
      </c>
      <c r="AF126">
        <v>0</v>
      </c>
      <c r="AG126">
        <v>180</v>
      </c>
      <c r="AI126">
        <v>0.59335000000000004</v>
      </c>
      <c r="AJ126">
        <v>0.98491949999999995</v>
      </c>
      <c r="AK126">
        <v>0.98491949999999995</v>
      </c>
      <c r="AL126">
        <v>6.6000000000000003E-6</v>
      </c>
      <c r="AM126">
        <v>6.6000000000000003E-6</v>
      </c>
      <c r="AN126">
        <v>1.5073899999999999E-2</v>
      </c>
      <c r="AO126">
        <v>1.5073899999999999E-2</v>
      </c>
      <c r="AP126">
        <v>-112.37439999999999</v>
      </c>
      <c r="AQ126">
        <v>-112.37439999999999</v>
      </c>
      <c r="AR126">
        <v>-168.67949999999999</v>
      </c>
      <c r="AS126">
        <v>-168.67949999999999</v>
      </c>
      <c r="AT126">
        <v>0</v>
      </c>
      <c r="AU126">
        <v>0</v>
      </c>
      <c r="AV126">
        <v>0</v>
      </c>
      <c r="AW126">
        <v>180</v>
      </c>
      <c r="AY126">
        <v>0.59335000000000004</v>
      </c>
      <c r="AZ126">
        <v>4.7454000000000003E-3</v>
      </c>
      <c r="BA126">
        <v>4.7454000000000003E-3</v>
      </c>
      <c r="BB126">
        <v>0.99417750000000005</v>
      </c>
      <c r="BC126">
        <v>0.99417750000000005</v>
      </c>
      <c r="BD126">
        <v>1.0771000000000001E-3</v>
      </c>
      <c r="BE126">
        <v>1.0771000000000001E-3</v>
      </c>
      <c r="BF126">
        <v>-35.769599999999997</v>
      </c>
      <c r="BG126">
        <v>-35.769599999999997</v>
      </c>
      <c r="BH126">
        <v>-174.56460000000001</v>
      </c>
      <c r="BI126">
        <v>-174.56460000000001</v>
      </c>
      <c r="BJ126">
        <v>0</v>
      </c>
      <c r="BK126">
        <v>0</v>
      </c>
      <c r="BL126">
        <v>0</v>
      </c>
      <c r="BM126">
        <v>180</v>
      </c>
      <c r="BP126">
        <v>0.59335000000000004</v>
      </c>
      <c r="BQ126">
        <v>0.91272160000000002</v>
      </c>
      <c r="BR126">
        <v>0.91272160000000002</v>
      </c>
      <c r="BS126">
        <v>0</v>
      </c>
      <c r="BT126">
        <v>0</v>
      </c>
      <c r="BU126">
        <v>8.7278400000000006E-2</v>
      </c>
      <c r="BV126">
        <v>8.7278400000000006E-2</v>
      </c>
      <c r="BW126">
        <v>-30.968699999999998</v>
      </c>
      <c r="BX126">
        <v>-30.968699999999998</v>
      </c>
      <c r="BY126">
        <v>162.89490000000001</v>
      </c>
      <c r="BZ126">
        <v>162.89490000000001</v>
      </c>
      <c r="CA126">
        <v>0</v>
      </c>
      <c r="CB126">
        <v>0</v>
      </c>
      <c r="CC126">
        <v>0</v>
      </c>
      <c r="CD126">
        <v>180</v>
      </c>
    </row>
    <row r="127" spans="19:82">
      <c r="S127">
        <v>0.59470000000000001</v>
      </c>
      <c r="T127">
        <v>0.9844617</v>
      </c>
      <c r="U127">
        <v>0.9844617</v>
      </c>
      <c r="V127">
        <v>4.8999999999999997E-6</v>
      </c>
      <c r="W127">
        <v>4.8999999999999997E-6</v>
      </c>
      <c r="X127">
        <v>1.5533399999999999E-2</v>
      </c>
      <c r="Y127">
        <v>1.5533399999999999E-2</v>
      </c>
      <c r="Z127">
        <v>-121.5595</v>
      </c>
      <c r="AA127">
        <v>-121.5595</v>
      </c>
      <c r="AB127">
        <v>175.55889999999999</v>
      </c>
      <c r="AC127">
        <v>175.55889999999999</v>
      </c>
      <c r="AD127">
        <v>0</v>
      </c>
      <c r="AE127">
        <v>0</v>
      </c>
      <c r="AF127">
        <v>0</v>
      </c>
      <c r="AG127">
        <v>180</v>
      </c>
      <c r="AI127">
        <v>0.59470000000000001</v>
      </c>
      <c r="AJ127">
        <v>0.98496600000000001</v>
      </c>
      <c r="AK127">
        <v>0.98496600000000001</v>
      </c>
      <c r="AL127">
        <v>6.4999999999999996E-6</v>
      </c>
      <c r="AM127">
        <v>6.4999999999999996E-6</v>
      </c>
      <c r="AN127">
        <v>1.5027499999999999E-2</v>
      </c>
      <c r="AO127">
        <v>1.5027499999999999E-2</v>
      </c>
      <c r="AP127">
        <v>-112.12220000000001</v>
      </c>
      <c r="AQ127">
        <v>-112.12220000000001</v>
      </c>
      <c r="AR127">
        <v>-168.30529999999999</v>
      </c>
      <c r="AS127">
        <v>-168.30529999999999</v>
      </c>
      <c r="AT127">
        <v>0</v>
      </c>
      <c r="AU127">
        <v>0</v>
      </c>
      <c r="AV127">
        <v>0</v>
      </c>
      <c r="AW127">
        <v>180</v>
      </c>
      <c r="AY127">
        <v>0.59470000000000001</v>
      </c>
      <c r="AZ127">
        <v>4.6943000000000002E-3</v>
      </c>
      <c r="BA127">
        <v>4.6943000000000002E-3</v>
      </c>
      <c r="BB127">
        <v>0.99423530000000004</v>
      </c>
      <c r="BC127">
        <v>0.99423530000000004</v>
      </c>
      <c r="BD127">
        <v>1.0704E-3</v>
      </c>
      <c r="BE127">
        <v>1.0704E-3</v>
      </c>
      <c r="BF127">
        <v>-34.7727</v>
      </c>
      <c r="BG127">
        <v>-34.7727</v>
      </c>
      <c r="BH127">
        <v>-174.82050000000001</v>
      </c>
      <c r="BI127">
        <v>-174.82050000000001</v>
      </c>
      <c r="BJ127">
        <v>0</v>
      </c>
      <c r="BK127">
        <v>0</v>
      </c>
      <c r="BL127">
        <v>0</v>
      </c>
      <c r="BM127">
        <v>180</v>
      </c>
      <c r="BP127">
        <v>0.59470000000000001</v>
      </c>
      <c r="BQ127">
        <v>0.91253410000000001</v>
      </c>
      <c r="BR127">
        <v>0.91253410000000001</v>
      </c>
      <c r="BS127">
        <v>0</v>
      </c>
      <c r="BT127">
        <v>0</v>
      </c>
      <c r="BU127">
        <v>8.7465899999999999E-2</v>
      </c>
      <c r="BV127">
        <v>8.7465899999999999E-2</v>
      </c>
      <c r="BW127">
        <v>-31.379799999999999</v>
      </c>
      <c r="BX127">
        <v>-31.379799999999999</v>
      </c>
      <c r="BY127">
        <v>162.93639999999999</v>
      </c>
      <c r="BZ127">
        <v>162.93639999999999</v>
      </c>
      <c r="CA127">
        <v>0</v>
      </c>
      <c r="CB127">
        <v>0</v>
      </c>
      <c r="CC127">
        <v>0</v>
      </c>
      <c r="CD127">
        <v>180</v>
      </c>
    </row>
    <row r="128" spans="19:82">
      <c r="S128">
        <v>0.59604999999999997</v>
      </c>
      <c r="T128">
        <v>0.9845429</v>
      </c>
      <c r="U128">
        <v>0.9845429</v>
      </c>
      <c r="V128">
        <v>4.7999999999999998E-6</v>
      </c>
      <c r="W128">
        <v>4.7999999999999998E-6</v>
      </c>
      <c r="X128">
        <v>1.54523E-2</v>
      </c>
      <c r="Y128">
        <v>1.54523E-2</v>
      </c>
      <c r="Z128">
        <v>-121.3005</v>
      </c>
      <c r="AA128">
        <v>-121.3005</v>
      </c>
      <c r="AB128">
        <v>175.94110000000001</v>
      </c>
      <c r="AC128">
        <v>175.94110000000001</v>
      </c>
      <c r="AD128">
        <v>0</v>
      </c>
      <c r="AE128">
        <v>0</v>
      </c>
      <c r="AF128">
        <v>0</v>
      </c>
      <c r="AG128">
        <v>180</v>
      </c>
      <c r="AI128">
        <v>0.59604999999999997</v>
      </c>
      <c r="AJ128">
        <v>0.98501130000000003</v>
      </c>
      <c r="AK128">
        <v>0.98501130000000003</v>
      </c>
      <c r="AL128">
        <v>6.3999999999999997E-6</v>
      </c>
      <c r="AM128">
        <v>6.3999999999999997E-6</v>
      </c>
      <c r="AN128">
        <v>1.49823E-2</v>
      </c>
      <c r="AO128">
        <v>1.49823E-2</v>
      </c>
      <c r="AP128">
        <v>-111.87090000000001</v>
      </c>
      <c r="AQ128">
        <v>-111.87090000000001</v>
      </c>
      <c r="AR128">
        <v>-167.93219999999999</v>
      </c>
      <c r="AS128">
        <v>-167.93219999999999</v>
      </c>
      <c r="AT128">
        <v>0</v>
      </c>
      <c r="AU128">
        <v>0</v>
      </c>
      <c r="AV128">
        <v>0</v>
      </c>
      <c r="AW128">
        <v>180</v>
      </c>
      <c r="AY128">
        <v>0.59604999999999997</v>
      </c>
      <c r="AZ128">
        <v>4.6445999999999996E-3</v>
      </c>
      <c r="BA128">
        <v>4.6445999999999996E-3</v>
      </c>
      <c r="BB128">
        <v>0.9942917</v>
      </c>
      <c r="BC128">
        <v>0.9942917</v>
      </c>
      <c r="BD128">
        <v>1.0637999999999999E-3</v>
      </c>
      <c r="BE128">
        <v>1.0637999999999999E-3</v>
      </c>
      <c r="BF128">
        <v>-33.780299999999997</v>
      </c>
      <c r="BG128">
        <v>-33.780299999999997</v>
      </c>
      <c r="BH128">
        <v>-175.09190000000001</v>
      </c>
      <c r="BI128">
        <v>-175.09190000000001</v>
      </c>
      <c r="BJ128">
        <v>0</v>
      </c>
      <c r="BK128">
        <v>0</v>
      </c>
      <c r="BL128">
        <v>0</v>
      </c>
      <c r="BM128">
        <v>180</v>
      </c>
      <c r="BP128">
        <v>0.59604999999999997</v>
      </c>
      <c r="BQ128">
        <v>0.91234930000000003</v>
      </c>
      <c r="BR128">
        <v>0.91234930000000003</v>
      </c>
      <c r="BS128">
        <v>0</v>
      </c>
      <c r="BT128">
        <v>0</v>
      </c>
      <c r="BU128">
        <v>8.7650699999999998E-2</v>
      </c>
      <c r="BV128">
        <v>8.7650699999999998E-2</v>
      </c>
      <c r="BW128">
        <v>-31.789100000000001</v>
      </c>
      <c r="BX128">
        <v>-31.789100000000001</v>
      </c>
      <c r="BY128">
        <v>162.9777</v>
      </c>
      <c r="BZ128">
        <v>162.9777</v>
      </c>
      <c r="CA128">
        <v>0</v>
      </c>
      <c r="CB128">
        <v>0</v>
      </c>
      <c r="CC128">
        <v>0</v>
      </c>
      <c r="CD128">
        <v>180</v>
      </c>
    </row>
    <row r="129" spans="19:82">
      <c r="S129">
        <v>0.59740000000000004</v>
      </c>
      <c r="T129">
        <v>0.9846222</v>
      </c>
      <c r="U129">
        <v>0.9846222</v>
      </c>
      <c r="V129">
        <v>4.7999999999999998E-6</v>
      </c>
      <c r="W129">
        <v>4.7999999999999998E-6</v>
      </c>
      <c r="X129">
        <v>1.5373E-2</v>
      </c>
      <c r="Y129">
        <v>1.5373E-2</v>
      </c>
      <c r="Z129">
        <v>-121.0429</v>
      </c>
      <c r="AA129">
        <v>-121.0429</v>
      </c>
      <c r="AB129">
        <v>176.32140000000001</v>
      </c>
      <c r="AC129">
        <v>176.32140000000001</v>
      </c>
      <c r="AD129">
        <v>0</v>
      </c>
      <c r="AE129">
        <v>0</v>
      </c>
      <c r="AF129">
        <v>0</v>
      </c>
      <c r="AG129">
        <v>180</v>
      </c>
      <c r="AI129">
        <v>0.59740000000000004</v>
      </c>
      <c r="AJ129">
        <v>0.98505540000000003</v>
      </c>
      <c r="AK129">
        <v>0.98505540000000003</v>
      </c>
      <c r="AL129">
        <v>6.2999999999999998E-6</v>
      </c>
      <c r="AM129">
        <v>6.2999999999999998E-6</v>
      </c>
      <c r="AN129">
        <v>1.49383E-2</v>
      </c>
      <c r="AO129">
        <v>1.49383E-2</v>
      </c>
      <c r="AP129">
        <v>-111.62009999999999</v>
      </c>
      <c r="AQ129">
        <v>-111.62009999999999</v>
      </c>
      <c r="AR129">
        <v>-167.55950000000001</v>
      </c>
      <c r="AS129">
        <v>-167.55950000000001</v>
      </c>
      <c r="AT129">
        <v>0</v>
      </c>
      <c r="AU129">
        <v>0</v>
      </c>
      <c r="AV129">
        <v>0</v>
      </c>
      <c r="AW129">
        <v>180</v>
      </c>
      <c r="AY129">
        <v>0.59740000000000004</v>
      </c>
      <c r="AZ129">
        <v>4.5963000000000002E-3</v>
      </c>
      <c r="BA129">
        <v>4.5963000000000002E-3</v>
      </c>
      <c r="BB129">
        <v>0.99434650000000002</v>
      </c>
      <c r="BC129">
        <v>0.99434650000000002</v>
      </c>
      <c r="BD129">
        <v>1.0571000000000001E-3</v>
      </c>
      <c r="BE129">
        <v>1.0571000000000001E-3</v>
      </c>
      <c r="BF129">
        <v>-32.792299999999997</v>
      </c>
      <c r="BG129">
        <v>-32.792299999999997</v>
      </c>
      <c r="BH129">
        <v>-175.37860000000001</v>
      </c>
      <c r="BI129">
        <v>-175.37860000000001</v>
      </c>
      <c r="BJ129">
        <v>0</v>
      </c>
      <c r="BK129">
        <v>0</v>
      </c>
      <c r="BL129">
        <v>0</v>
      </c>
      <c r="BM129">
        <v>180</v>
      </c>
      <c r="BP129">
        <v>0.59740000000000004</v>
      </c>
      <c r="BQ129">
        <v>0.91216730000000001</v>
      </c>
      <c r="BR129">
        <v>0.91216730000000001</v>
      </c>
      <c r="BS129">
        <v>0</v>
      </c>
      <c r="BT129">
        <v>0</v>
      </c>
      <c r="BU129">
        <v>8.78327E-2</v>
      </c>
      <c r="BV129">
        <v>8.78327E-2</v>
      </c>
      <c r="BW129">
        <v>-32.1965</v>
      </c>
      <c r="BX129">
        <v>-32.1965</v>
      </c>
      <c r="BY129">
        <v>163.0188</v>
      </c>
      <c r="BZ129">
        <v>163.0188</v>
      </c>
      <c r="CA129">
        <v>0</v>
      </c>
      <c r="CB129">
        <v>0</v>
      </c>
      <c r="CC129">
        <v>0</v>
      </c>
      <c r="CD129">
        <v>180</v>
      </c>
    </row>
    <row r="130" spans="19:82">
      <c r="S130">
        <v>0.59875</v>
      </c>
      <c r="T130">
        <v>0.98469980000000001</v>
      </c>
      <c r="U130">
        <v>0.98469980000000001</v>
      </c>
      <c r="V130">
        <v>4.6999999999999999E-6</v>
      </c>
      <c r="W130">
        <v>4.6999999999999999E-6</v>
      </c>
      <c r="X130">
        <v>1.52955E-2</v>
      </c>
      <c r="Y130">
        <v>1.52955E-2</v>
      </c>
      <c r="Z130">
        <v>-120.78660000000001</v>
      </c>
      <c r="AA130">
        <v>-120.78660000000001</v>
      </c>
      <c r="AB130">
        <v>176.69970000000001</v>
      </c>
      <c r="AC130">
        <v>176.69970000000001</v>
      </c>
      <c r="AD130">
        <v>0</v>
      </c>
      <c r="AE130">
        <v>0</v>
      </c>
      <c r="AF130">
        <v>0</v>
      </c>
      <c r="AG130">
        <v>180</v>
      </c>
      <c r="AI130">
        <v>0.59875</v>
      </c>
      <c r="AJ130">
        <v>0.98509880000000005</v>
      </c>
      <c r="AK130">
        <v>0.98509880000000005</v>
      </c>
      <c r="AL130">
        <v>6.1999999999999999E-6</v>
      </c>
      <c r="AM130">
        <v>6.1999999999999999E-6</v>
      </c>
      <c r="AN130">
        <v>1.4895E-2</v>
      </c>
      <c r="AO130">
        <v>1.4895E-2</v>
      </c>
      <c r="AP130">
        <v>-111.3694</v>
      </c>
      <c r="AQ130">
        <v>-111.3694</v>
      </c>
      <c r="AR130">
        <v>-167.18620000000001</v>
      </c>
      <c r="AS130">
        <v>-167.18620000000001</v>
      </c>
      <c r="AT130">
        <v>0</v>
      </c>
      <c r="AU130">
        <v>0</v>
      </c>
      <c r="AV130">
        <v>0</v>
      </c>
      <c r="AW130">
        <v>180</v>
      </c>
      <c r="AY130">
        <v>0.59875</v>
      </c>
      <c r="AZ130">
        <v>4.5497000000000003E-3</v>
      </c>
      <c r="BA130">
        <v>4.5497000000000003E-3</v>
      </c>
      <c r="BB130">
        <v>0.99439979999999994</v>
      </c>
      <c r="BC130">
        <v>0.99439979999999994</v>
      </c>
      <c r="BD130">
        <v>1.0506000000000001E-3</v>
      </c>
      <c r="BE130">
        <v>1.0506000000000001E-3</v>
      </c>
      <c r="BF130">
        <v>-31.808700000000002</v>
      </c>
      <c r="BG130">
        <v>-31.808700000000002</v>
      </c>
      <c r="BH130">
        <v>-175.68010000000001</v>
      </c>
      <c r="BI130">
        <v>-175.68010000000001</v>
      </c>
      <c r="BJ130">
        <v>0</v>
      </c>
      <c r="BK130">
        <v>0</v>
      </c>
      <c r="BL130">
        <v>0</v>
      </c>
      <c r="BM130">
        <v>180</v>
      </c>
      <c r="BP130">
        <v>0.59875</v>
      </c>
      <c r="BQ130">
        <v>0.91198789999999996</v>
      </c>
      <c r="BR130">
        <v>0.91198789999999996</v>
      </c>
      <c r="BS130">
        <v>0</v>
      </c>
      <c r="BT130">
        <v>0</v>
      </c>
      <c r="BU130">
        <v>8.8012099999999996E-2</v>
      </c>
      <c r="BV130">
        <v>8.8012099999999996E-2</v>
      </c>
      <c r="BW130">
        <v>-32.6021</v>
      </c>
      <c r="BX130">
        <v>-32.6021</v>
      </c>
      <c r="BY130">
        <v>163.05969999999999</v>
      </c>
      <c r="BZ130">
        <v>163.05969999999999</v>
      </c>
      <c r="CA130">
        <v>0</v>
      </c>
      <c r="CB130">
        <v>0</v>
      </c>
      <c r="CC130">
        <v>0</v>
      </c>
      <c r="CD130">
        <v>180</v>
      </c>
    </row>
    <row r="131" spans="19:82">
      <c r="S131">
        <v>0.60009999999999997</v>
      </c>
      <c r="T131">
        <v>0.9847747</v>
      </c>
      <c r="U131">
        <v>0.9847747</v>
      </c>
      <c r="V131">
        <v>4.6E-6</v>
      </c>
      <c r="W131">
        <v>4.6E-6</v>
      </c>
      <c r="X131">
        <v>1.52207E-2</v>
      </c>
      <c r="Y131">
        <v>1.52207E-2</v>
      </c>
      <c r="Z131">
        <v>-120.53230000000001</v>
      </c>
      <c r="AA131">
        <v>-120.53230000000001</v>
      </c>
      <c r="AB131">
        <v>177.0762</v>
      </c>
      <c r="AC131">
        <v>177.0762</v>
      </c>
      <c r="AD131">
        <v>0</v>
      </c>
      <c r="AE131">
        <v>0</v>
      </c>
      <c r="AF131">
        <v>0</v>
      </c>
      <c r="AG131">
        <v>180</v>
      </c>
      <c r="AI131">
        <v>0.60009999999999997</v>
      </c>
      <c r="AJ131">
        <v>0.9851396</v>
      </c>
      <c r="AK131">
        <v>0.9851396</v>
      </c>
      <c r="AL131">
        <v>6.1999999999999999E-6</v>
      </c>
      <c r="AM131">
        <v>6.1999999999999999E-6</v>
      </c>
      <c r="AN131">
        <v>1.48542E-2</v>
      </c>
      <c r="AO131">
        <v>1.48542E-2</v>
      </c>
      <c r="AP131">
        <v>-111.1202</v>
      </c>
      <c r="AQ131">
        <v>-111.1202</v>
      </c>
      <c r="AR131">
        <v>-166.81360000000001</v>
      </c>
      <c r="AS131">
        <v>-166.81360000000001</v>
      </c>
      <c r="AT131">
        <v>0</v>
      </c>
      <c r="AU131">
        <v>0</v>
      </c>
      <c r="AV131">
        <v>0</v>
      </c>
      <c r="AW131">
        <v>180</v>
      </c>
      <c r="AY131">
        <v>0.60009999999999997</v>
      </c>
      <c r="AZ131">
        <v>4.5047000000000004E-3</v>
      </c>
      <c r="BA131">
        <v>4.5047000000000004E-3</v>
      </c>
      <c r="BB131">
        <v>0.99445130000000004</v>
      </c>
      <c r="BC131">
        <v>0.99445130000000004</v>
      </c>
      <c r="BD131">
        <v>1.044E-3</v>
      </c>
      <c r="BE131">
        <v>1.044E-3</v>
      </c>
      <c r="BF131">
        <v>-30.829499999999999</v>
      </c>
      <c r="BG131">
        <v>-30.829499999999999</v>
      </c>
      <c r="BH131">
        <v>-175.99619999999999</v>
      </c>
      <c r="BI131">
        <v>-175.99619999999999</v>
      </c>
      <c r="BJ131">
        <v>0</v>
      </c>
      <c r="BK131">
        <v>0</v>
      </c>
      <c r="BL131">
        <v>0</v>
      </c>
      <c r="BM131">
        <v>180</v>
      </c>
      <c r="BP131">
        <v>0.60009999999999997</v>
      </c>
      <c r="BQ131">
        <v>0.91181120000000004</v>
      </c>
      <c r="BR131">
        <v>0.91181120000000004</v>
      </c>
      <c r="BS131">
        <v>0</v>
      </c>
      <c r="BT131">
        <v>0</v>
      </c>
      <c r="BU131">
        <v>8.8188799999999998E-2</v>
      </c>
      <c r="BV131">
        <v>8.8188799999999998E-2</v>
      </c>
      <c r="BW131">
        <v>-33.005800000000001</v>
      </c>
      <c r="BX131">
        <v>-33.005800000000001</v>
      </c>
      <c r="BY131">
        <v>163.10050000000001</v>
      </c>
      <c r="BZ131">
        <v>163.10050000000001</v>
      </c>
      <c r="CA131">
        <v>0</v>
      </c>
      <c r="CB131">
        <v>0</v>
      </c>
      <c r="CC131">
        <v>0</v>
      </c>
      <c r="CD131">
        <v>180</v>
      </c>
    </row>
    <row r="132" spans="19:82">
      <c r="S132">
        <v>0.60145000000000004</v>
      </c>
      <c r="T132">
        <v>0.98483620000000005</v>
      </c>
      <c r="U132">
        <v>0.98483620000000005</v>
      </c>
      <c r="V132">
        <v>4.6E-6</v>
      </c>
      <c r="W132">
        <v>4.6E-6</v>
      </c>
      <c r="X132">
        <v>1.5159199999999999E-2</v>
      </c>
      <c r="Y132">
        <v>1.5159199999999999E-2</v>
      </c>
      <c r="Z132">
        <v>-120.28830000000001</v>
      </c>
      <c r="AA132">
        <v>-120.28830000000001</v>
      </c>
      <c r="AB132">
        <v>177.45269999999999</v>
      </c>
      <c r="AC132">
        <v>177.45269999999999</v>
      </c>
      <c r="AD132">
        <v>0</v>
      </c>
      <c r="AE132">
        <v>0</v>
      </c>
      <c r="AF132">
        <v>0</v>
      </c>
      <c r="AG132">
        <v>180</v>
      </c>
      <c r="AI132">
        <v>0.60145000000000004</v>
      </c>
      <c r="AJ132">
        <v>0.98516280000000001</v>
      </c>
      <c r="AK132">
        <v>0.98516280000000001</v>
      </c>
      <c r="AL132">
        <v>6.1E-6</v>
      </c>
      <c r="AM132">
        <v>6.1E-6</v>
      </c>
      <c r="AN132">
        <v>1.4831199999999999E-2</v>
      </c>
      <c r="AO132">
        <v>1.4831199999999999E-2</v>
      </c>
      <c r="AP132">
        <v>-110.8806</v>
      </c>
      <c r="AQ132">
        <v>-110.8806</v>
      </c>
      <c r="AR132">
        <v>-166.43960000000001</v>
      </c>
      <c r="AS132">
        <v>-166.43960000000001</v>
      </c>
      <c r="AT132">
        <v>0</v>
      </c>
      <c r="AU132">
        <v>0</v>
      </c>
      <c r="AV132">
        <v>0</v>
      </c>
      <c r="AW132">
        <v>180</v>
      </c>
      <c r="AY132">
        <v>0.60145000000000004</v>
      </c>
      <c r="AZ132">
        <v>4.4615999999999996E-3</v>
      </c>
      <c r="BA132">
        <v>4.4615999999999996E-3</v>
      </c>
      <c r="BB132">
        <v>0.99450090000000002</v>
      </c>
      <c r="BC132">
        <v>0.99450090000000002</v>
      </c>
      <c r="BD132">
        <v>1.0375E-3</v>
      </c>
      <c r="BE132">
        <v>1.0375E-3</v>
      </c>
      <c r="BF132">
        <v>-29.854700000000001</v>
      </c>
      <c r="BG132">
        <v>-29.854700000000001</v>
      </c>
      <c r="BH132">
        <v>-176.3263</v>
      </c>
      <c r="BI132">
        <v>-176.3263</v>
      </c>
      <c r="BJ132">
        <v>0</v>
      </c>
      <c r="BK132">
        <v>0</v>
      </c>
      <c r="BL132">
        <v>0</v>
      </c>
      <c r="BM132">
        <v>180</v>
      </c>
      <c r="BP132">
        <v>0.60145000000000004</v>
      </c>
      <c r="BQ132">
        <v>0.91163709999999998</v>
      </c>
      <c r="BR132">
        <v>0.91163709999999998</v>
      </c>
      <c r="BS132">
        <v>0</v>
      </c>
      <c r="BT132">
        <v>0</v>
      </c>
      <c r="BU132">
        <v>8.8362899999999994E-2</v>
      </c>
      <c r="BV132">
        <v>8.8362899999999994E-2</v>
      </c>
      <c r="BW132">
        <v>-33.407800000000002</v>
      </c>
      <c r="BX132">
        <v>-33.407800000000002</v>
      </c>
      <c r="BY132">
        <v>163.14109999999999</v>
      </c>
      <c r="BZ132">
        <v>163.14109999999999</v>
      </c>
      <c r="CA132">
        <v>0</v>
      </c>
      <c r="CB132">
        <v>0</v>
      </c>
      <c r="CC132">
        <v>0</v>
      </c>
      <c r="CD132">
        <v>180</v>
      </c>
    </row>
    <row r="133" spans="19:82">
      <c r="S133">
        <v>0.6028</v>
      </c>
      <c r="T133">
        <v>0.9848962</v>
      </c>
      <c r="U133">
        <v>0.9848962</v>
      </c>
      <c r="V133">
        <v>4.5000000000000001E-6</v>
      </c>
      <c r="W133">
        <v>4.5000000000000001E-6</v>
      </c>
      <c r="X133">
        <v>1.50993E-2</v>
      </c>
      <c r="Y133">
        <v>1.50993E-2</v>
      </c>
      <c r="Z133">
        <v>-120.04559999999999</v>
      </c>
      <c r="AA133">
        <v>-120.04559999999999</v>
      </c>
      <c r="AB133">
        <v>177.82740000000001</v>
      </c>
      <c r="AC133">
        <v>177.82740000000001</v>
      </c>
      <c r="AD133">
        <v>0</v>
      </c>
      <c r="AE133">
        <v>0</v>
      </c>
      <c r="AF133">
        <v>0</v>
      </c>
      <c r="AG133">
        <v>180</v>
      </c>
      <c r="AI133">
        <v>0.6028</v>
      </c>
      <c r="AJ133">
        <v>0.98518490000000003</v>
      </c>
      <c r="AK133">
        <v>0.98518490000000003</v>
      </c>
      <c r="AL133">
        <v>6.0000000000000002E-6</v>
      </c>
      <c r="AM133">
        <v>6.0000000000000002E-6</v>
      </c>
      <c r="AN133">
        <v>1.48091E-2</v>
      </c>
      <c r="AO133">
        <v>1.48091E-2</v>
      </c>
      <c r="AP133">
        <v>-110.6418</v>
      </c>
      <c r="AQ133">
        <v>-110.6418</v>
      </c>
      <c r="AR133">
        <v>-166.06639999999999</v>
      </c>
      <c r="AS133">
        <v>-166.06639999999999</v>
      </c>
      <c r="AT133">
        <v>0</v>
      </c>
      <c r="AU133">
        <v>0</v>
      </c>
      <c r="AV133">
        <v>0</v>
      </c>
      <c r="AW133">
        <v>180</v>
      </c>
      <c r="AY133">
        <v>0.6028</v>
      </c>
      <c r="AZ133">
        <v>4.4203000000000003E-3</v>
      </c>
      <c r="BA133">
        <v>4.4203000000000003E-3</v>
      </c>
      <c r="BB133">
        <v>0.99454869999999995</v>
      </c>
      <c r="BC133">
        <v>0.99454869999999995</v>
      </c>
      <c r="BD133">
        <v>1.031E-3</v>
      </c>
      <c r="BE133">
        <v>1.031E-3</v>
      </c>
      <c r="BF133">
        <v>-28.8842</v>
      </c>
      <c r="BG133">
        <v>-28.8842</v>
      </c>
      <c r="BH133">
        <v>-176.66990000000001</v>
      </c>
      <c r="BI133">
        <v>-176.66990000000001</v>
      </c>
      <c r="BJ133">
        <v>0</v>
      </c>
      <c r="BK133">
        <v>0</v>
      </c>
      <c r="BL133">
        <v>0</v>
      </c>
      <c r="BM133">
        <v>180</v>
      </c>
      <c r="BP133">
        <v>0.6028</v>
      </c>
      <c r="BQ133">
        <v>0.91146550000000004</v>
      </c>
      <c r="BR133">
        <v>0.91146550000000004</v>
      </c>
      <c r="BS133">
        <v>0</v>
      </c>
      <c r="BT133">
        <v>0</v>
      </c>
      <c r="BU133">
        <v>8.8534500000000002E-2</v>
      </c>
      <c r="BV133">
        <v>8.8534500000000002E-2</v>
      </c>
      <c r="BW133">
        <v>-33.808</v>
      </c>
      <c r="BX133">
        <v>-33.808</v>
      </c>
      <c r="BY133">
        <v>163.1815</v>
      </c>
      <c r="BZ133">
        <v>163.1815</v>
      </c>
      <c r="CA133">
        <v>0</v>
      </c>
      <c r="CB133">
        <v>0</v>
      </c>
      <c r="CC133">
        <v>0</v>
      </c>
      <c r="CD133">
        <v>180</v>
      </c>
    </row>
    <row r="134" spans="19:82">
      <c r="S134">
        <v>0.60414999999999996</v>
      </c>
      <c r="T134">
        <v>0.98495469999999996</v>
      </c>
      <c r="U134">
        <v>0.98495469999999996</v>
      </c>
      <c r="V134">
        <v>4.4000000000000002E-6</v>
      </c>
      <c r="W134">
        <v>4.4000000000000002E-6</v>
      </c>
      <c r="X134">
        <v>1.5040899999999999E-2</v>
      </c>
      <c r="Y134">
        <v>1.5040899999999999E-2</v>
      </c>
      <c r="Z134">
        <v>-119.804</v>
      </c>
      <c r="AA134">
        <v>-119.804</v>
      </c>
      <c r="AB134">
        <v>178.2002</v>
      </c>
      <c r="AC134">
        <v>178.2002</v>
      </c>
      <c r="AD134">
        <v>0</v>
      </c>
      <c r="AE134">
        <v>0</v>
      </c>
      <c r="AF134">
        <v>0</v>
      </c>
      <c r="AG134">
        <v>180</v>
      </c>
      <c r="AI134">
        <v>0.60414999999999996</v>
      </c>
      <c r="AJ134">
        <v>0.98520600000000003</v>
      </c>
      <c r="AK134">
        <v>0.98520600000000003</v>
      </c>
      <c r="AL134">
        <v>5.9000000000000003E-6</v>
      </c>
      <c r="AM134">
        <v>5.9000000000000003E-6</v>
      </c>
      <c r="AN134">
        <v>1.47881E-2</v>
      </c>
      <c r="AO134">
        <v>1.47881E-2</v>
      </c>
      <c r="AP134">
        <v>-110.4037</v>
      </c>
      <c r="AQ134">
        <v>-110.4037</v>
      </c>
      <c r="AR134">
        <v>-165.69409999999999</v>
      </c>
      <c r="AS134">
        <v>-165.69409999999999</v>
      </c>
      <c r="AT134">
        <v>0</v>
      </c>
      <c r="AU134">
        <v>0</v>
      </c>
      <c r="AV134">
        <v>0</v>
      </c>
      <c r="AW134">
        <v>180</v>
      </c>
      <c r="AY134">
        <v>0.60414999999999996</v>
      </c>
      <c r="AZ134">
        <v>4.3810000000000003E-3</v>
      </c>
      <c r="BA134">
        <v>4.3810000000000003E-3</v>
      </c>
      <c r="BB134">
        <v>0.99459439999999999</v>
      </c>
      <c r="BC134">
        <v>0.99459439999999999</v>
      </c>
      <c r="BD134">
        <v>1.0246000000000001E-3</v>
      </c>
      <c r="BE134">
        <v>1.0246000000000001E-3</v>
      </c>
      <c r="BF134">
        <v>-27.917999999999999</v>
      </c>
      <c r="BG134">
        <v>-27.917999999999999</v>
      </c>
      <c r="BH134">
        <v>-177.0266</v>
      </c>
      <c r="BI134">
        <v>-177.0266</v>
      </c>
      <c r="BJ134">
        <v>0</v>
      </c>
      <c r="BK134">
        <v>0</v>
      </c>
      <c r="BL134">
        <v>0</v>
      </c>
      <c r="BM134">
        <v>180</v>
      </c>
      <c r="BP134">
        <v>0.60414999999999996</v>
      </c>
      <c r="BQ134">
        <v>0.91129649999999995</v>
      </c>
      <c r="BR134">
        <v>0.91129649999999995</v>
      </c>
      <c r="BS134">
        <v>0</v>
      </c>
      <c r="BT134">
        <v>0</v>
      </c>
      <c r="BU134">
        <v>8.8703500000000005E-2</v>
      </c>
      <c r="BV134">
        <v>8.8703500000000005E-2</v>
      </c>
      <c r="BW134">
        <v>-34.206299999999999</v>
      </c>
      <c r="BX134">
        <v>-34.206299999999999</v>
      </c>
      <c r="BY134">
        <v>163.2217</v>
      </c>
      <c r="BZ134">
        <v>163.2217</v>
      </c>
      <c r="CA134">
        <v>0</v>
      </c>
      <c r="CB134">
        <v>0</v>
      </c>
      <c r="CC134">
        <v>0</v>
      </c>
      <c r="CD134">
        <v>180</v>
      </c>
    </row>
    <row r="135" spans="19:82">
      <c r="S135">
        <v>0.60550000000000004</v>
      </c>
      <c r="T135">
        <v>0.98501170000000005</v>
      </c>
      <c r="U135">
        <v>0.98501170000000005</v>
      </c>
      <c r="V135">
        <v>4.3000000000000003E-6</v>
      </c>
      <c r="W135">
        <v>4.3000000000000003E-6</v>
      </c>
      <c r="X135">
        <v>1.4984000000000001E-2</v>
      </c>
      <c r="Y135">
        <v>1.4984000000000001E-2</v>
      </c>
      <c r="Z135">
        <v>-119.5637</v>
      </c>
      <c r="AA135">
        <v>-119.5637</v>
      </c>
      <c r="AB135">
        <v>178.57130000000001</v>
      </c>
      <c r="AC135">
        <v>178.57130000000001</v>
      </c>
      <c r="AD135">
        <v>0</v>
      </c>
      <c r="AE135">
        <v>0</v>
      </c>
      <c r="AF135">
        <v>0</v>
      </c>
      <c r="AG135">
        <v>180</v>
      </c>
      <c r="AI135">
        <v>0.60550000000000004</v>
      </c>
      <c r="AJ135">
        <v>0.98522609999999999</v>
      </c>
      <c r="AK135">
        <v>0.98522609999999999</v>
      </c>
      <c r="AL135">
        <v>5.8000000000000004E-6</v>
      </c>
      <c r="AM135">
        <v>5.8000000000000004E-6</v>
      </c>
      <c r="AN135">
        <v>1.4768E-2</v>
      </c>
      <c r="AO135">
        <v>1.4768E-2</v>
      </c>
      <c r="AP135">
        <v>-110.16630000000001</v>
      </c>
      <c r="AQ135">
        <v>-110.16630000000001</v>
      </c>
      <c r="AR135">
        <v>-165.32259999999999</v>
      </c>
      <c r="AS135">
        <v>-165.32259999999999</v>
      </c>
      <c r="AT135">
        <v>0</v>
      </c>
      <c r="AU135">
        <v>0</v>
      </c>
      <c r="AV135">
        <v>0</v>
      </c>
      <c r="AW135">
        <v>180</v>
      </c>
      <c r="AY135">
        <v>0.60550000000000004</v>
      </c>
      <c r="AZ135">
        <v>4.3438000000000001E-3</v>
      </c>
      <c r="BA135">
        <v>4.3438000000000001E-3</v>
      </c>
      <c r="BB135">
        <v>0.99463809999999997</v>
      </c>
      <c r="BC135">
        <v>0.99463809999999997</v>
      </c>
      <c r="BD135">
        <v>1.0181000000000001E-3</v>
      </c>
      <c r="BE135">
        <v>1.0181000000000001E-3</v>
      </c>
      <c r="BF135">
        <v>-26.956099999999999</v>
      </c>
      <c r="BG135">
        <v>-26.956099999999999</v>
      </c>
      <c r="BH135">
        <v>-177.3956</v>
      </c>
      <c r="BI135">
        <v>-177.3956</v>
      </c>
      <c r="BJ135">
        <v>0</v>
      </c>
      <c r="BK135">
        <v>0</v>
      </c>
      <c r="BL135">
        <v>0</v>
      </c>
      <c r="BM135">
        <v>180</v>
      </c>
      <c r="BP135">
        <v>0.60550000000000004</v>
      </c>
      <c r="BQ135">
        <v>0.91113</v>
      </c>
      <c r="BR135">
        <v>0.91113</v>
      </c>
      <c r="BS135">
        <v>0</v>
      </c>
      <c r="BT135">
        <v>0</v>
      </c>
      <c r="BU135">
        <v>8.8870000000000005E-2</v>
      </c>
      <c r="BV135">
        <v>8.8870000000000005E-2</v>
      </c>
      <c r="BW135">
        <v>-34.602899999999998</v>
      </c>
      <c r="BX135">
        <v>-34.602899999999998</v>
      </c>
      <c r="BY135">
        <v>163.26169999999999</v>
      </c>
      <c r="BZ135">
        <v>163.26169999999999</v>
      </c>
      <c r="CA135">
        <v>0</v>
      </c>
      <c r="CB135">
        <v>0</v>
      </c>
      <c r="CC135">
        <v>0</v>
      </c>
      <c r="CD135">
        <v>180</v>
      </c>
    </row>
    <row r="136" spans="19:82">
      <c r="S136">
        <v>0.60685</v>
      </c>
      <c r="T136">
        <v>0.98506720000000003</v>
      </c>
      <c r="U136">
        <v>0.98506720000000003</v>
      </c>
      <c r="V136">
        <v>4.3000000000000003E-6</v>
      </c>
      <c r="W136">
        <v>4.3000000000000003E-6</v>
      </c>
      <c r="X136">
        <v>1.4928500000000001E-2</v>
      </c>
      <c r="Y136">
        <v>1.4928500000000001E-2</v>
      </c>
      <c r="Z136">
        <v>-119.3246</v>
      </c>
      <c r="AA136">
        <v>-119.3246</v>
      </c>
      <c r="AB136">
        <v>178.94069999999999</v>
      </c>
      <c r="AC136">
        <v>178.94069999999999</v>
      </c>
      <c r="AD136">
        <v>0</v>
      </c>
      <c r="AE136">
        <v>0</v>
      </c>
      <c r="AF136">
        <v>0</v>
      </c>
      <c r="AG136">
        <v>180</v>
      </c>
      <c r="AI136">
        <v>0.60685</v>
      </c>
      <c r="AJ136">
        <v>0.98524529999999999</v>
      </c>
      <c r="AK136">
        <v>0.98524529999999999</v>
      </c>
      <c r="AL136">
        <v>5.6999999999999996E-6</v>
      </c>
      <c r="AM136">
        <v>5.6999999999999996E-6</v>
      </c>
      <c r="AN136">
        <v>1.4749E-2</v>
      </c>
      <c r="AO136">
        <v>1.4749E-2</v>
      </c>
      <c r="AP136">
        <v>-109.92959999999999</v>
      </c>
      <c r="AQ136">
        <v>-109.92959999999999</v>
      </c>
      <c r="AR136">
        <v>-164.95189999999999</v>
      </c>
      <c r="AS136">
        <v>-164.95189999999999</v>
      </c>
      <c r="AT136">
        <v>0</v>
      </c>
      <c r="AU136">
        <v>0</v>
      </c>
      <c r="AV136">
        <v>0</v>
      </c>
      <c r="AW136">
        <v>180</v>
      </c>
      <c r="AY136">
        <v>0.60685</v>
      </c>
      <c r="AZ136">
        <v>4.3086000000000001E-3</v>
      </c>
      <c r="BA136">
        <v>4.3086000000000001E-3</v>
      </c>
      <c r="BB136">
        <v>0.9946796</v>
      </c>
      <c r="BC136">
        <v>0.9946796</v>
      </c>
      <c r="BD136">
        <v>1.0116999999999999E-3</v>
      </c>
      <c r="BE136">
        <v>1.0116999999999999E-3</v>
      </c>
      <c r="BF136">
        <v>-25.9984</v>
      </c>
      <c r="BG136">
        <v>-25.9984</v>
      </c>
      <c r="BH136">
        <v>-177.77629999999999</v>
      </c>
      <c r="BI136">
        <v>-177.77629999999999</v>
      </c>
      <c r="BJ136">
        <v>0</v>
      </c>
      <c r="BK136">
        <v>0</v>
      </c>
      <c r="BL136">
        <v>0</v>
      </c>
      <c r="BM136">
        <v>180</v>
      </c>
      <c r="BP136">
        <v>0.60685</v>
      </c>
      <c r="BQ136">
        <v>0.9109661</v>
      </c>
      <c r="BR136">
        <v>0.9109661</v>
      </c>
      <c r="BS136">
        <v>0</v>
      </c>
      <c r="BT136">
        <v>0</v>
      </c>
      <c r="BU136">
        <v>8.9033899999999999E-2</v>
      </c>
      <c r="BV136">
        <v>8.9033899999999999E-2</v>
      </c>
      <c r="BW136">
        <v>-34.997799999999998</v>
      </c>
      <c r="BX136">
        <v>-34.997799999999998</v>
      </c>
      <c r="BY136">
        <v>163.30160000000001</v>
      </c>
      <c r="BZ136">
        <v>163.30160000000001</v>
      </c>
      <c r="CA136">
        <v>0</v>
      </c>
      <c r="CB136">
        <v>0</v>
      </c>
      <c r="CC136">
        <v>0</v>
      </c>
      <c r="CD136">
        <v>180</v>
      </c>
    </row>
    <row r="137" spans="19:82">
      <c r="S137">
        <v>0.60819999999999996</v>
      </c>
      <c r="T137">
        <v>0.98512140000000004</v>
      </c>
      <c r="U137">
        <v>0.98512140000000004</v>
      </c>
      <c r="V137">
        <v>4.1999999999999996E-6</v>
      </c>
      <c r="W137">
        <v>4.1999999999999996E-6</v>
      </c>
      <c r="X137">
        <v>1.4874399999999999E-2</v>
      </c>
      <c r="Y137">
        <v>1.4874399999999999E-2</v>
      </c>
      <c r="Z137">
        <v>-119.0866</v>
      </c>
      <c r="AA137">
        <v>-119.0866</v>
      </c>
      <c r="AB137">
        <v>179.3083</v>
      </c>
      <c r="AC137">
        <v>179.3083</v>
      </c>
      <c r="AD137">
        <v>0</v>
      </c>
      <c r="AE137">
        <v>0</v>
      </c>
      <c r="AF137">
        <v>0</v>
      </c>
      <c r="AG137">
        <v>180</v>
      </c>
      <c r="AI137">
        <v>0.60819999999999996</v>
      </c>
      <c r="AJ137">
        <v>0.98526349999999996</v>
      </c>
      <c r="AK137">
        <v>0.98526349999999996</v>
      </c>
      <c r="AL137">
        <v>5.6999999999999996E-6</v>
      </c>
      <c r="AM137">
        <v>5.6999999999999996E-6</v>
      </c>
      <c r="AN137">
        <v>1.47308E-2</v>
      </c>
      <c r="AO137">
        <v>1.47308E-2</v>
      </c>
      <c r="AP137">
        <v>-109.6936</v>
      </c>
      <c r="AQ137">
        <v>-109.6936</v>
      </c>
      <c r="AR137">
        <v>-164.58199999999999</v>
      </c>
      <c r="AS137">
        <v>-164.58199999999999</v>
      </c>
      <c r="AT137">
        <v>0</v>
      </c>
      <c r="AU137">
        <v>0</v>
      </c>
      <c r="AV137">
        <v>0</v>
      </c>
      <c r="AW137">
        <v>180</v>
      </c>
      <c r="AY137">
        <v>0.60819999999999996</v>
      </c>
      <c r="AZ137">
        <v>4.2757000000000003E-3</v>
      </c>
      <c r="BA137">
        <v>4.2757000000000003E-3</v>
      </c>
      <c r="BB137">
        <v>0.99471889999999996</v>
      </c>
      <c r="BC137">
        <v>0.99471889999999996</v>
      </c>
      <c r="BD137">
        <v>1.0054E-3</v>
      </c>
      <c r="BE137">
        <v>1.0054E-3</v>
      </c>
      <c r="BF137">
        <v>-25.045000000000002</v>
      </c>
      <c r="BG137">
        <v>-25.045000000000002</v>
      </c>
      <c r="BH137">
        <v>-178.16810000000001</v>
      </c>
      <c r="BI137">
        <v>-178.16810000000001</v>
      </c>
      <c r="BJ137">
        <v>0</v>
      </c>
      <c r="BK137">
        <v>0</v>
      </c>
      <c r="BL137">
        <v>0</v>
      </c>
      <c r="BM137">
        <v>180</v>
      </c>
      <c r="BP137">
        <v>0.60819999999999996</v>
      </c>
      <c r="BQ137">
        <v>0.91080450000000002</v>
      </c>
      <c r="BR137">
        <v>0.91080450000000002</v>
      </c>
      <c r="BS137">
        <v>0</v>
      </c>
      <c r="BT137">
        <v>0</v>
      </c>
      <c r="BU137">
        <v>8.9195499999999997E-2</v>
      </c>
      <c r="BV137">
        <v>8.9195499999999997E-2</v>
      </c>
      <c r="BW137">
        <v>-35.390799999999999</v>
      </c>
      <c r="BX137">
        <v>-35.390799999999999</v>
      </c>
      <c r="BY137">
        <v>163.34129999999999</v>
      </c>
      <c r="BZ137">
        <v>163.34129999999999</v>
      </c>
      <c r="CA137">
        <v>0</v>
      </c>
      <c r="CB137">
        <v>0</v>
      </c>
      <c r="CC137">
        <v>0</v>
      </c>
      <c r="CD137">
        <v>180</v>
      </c>
    </row>
    <row r="138" spans="19:82">
      <c r="S138">
        <v>0.60955000000000004</v>
      </c>
      <c r="T138">
        <v>0.98517410000000005</v>
      </c>
      <c r="U138">
        <v>0.98517410000000005</v>
      </c>
      <c r="V138">
        <v>4.0999999999999997E-6</v>
      </c>
      <c r="W138">
        <v>4.0999999999999997E-6</v>
      </c>
      <c r="X138">
        <v>1.48217E-2</v>
      </c>
      <c r="Y138">
        <v>1.48217E-2</v>
      </c>
      <c r="Z138">
        <v>-118.8498</v>
      </c>
      <c r="AA138">
        <v>-118.8498</v>
      </c>
      <c r="AB138">
        <v>179.67429999999999</v>
      </c>
      <c r="AC138">
        <v>179.67429999999999</v>
      </c>
      <c r="AD138">
        <v>0</v>
      </c>
      <c r="AE138">
        <v>0</v>
      </c>
      <c r="AF138">
        <v>0</v>
      </c>
      <c r="AG138">
        <v>180</v>
      </c>
      <c r="AI138">
        <v>0.60955000000000004</v>
      </c>
      <c r="AJ138">
        <v>0.98528079999999996</v>
      </c>
      <c r="AK138">
        <v>0.98528079999999996</v>
      </c>
      <c r="AL138">
        <v>5.5999999999999997E-6</v>
      </c>
      <c r="AM138">
        <v>5.5999999999999997E-6</v>
      </c>
      <c r="AN138">
        <v>1.47136E-2</v>
      </c>
      <c r="AO138">
        <v>1.47136E-2</v>
      </c>
      <c r="AP138">
        <v>-109.45829999999999</v>
      </c>
      <c r="AQ138">
        <v>-109.45829999999999</v>
      </c>
      <c r="AR138">
        <v>-164.21279999999999</v>
      </c>
      <c r="AS138">
        <v>-164.21279999999999</v>
      </c>
      <c r="AT138">
        <v>0</v>
      </c>
      <c r="AU138">
        <v>0</v>
      </c>
      <c r="AV138">
        <v>0</v>
      </c>
      <c r="AW138">
        <v>180</v>
      </c>
      <c r="AY138">
        <v>0.60955000000000004</v>
      </c>
      <c r="AZ138">
        <v>4.2449000000000002E-3</v>
      </c>
      <c r="BA138">
        <v>4.2449000000000002E-3</v>
      </c>
      <c r="BB138">
        <v>0.99475599999999997</v>
      </c>
      <c r="BC138">
        <v>0.99475599999999997</v>
      </c>
      <c r="BD138">
        <v>9.990000000000001E-4</v>
      </c>
      <c r="BE138">
        <v>9.990000000000001E-4</v>
      </c>
      <c r="BF138">
        <v>-24.095800000000001</v>
      </c>
      <c r="BG138">
        <v>-24.095800000000001</v>
      </c>
      <c r="BH138">
        <v>-178.57</v>
      </c>
      <c r="BI138">
        <v>-178.57</v>
      </c>
      <c r="BJ138">
        <v>0</v>
      </c>
      <c r="BK138">
        <v>0</v>
      </c>
      <c r="BL138">
        <v>0</v>
      </c>
      <c r="BM138">
        <v>180</v>
      </c>
      <c r="BP138">
        <v>0.60955000000000004</v>
      </c>
      <c r="BQ138">
        <v>0.9106455</v>
      </c>
      <c r="BR138">
        <v>0.9106455</v>
      </c>
      <c r="BS138">
        <v>0</v>
      </c>
      <c r="BT138">
        <v>0</v>
      </c>
      <c r="BU138">
        <v>8.9354500000000003E-2</v>
      </c>
      <c r="BV138">
        <v>8.9354500000000003E-2</v>
      </c>
      <c r="BW138">
        <v>-35.782200000000003</v>
      </c>
      <c r="BX138">
        <v>-35.782200000000003</v>
      </c>
      <c r="BY138">
        <v>163.38079999999999</v>
      </c>
      <c r="BZ138">
        <v>163.38079999999999</v>
      </c>
      <c r="CA138">
        <v>0</v>
      </c>
      <c r="CB138">
        <v>0</v>
      </c>
      <c r="CC138">
        <v>0</v>
      </c>
      <c r="CD138">
        <v>180</v>
      </c>
    </row>
    <row r="139" spans="19:82">
      <c r="S139">
        <v>0.6109</v>
      </c>
      <c r="T139">
        <v>0.98522560000000003</v>
      </c>
      <c r="U139">
        <v>0.98522560000000003</v>
      </c>
      <c r="V139">
        <v>4.0999999999999997E-6</v>
      </c>
      <c r="W139">
        <v>4.0999999999999997E-6</v>
      </c>
      <c r="X139">
        <v>1.47704E-2</v>
      </c>
      <c r="Y139">
        <v>1.47704E-2</v>
      </c>
      <c r="Z139">
        <v>-118.61409999999999</v>
      </c>
      <c r="AA139">
        <v>-118.61409999999999</v>
      </c>
      <c r="AB139">
        <v>-179.96129999999999</v>
      </c>
      <c r="AC139">
        <v>-179.96129999999999</v>
      </c>
      <c r="AD139">
        <v>0</v>
      </c>
      <c r="AE139">
        <v>0</v>
      </c>
      <c r="AF139">
        <v>0</v>
      </c>
      <c r="AG139">
        <v>180</v>
      </c>
      <c r="AI139">
        <v>0.6109</v>
      </c>
      <c r="AJ139">
        <v>0.98529719999999998</v>
      </c>
      <c r="AK139">
        <v>0.98529719999999998</v>
      </c>
      <c r="AL139">
        <v>5.4999999999999999E-6</v>
      </c>
      <c r="AM139">
        <v>5.4999999999999999E-6</v>
      </c>
      <c r="AN139">
        <v>1.46973E-2</v>
      </c>
      <c r="AO139">
        <v>1.46973E-2</v>
      </c>
      <c r="AP139">
        <v>-109.22369999999999</v>
      </c>
      <c r="AQ139">
        <v>-109.22369999999999</v>
      </c>
      <c r="AR139">
        <v>-163.84440000000001</v>
      </c>
      <c r="AS139">
        <v>-163.84440000000001</v>
      </c>
      <c r="AT139">
        <v>0</v>
      </c>
      <c r="AU139">
        <v>0</v>
      </c>
      <c r="AV139">
        <v>0</v>
      </c>
      <c r="AW139">
        <v>180</v>
      </c>
      <c r="AY139">
        <v>0.6109</v>
      </c>
      <c r="AZ139">
        <v>4.2164999999999998E-3</v>
      </c>
      <c r="BA139">
        <v>4.2164999999999998E-3</v>
      </c>
      <c r="BB139">
        <v>0.99479079999999998</v>
      </c>
      <c r="BC139">
        <v>0.99479079999999998</v>
      </c>
      <c r="BD139">
        <v>9.9270000000000001E-4</v>
      </c>
      <c r="BE139">
        <v>9.9270000000000001E-4</v>
      </c>
      <c r="BF139">
        <v>-23.150700000000001</v>
      </c>
      <c r="BG139">
        <v>-23.150700000000001</v>
      </c>
      <c r="BH139">
        <v>-178.9813</v>
      </c>
      <c r="BI139">
        <v>-178.9813</v>
      </c>
      <c r="BJ139">
        <v>0</v>
      </c>
      <c r="BK139">
        <v>0</v>
      </c>
      <c r="BL139">
        <v>0</v>
      </c>
      <c r="BM139">
        <v>180</v>
      </c>
      <c r="BP139">
        <v>0.6109</v>
      </c>
      <c r="BQ139">
        <v>0.91048879999999999</v>
      </c>
      <c r="BR139">
        <v>0.91048879999999999</v>
      </c>
      <c r="BS139">
        <v>0</v>
      </c>
      <c r="BT139">
        <v>0</v>
      </c>
      <c r="BU139">
        <v>8.9511199999999999E-2</v>
      </c>
      <c r="BV139">
        <v>8.9511199999999999E-2</v>
      </c>
      <c r="BW139">
        <v>-36.171799999999998</v>
      </c>
      <c r="BX139">
        <v>-36.171799999999998</v>
      </c>
      <c r="BY139">
        <v>163.42019999999999</v>
      </c>
      <c r="BZ139">
        <v>163.42019999999999</v>
      </c>
      <c r="CA139">
        <v>0</v>
      </c>
      <c r="CB139">
        <v>0</v>
      </c>
      <c r="CC139">
        <v>0</v>
      </c>
      <c r="CD139">
        <v>180</v>
      </c>
    </row>
    <row r="140" spans="19:82">
      <c r="S140">
        <v>0.61224999999999996</v>
      </c>
      <c r="T140">
        <v>0.9852765</v>
      </c>
      <c r="U140">
        <v>0.9852765</v>
      </c>
      <c r="V140">
        <v>3.9999999999999998E-6</v>
      </c>
      <c r="W140">
        <v>3.9999999999999998E-6</v>
      </c>
      <c r="X140">
        <v>1.47195E-2</v>
      </c>
      <c r="Y140">
        <v>1.47195E-2</v>
      </c>
      <c r="Z140">
        <v>-118.37909999999999</v>
      </c>
      <c r="AA140">
        <v>-118.37909999999999</v>
      </c>
      <c r="AB140">
        <v>-179.5984</v>
      </c>
      <c r="AC140">
        <v>-179.5984</v>
      </c>
      <c r="AD140">
        <v>0</v>
      </c>
      <c r="AE140">
        <v>0</v>
      </c>
      <c r="AF140">
        <v>0</v>
      </c>
      <c r="AG140">
        <v>180</v>
      </c>
      <c r="AI140">
        <v>0.61224999999999996</v>
      </c>
      <c r="AJ140">
        <v>0.9853132</v>
      </c>
      <c r="AK140">
        <v>0.9853132</v>
      </c>
      <c r="AL140">
        <v>5.4E-6</v>
      </c>
      <c r="AM140">
        <v>5.4E-6</v>
      </c>
      <c r="AN140">
        <v>1.4681400000000001E-2</v>
      </c>
      <c r="AO140">
        <v>1.4681400000000001E-2</v>
      </c>
      <c r="AP140">
        <v>-108.9896</v>
      </c>
      <c r="AQ140">
        <v>-108.9896</v>
      </c>
      <c r="AR140">
        <v>-163.47649999999999</v>
      </c>
      <c r="AS140">
        <v>-163.47649999999999</v>
      </c>
      <c r="AT140">
        <v>0</v>
      </c>
      <c r="AU140">
        <v>0</v>
      </c>
      <c r="AV140">
        <v>0</v>
      </c>
      <c r="AW140">
        <v>180</v>
      </c>
      <c r="AY140">
        <v>0.61224999999999996</v>
      </c>
      <c r="AZ140">
        <v>4.1903000000000001E-3</v>
      </c>
      <c r="BA140">
        <v>4.1903000000000001E-3</v>
      </c>
      <c r="BB140">
        <v>0.99482320000000002</v>
      </c>
      <c r="BC140">
        <v>0.99482320000000002</v>
      </c>
      <c r="BD140">
        <v>9.8649999999999996E-4</v>
      </c>
      <c r="BE140">
        <v>9.8649999999999996E-4</v>
      </c>
      <c r="BF140">
        <v>-22.209800000000001</v>
      </c>
      <c r="BG140">
        <v>-22.209800000000001</v>
      </c>
      <c r="BH140">
        <v>-179.40129999999999</v>
      </c>
      <c r="BI140">
        <v>-179.40129999999999</v>
      </c>
      <c r="BJ140">
        <v>0</v>
      </c>
      <c r="BK140">
        <v>0</v>
      </c>
      <c r="BL140">
        <v>0</v>
      </c>
      <c r="BM140">
        <v>180</v>
      </c>
      <c r="BP140">
        <v>0.61224999999999996</v>
      </c>
      <c r="BQ140">
        <v>0.91033450000000005</v>
      </c>
      <c r="BR140">
        <v>0.91033450000000005</v>
      </c>
      <c r="BS140">
        <v>0</v>
      </c>
      <c r="BT140">
        <v>0</v>
      </c>
      <c r="BU140">
        <v>8.9665499999999995E-2</v>
      </c>
      <c r="BV140">
        <v>8.9665499999999995E-2</v>
      </c>
      <c r="BW140">
        <v>-36.559699999999999</v>
      </c>
      <c r="BX140">
        <v>-36.559699999999999</v>
      </c>
      <c r="BY140">
        <v>163.45939999999999</v>
      </c>
      <c r="BZ140">
        <v>163.45939999999999</v>
      </c>
      <c r="CA140">
        <v>0</v>
      </c>
      <c r="CB140">
        <v>0</v>
      </c>
      <c r="CC140">
        <v>0</v>
      </c>
      <c r="CD140">
        <v>180</v>
      </c>
    </row>
    <row r="141" spans="19:82">
      <c r="S141">
        <v>0.61360000000000003</v>
      </c>
      <c r="T141">
        <v>0.98532600000000004</v>
      </c>
      <c r="U141">
        <v>0.98532600000000004</v>
      </c>
      <c r="V141">
        <v>3.8999999999999999E-6</v>
      </c>
      <c r="W141">
        <v>3.8999999999999999E-6</v>
      </c>
      <c r="X141">
        <v>1.4670000000000001E-2</v>
      </c>
      <c r="Y141">
        <v>1.4670000000000001E-2</v>
      </c>
      <c r="Z141">
        <v>-118.1452</v>
      </c>
      <c r="AA141">
        <v>-118.1452</v>
      </c>
      <c r="AB141">
        <v>-179.2371</v>
      </c>
      <c r="AC141">
        <v>-179.2371</v>
      </c>
      <c r="AD141">
        <v>0</v>
      </c>
      <c r="AE141">
        <v>0</v>
      </c>
      <c r="AF141">
        <v>0</v>
      </c>
      <c r="AG141">
        <v>180</v>
      </c>
      <c r="AI141">
        <v>0.61360000000000003</v>
      </c>
      <c r="AJ141">
        <v>0.98532830000000005</v>
      </c>
      <c r="AK141">
        <v>0.98532830000000005</v>
      </c>
      <c r="AL141">
        <v>5.3000000000000001E-6</v>
      </c>
      <c r="AM141">
        <v>5.3000000000000001E-6</v>
      </c>
      <c r="AN141">
        <v>1.46663E-2</v>
      </c>
      <c r="AO141">
        <v>1.46663E-2</v>
      </c>
      <c r="AP141">
        <v>-108.75620000000001</v>
      </c>
      <c r="AQ141">
        <v>-108.75620000000001</v>
      </c>
      <c r="AR141">
        <v>-163.10939999999999</v>
      </c>
      <c r="AS141">
        <v>-163.10939999999999</v>
      </c>
      <c r="AT141">
        <v>0</v>
      </c>
      <c r="AU141">
        <v>0</v>
      </c>
      <c r="AV141">
        <v>0</v>
      </c>
      <c r="AW141">
        <v>180</v>
      </c>
      <c r="AY141">
        <v>0.61360000000000003</v>
      </c>
      <c r="AZ141">
        <v>4.1665000000000001E-3</v>
      </c>
      <c r="BA141">
        <v>4.1665000000000001E-3</v>
      </c>
      <c r="BB141">
        <v>0.99485330000000005</v>
      </c>
      <c r="BC141">
        <v>0.99485330000000005</v>
      </c>
      <c r="BD141">
        <v>9.8020000000000008E-4</v>
      </c>
      <c r="BE141">
        <v>9.8020000000000008E-4</v>
      </c>
      <c r="BF141">
        <v>-21.273099999999999</v>
      </c>
      <c r="BG141">
        <v>-21.273099999999999</v>
      </c>
      <c r="BH141">
        <v>-179.8288</v>
      </c>
      <c r="BI141">
        <v>-179.8288</v>
      </c>
      <c r="BJ141">
        <v>0</v>
      </c>
      <c r="BK141">
        <v>0</v>
      </c>
      <c r="BL141">
        <v>0</v>
      </c>
      <c r="BM141">
        <v>180</v>
      </c>
      <c r="BP141">
        <v>0.61360000000000003</v>
      </c>
      <c r="BQ141">
        <v>0.91018250000000001</v>
      </c>
      <c r="BR141">
        <v>0.91018250000000001</v>
      </c>
      <c r="BS141">
        <v>0</v>
      </c>
      <c r="BT141">
        <v>0</v>
      </c>
      <c r="BU141">
        <v>8.9817499999999995E-2</v>
      </c>
      <c r="BV141">
        <v>8.9817499999999995E-2</v>
      </c>
      <c r="BW141">
        <v>-36.945900000000002</v>
      </c>
      <c r="BX141">
        <v>-36.945900000000002</v>
      </c>
      <c r="BY141">
        <v>163.4984</v>
      </c>
      <c r="BZ141">
        <v>163.4984</v>
      </c>
      <c r="CA141">
        <v>0</v>
      </c>
      <c r="CB141">
        <v>0</v>
      </c>
      <c r="CC141">
        <v>0</v>
      </c>
      <c r="CD141">
        <v>180</v>
      </c>
    </row>
    <row r="142" spans="19:82">
      <c r="S142">
        <v>0.61495</v>
      </c>
      <c r="T142">
        <v>0.98537430000000004</v>
      </c>
      <c r="U142">
        <v>0.98537430000000004</v>
      </c>
      <c r="V142">
        <v>3.8999999999999999E-6</v>
      </c>
      <c r="W142">
        <v>3.8999999999999999E-6</v>
      </c>
      <c r="X142">
        <v>1.4621800000000001E-2</v>
      </c>
      <c r="Y142">
        <v>1.4621800000000001E-2</v>
      </c>
      <c r="Z142">
        <v>-117.91240000000001</v>
      </c>
      <c r="AA142">
        <v>-117.91240000000001</v>
      </c>
      <c r="AB142">
        <v>-178.87729999999999</v>
      </c>
      <c r="AC142">
        <v>-178.87729999999999</v>
      </c>
      <c r="AD142">
        <v>0</v>
      </c>
      <c r="AE142">
        <v>0</v>
      </c>
      <c r="AF142">
        <v>0</v>
      </c>
      <c r="AG142">
        <v>180</v>
      </c>
      <c r="AI142">
        <v>0.61495</v>
      </c>
      <c r="AJ142">
        <v>0.98534250000000001</v>
      </c>
      <c r="AK142">
        <v>0.98534250000000001</v>
      </c>
      <c r="AL142">
        <v>5.3000000000000001E-6</v>
      </c>
      <c r="AM142">
        <v>5.3000000000000001E-6</v>
      </c>
      <c r="AN142">
        <v>1.4652200000000001E-2</v>
      </c>
      <c r="AO142">
        <v>1.4652200000000001E-2</v>
      </c>
      <c r="AP142">
        <v>-108.5234</v>
      </c>
      <c r="AQ142">
        <v>-108.5234</v>
      </c>
      <c r="AR142">
        <v>-162.74279999999999</v>
      </c>
      <c r="AS142">
        <v>-162.74279999999999</v>
      </c>
      <c r="AT142">
        <v>0</v>
      </c>
      <c r="AU142">
        <v>0</v>
      </c>
      <c r="AV142">
        <v>0</v>
      </c>
      <c r="AW142">
        <v>180</v>
      </c>
      <c r="AY142">
        <v>0.61495</v>
      </c>
      <c r="AZ142">
        <v>4.1450999999999997E-3</v>
      </c>
      <c r="BA142">
        <v>4.1450999999999997E-3</v>
      </c>
      <c r="BB142">
        <v>0.99488089999999996</v>
      </c>
      <c r="BC142">
        <v>0.99488089999999996</v>
      </c>
      <c r="BD142">
        <v>9.7400000000000004E-4</v>
      </c>
      <c r="BE142">
        <v>9.7400000000000004E-4</v>
      </c>
      <c r="BF142">
        <v>-20.340399999999999</v>
      </c>
      <c r="BG142">
        <v>-20.340399999999999</v>
      </c>
      <c r="BH142">
        <v>179.73689999999999</v>
      </c>
      <c r="BI142">
        <v>179.73689999999999</v>
      </c>
      <c r="BJ142">
        <v>0</v>
      </c>
      <c r="BK142">
        <v>0</v>
      </c>
      <c r="BL142">
        <v>0</v>
      </c>
      <c r="BM142">
        <v>180</v>
      </c>
      <c r="BP142">
        <v>0.61495</v>
      </c>
      <c r="BQ142">
        <v>0.91003290000000003</v>
      </c>
      <c r="BR142">
        <v>0.91003290000000003</v>
      </c>
      <c r="BS142">
        <v>0</v>
      </c>
      <c r="BT142">
        <v>0</v>
      </c>
      <c r="BU142">
        <v>8.9967099999999994E-2</v>
      </c>
      <c r="BV142">
        <v>8.9967099999999994E-2</v>
      </c>
      <c r="BW142">
        <v>-37.330399999999997</v>
      </c>
      <c r="BX142">
        <v>-37.330399999999997</v>
      </c>
      <c r="BY142">
        <v>163.53729999999999</v>
      </c>
      <c r="BZ142">
        <v>163.53729999999999</v>
      </c>
      <c r="CA142">
        <v>0</v>
      </c>
      <c r="CB142">
        <v>0</v>
      </c>
      <c r="CC142">
        <v>0</v>
      </c>
      <c r="CD142">
        <v>180</v>
      </c>
    </row>
    <row r="143" spans="19:82">
      <c r="S143">
        <v>0.61629999999999996</v>
      </c>
      <c r="T143">
        <v>0.98542130000000006</v>
      </c>
      <c r="U143">
        <v>0.98542130000000006</v>
      </c>
      <c r="V143">
        <v>3.8E-6</v>
      </c>
      <c r="W143">
        <v>3.8E-6</v>
      </c>
      <c r="X143">
        <v>1.45749E-2</v>
      </c>
      <c r="Y143">
        <v>1.45749E-2</v>
      </c>
      <c r="Z143">
        <v>-117.6806</v>
      </c>
      <c r="AA143">
        <v>-117.6806</v>
      </c>
      <c r="AB143">
        <v>-178.51900000000001</v>
      </c>
      <c r="AC143">
        <v>-178.51900000000001</v>
      </c>
      <c r="AD143">
        <v>0</v>
      </c>
      <c r="AE143">
        <v>0</v>
      </c>
      <c r="AF143">
        <v>0</v>
      </c>
      <c r="AG143">
        <v>180</v>
      </c>
      <c r="AI143">
        <v>0.61629999999999996</v>
      </c>
      <c r="AJ143">
        <v>0.98535589999999995</v>
      </c>
      <c r="AK143">
        <v>0.98535589999999995</v>
      </c>
      <c r="AL143">
        <v>5.2000000000000002E-6</v>
      </c>
      <c r="AM143">
        <v>5.2000000000000002E-6</v>
      </c>
      <c r="AN143">
        <v>1.46389E-2</v>
      </c>
      <c r="AO143">
        <v>1.46389E-2</v>
      </c>
      <c r="AP143">
        <v>-108.2912</v>
      </c>
      <c r="AQ143">
        <v>-108.2912</v>
      </c>
      <c r="AR143">
        <v>-162.37690000000001</v>
      </c>
      <c r="AS143">
        <v>-162.37690000000001</v>
      </c>
      <c r="AT143">
        <v>0</v>
      </c>
      <c r="AU143">
        <v>0</v>
      </c>
      <c r="AV143">
        <v>0</v>
      </c>
      <c r="AW143">
        <v>180</v>
      </c>
      <c r="AY143">
        <v>0.61629999999999996</v>
      </c>
      <c r="AZ143">
        <v>4.1260999999999997E-3</v>
      </c>
      <c r="BA143">
        <v>4.1260999999999997E-3</v>
      </c>
      <c r="BB143">
        <v>0.99490610000000002</v>
      </c>
      <c r="BC143">
        <v>0.99490610000000002</v>
      </c>
      <c r="BD143">
        <v>9.678E-4</v>
      </c>
      <c r="BE143">
        <v>9.678E-4</v>
      </c>
      <c r="BF143">
        <v>-19.411799999999999</v>
      </c>
      <c r="BG143">
        <v>-19.411799999999999</v>
      </c>
      <c r="BH143">
        <v>179.29669999999999</v>
      </c>
      <c r="BI143">
        <v>179.29669999999999</v>
      </c>
      <c r="BJ143">
        <v>0</v>
      </c>
      <c r="BK143">
        <v>0</v>
      </c>
      <c r="BL143">
        <v>0</v>
      </c>
      <c r="BM143">
        <v>180</v>
      </c>
      <c r="BP143">
        <v>0.61629999999999996</v>
      </c>
      <c r="BQ143">
        <v>0.90988559999999996</v>
      </c>
      <c r="BR143">
        <v>0.90988559999999996</v>
      </c>
      <c r="BS143">
        <v>0</v>
      </c>
      <c r="BT143">
        <v>0</v>
      </c>
      <c r="BU143">
        <v>9.0114399999999997E-2</v>
      </c>
      <c r="BV143">
        <v>9.0114399999999997E-2</v>
      </c>
      <c r="BW143">
        <v>-37.713299999999997</v>
      </c>
      <c r="BX143">
        <v>-37.713299999999997</v>
      </c>
      <c r="BY143">
        <v>163.57599999999999</v>
      </c>
      <c r="BZ143">
        <v>163.57599999999999</v>
      </c>
      <c r="CA143">
        <v>0</v>
      </c>
      <c r="CB143">
        <v>0</v>
      </c>
      <c r="CC143">
        <v>0</v>
      </c>
      <c r="CD143">
        <v>180</v>
      </c>
    </row>
    <row r="144" spans="19:82">
      <c r="S144">
        <v>0.61765000000000003</v>
      </c>
      <c r="T144">
        <v>0.98546710000000004</v>
      </c>
      <c r="U144">
        <v>0.98546710000000004</v>
      </c>
      <c r="V144">
        <v>3.8E-6</v>
      </c>
      <c r="W144">
        <v>3.8E-6</v>
      </c>
      <c r="X144">
        <v>1.4529200000000001E-2</v>
      </c>
      <c r="Y144">
        <v>1.4529200000000001E-2</v>
      </c>
      <c r="Z144">
        <v>-117.4499</v>
      </c>
      <c r="AA144">
        <v>-117.4499</v>
      </c>
      <c r="AB144">
        <v>-178.16210000000001</v>
      </c>
      <c r="AC144">
        <v>-178.16210000000001</v>
      </c>
      <c r="AD144">
        <v>0</v>
      </c>
      <c r="AE144">
        <v>0</v>
      </c>
      <c r="AF144">
        <v>0</v>
      </c>
      <c r="AG144">
        <v>180</v>
      </c>
      <c r="AI144">
        <v>0.61765000000000003</v>
      </c>
      <c r="AJ144">
        <v>0.98536809999999997</v>
      </c>
      <c r="AK144">
        <v>0.98536809999999997</v>
      </c>
      <c r="AL144">
        <v>5.1000000000000003E-6</v>
      </c>
      <c r="AM144">
        <v>5.1000000000000003E-6</v>
      </c>
      <c r="AN144">
        <v>1.4626699999999999E-2</v>
      </c>
      <c r="AO144">
        <v>1.4626699999999999E-2</v>
      </c>
      <c r="AP144">
        <v>-108.0598</v>
      </c>
      <c r="AQ144">
        <v>-108.0598</v>
      </c>
      <c r="AR144">
        <v>-162.0119</v>
      </c>
      <c r="AS144">
        <v>-162.0119</v>
      </c>
      <c r="AT144">
        <v>0</v>
      </c>
      <c r="AU144">
        <v>0</v>
      </c>
      <c r="AV144">
        <v>0</v>
      </c>
      <c r="AW144">
        <v>180</v>
      </c>
      <c r="AY144">
        <v>0.61765000000000003</v>
      </c>
      <c r="AZ144">
        <v>4.1095000000000003E-3</v>
      </c>
      <c r="BA144">
        <v>4.1095000000000003E-3</v>
      </c>
      <c r="BB144">
        <v>0.9949289</v>
      </c>
      <c r="BC144">
        <v>0.9949289</v>
      </c>
      <c r="BD144">
        <v>9.6159999999999995E-4</v>
      </c>
      <c r="BE144">
        <v>9.6159999999999995E-4</v>
      </c>
      <c r="BF144">
        <v>-18.487300000000001</v>
      </c>
      <c r="BG144">
        <v>-18.487300000000001</v>
      </c>
      <c r="BH144">
        <v>178.8518</v>
      </c>
      <c r="BI144">
        <v>178.8518</v>
      </c>
      <c r="BJ144">
        <v>0</v>
      </c>
      <c r="BK144">
        <v>0</v>
      </c>
      <c r="BL144">
        <v>0</v>
      </c>
      <c r="BM144">
        <v>180</v>
      </c>
      <c r="BP144">
        <v>0.61765000000000003</v>
      </c>
      <c r="BQ144">
        <v>0.90974049999999995</v>
      </c>
      <c r="BR144">
        <v>0.90974049999999995</v>
      </c>
      <c r="BS144">
        <v>0</v>
      </c>
      <c r="BT144">
        <v>0</v>
      </c>
      <c r="BU144">
        <v>9.0259500000000006E-2</v>
      </c>
      <c r="BV144">
        <v>9.0259500000000006E-2</v>
      </c>
      <c r="BW144">
        <v>-38.0944</v>
      </c>
      <c r="BX144">
        <v>-38.0944</v>
      </c>
      <c r="BY144">
        <v>163.61449999999999</v>
      </c>
      <c r="BZ144">
        <v>163.61449999999999</v>
      </c>
      <c r="CA144">
        <v>0</v>
      </c>
      <c r="CB144">
        <v>0</v>
      </c>
      <c r="CC144">
        <v>0</v>
      </c>
      <c r="CD144">
        <v>180</v>
      </c>
    </row>
    <row r="145" spans="19:82">
      <c r="S145">
        <v>0.61899999999999999</v>
      </c>
      <c r="T145">
        <v>0.98551160000000004</v>
      </c>
      <c r="U145">
        <v>0.98551160000000004</v>
      </c>
      <c r="V145">
        <v>3.7000000000000002E-6</v>
      </c>
      <c r="W145">
        <v>3.7000000000000002E-6</v>
      </c>
      <c r="X145">
        <v>1.44847E-2</v>
      </c>
      <c r="Y145">
        <v>1.44847E-2</v>
      </c>
      <c r="Z145">
        <v>-117.22020000000001</v>
      </c>
      <c r="AA145">
        <v>-117.22020000000001</v>
      </c>
      <c r="AB145">
        <v>-177.80670000000001</v>
      </c>
      <c r="AC145">
        <v>-177.80670000000001</v>
      </c>
      <c r="AD145">
        <v>0</v>
      </c>
      <c r="AE145">
        <v>0</v>
      </c>
      <c r="AF145">
        <v>0</v>
      </c>
      <c r="AG145">
        <v>180</v>
      </c>
      <c r="AI145">
        <v>0.61899999999999999</v>
      </c>
      <c r="AJ145">
        <v>0.98537490000000005</v>
      </c>
      <c r="AK145">
        <v>0.98537490000000005</v>
      </c>
      <c r="AL145">
        <v>5.1000000000000003E-6</v>
      </c>
      <c r="AM145">
        <v>5.1000000000000003E-6</v>
      </c>
      <c r="AN145">
        <v>1.46201E-2</v>
      </c>
      <c r="AO145">
        <v>1.46201E-2</v>
      </c>
      <c r="AP145">
        <v>-107.8314</v>
      </c>
      <c r="AQ145">
        <v>-107.8314</v>
      </c>
      <c r="AR145">
        <v>-161.65270000000001</v>
      </c>
      <c r="AS145">
        <v>-161.65270000000001</v>
      </c>
      <c r="AT145">
        <v>0</v>
      </c>
      <c r="AU145">
        <v>0</v>
      </c>
      <c r="AV145">
        <v>0</v>
      </c>
      <c r="AW145">
        <v>180</v>
      </c>
      <c r="AY145">
        <v>0.61899999999999999</v>
      </c>
      <c r="AZ145">
        <v>4.0952999999999996E-3</v>
      </c>
      <c r="BA145">
        <v>4.0952999999999996E-3</v>
      </c>
      <c r="BB145">
        <v>0.99494930000000004</v>
      </c>
      <c r="BC145">
        <v>0.99494930000000004</v>
      </c>
      <c r="BD145">
        <v>9.5549999999999997E-4</v>
      </c>
      <c r="BE145">
        <v>9.5549999999999997E-4</v>
      </c>
      <c r="BF145">
        <v>-17.566800000000001</v>
      </c>
      <c r="BG145">
        <v>-17.566800000000001</v>
      </c>
      <c r="BH145">
        <v>178.40309999999999</v>
      </c>
      <c r="BI145">
        <v>178.40309999999999</v>
      </c>
      <c r="BJ145">
        <v>0</v>
      </c>
      <c r="BK145">
        <v>0</v>
      </c>
      <c r="BL145">
        <v>0</v>
      </c>
      <c r="BM145">
        <v>180</v>
      </c>
      <c r="BP145">
        <v>0.61899999999999999</v>
      </c>
      <c r="BQ145">
        <v>0.90959769999999995</v>
      </c>
      <c r="BR145">
        <v>0.90959769999999995</v>
      </c>
      <c r="BS145">
        <v>0</v>
      </c>
      <c r="BT145">
        <v>0</v>
      </c>
      <c r="BU145">
        <v>9.0402300000000005E-2</v>
      </c>
      <c r="BV145">
        <v>9.0402300000000005E-2</v>
      </c>
      <c r="BW145">
        <v>-38.4739</v>
      </c>
      <c r="BX145">
        <v>-38.4739</v>
      </c>
      <c r="BY145">
        <v>163.65280000000001</v>
      </c>
      <c r="BZ145">
        <v>163.65280000000001</v>
      </c>
      <c r="CA145">
        <v>0</v>
      </c>
      <c r="CB145">
        <v>0</v>
      </c>
      <c r="CC145">
        <v>0</v>
      </c>
      <c r="CD145">
        <v>180</v>
      </c>
    </row>
    <row r="146" spans="19:82">
      <c r="S146">
        <v>0.62034999999999996</v>
      </c>
      <c r="T146">
        <v>0.98555490000000001</v>
      </c>
      <c r="U146">
        <v>0.98555490000000001</v>
      </c>
      <c r="V146">
        <v>3.7000000000000002E-6</v>
      </c>
      <c r="W146">
        <v>3.7000000000000002E-6</v>
      </c>
      <c r="X146">
        <v>1.44414E-2</v>
      </c>
      <c r="Y146">
        <v>1.44414E-2</v>
      </c>
      <c r="Z146">
        <v>-116.9915</v>
      </c>
      <c r="AA146">
        <v>-116.9915</v>
      </c>
      <c r="AB146">
        <v>-177.45269999999999</v>
      </c>
      <c r="AC146">
        <v>-177.45269999999999</v>
      </c>
      <c r="AD146">
        <v>0</v>
      </c>
      <c r="AE146">
        <v>0</v>
      </c>
      <c r="AF146">
        <v>0</v>
      </c>
      <c r="AG146">
        <v>180</v>
      </c>
      <c r="AI146">
        <v>0.62034999999999996</v>
      </c>
      <c r="AJ146">
        <v>0.9853807</v>
      </c>
      <c r="AK146">
        <v>0.9853807</v>
      </c>
      <c r="AL146">
        <v>5.0000000000000004E-6</v>
      </c>
      <c r="AM146">
        <v>5.0000000000000004E-6</v>
      </c>
      <c r="AN146">
        <v>1.46143E-2</v>
      </c>
      <c r="AO146">
        <v>1.46143E-2</v>
      </c>
      <c r="AP146">
        <v>-107.6037</v>
      </c>
      <c r="AQ146">
        <v>-107.6037</v>
      </c>
      <c r="AR146">
        <v>-161.29409999999999</v>
      </c>
      <c r="AS146">
        <v>-161.29409999999999</v>
      </c>
      <c r="AT146">
        <v>0</v>
      </c>
      <c r="AU146">
        <v>0</v>
      </c>
      <c r="AV146">
        <v>0</v>
      </c>
      <c r="AW146">
        <v>180</v>
      </c>
      <c r="AY146">
        <v>0.62034999999999996</v>
      </c>
      <c r="AZ146">
        <v>4.0835000000000003E-3</v>
      </c>
      <c r="BA146">
        <v>4.0835000000000003E-3</v>
      </c>
      <c r="BB146">
        <v>0.99496709999999999</v>
      </c>
      <c r="BC146">
        <v>0.99496709999999999</v>
      </c>
      <c r="BD146">
        <v>9.4939999999999998E-4</v>
      </c>
      <c r="BE146">
        <v>9.4939999999999998E-4</v>
      </c>
      <c r="BF146">
        <v>-16.650300000000001</v>
      </c>
      <c r="BG146">
        <v>-16.650300000000001</v>
      </c>
      <c r="BH146">
        <v>177.95150000000001</v>
      </c>
      <c r="BI146">
        <v>177.95150000000001</v>
      </c>
      <c r="BJ146">
        <v>0</v>
      </c>
      <c r="BK146">
        <v>0</v>
      </c>
      <c r="BL146">
        <v>0</v>
      </c>
      <c r="BM146">
        <v>180</v>
      </c>
      <c r="BP146">
        <v>0.62034999999999996</v>
      </c>
      <c r="BQ146">
        <v>0.90945710000000002</v>
      </c>
      <c r="BR146">
        <v>0.90945710000000002</v>
      </c>
      <c r="BS146">
        <v>0</v>
      </c>
      <c r="BT146">
        <v>0</v>
      </c>
      <c r="BU146">
        <v>9.0542899999999996E-2</v>
      </c>
      <c r="BV146">
        <v>9.0542899999999996E-2</v>
      </c>
      <c r="BW146">
        <v>-38.851799999999997</v>
      </c>
      <c r="BX146">
        <v>-38.851799999999997</v>
      </c>
      <c r="BY146">
        <v>163.691</v>
      </c>
      <c r="BZ146">
        <v>163.691</v>
      </c>
      <c r="CA146">
        <v>0</v>
      </c>
      <c r="CB146">
        <v>0</v>
      </c>
      <c r="CC146">
        <v>0</v>
      </c>
      <c r="CD146">
        <v>180</v>
      </c>
    </row>
    <row r="147" spans="19:82">
      <c r="S147">
        <v>0.62170000000000003</v>
      </c>
      <c r="T147">
        <v>0.9855971</v>
      </c>
      <c r="U147">
        <v>0.9855971</v>
      </c>
      <c r="V147">
        <v>3.5999999999999998E-6</v>
      </c>
      <c r="W147">
        <v>3.5999999999999998E-6</v>
      </c>
      <c r="X147">
        <v>1.43993E-2</v>
      </c>
      <c r="Y147">
        <v>1.43993E-2</v>
      </c>
      <c r="Z147">
        <v>-116.7638</v>
      </c>
      <c r="AA147">
        <v>-116.7638</v>
      </c>
      <c r="AB147">
        <v>-177.1001</v>
      </c>
      <c r="AC147">
        <v>-177.1001</v>
      </c>
      <c r="AD147">
        <v>0</v>
      </c>
      <c r="AE147">
        <v>0</v>
      </c>
      <c r="AF147">
        <v>0</v>
      </c>
      <c r="AG147">
        <v>180</v>
      </c>
      <c r="AI147">
        <v>0.62170000000000003</v>
      </c>
      <c r="AJ147">
        <v>0.98538570000000003</v>
      </c>
      <c r="AK147">
        <v>0.98538570000000003</v>
      </c>
      <c r="AL147">
        <v>4.8999999999999997E-6</v>
      </c>
      <c r="AM147">
        <v>4.8999999999999997E-6</v>
      </c>
      <c r="AN147">
        <v>1.46093E-2</v>
      </c>
      <c r="AO147">
        <v>1.46093E-2</v>
      </c>
      <c r="AP147">
        <v>-107.37649999999999</v>
      </c>
      <c r="AQ147">
        <v>-107.37649999999999</v>
      </c>
      <c r="AR147">
        <v>-160.93600000000001</v>
      </c>
      <c r="AS147">
        <v>-160.93600000000001</v>
      </c>
      <c r="AT147">
        <v>0</v>
      </c>
      <c r="AU147">
        <v>0</v>
      </c>
      <c r="AV147">
        <v>0</v>
      </c>
      <c r="AW147">
        <v>180</v>
      </c>
      <c r="AY147">
        <v>0.62170000000000003</v>
      </c>
      <c r="AZ147">
        <v>4.0740999999999998E-3</v>
      </c>
      <c r="BA147">
        <v>4.0740999999999998E-3</v>
      </c>
      <c r="BB147">
        <v>0.99498260000000005</v>
      </c>
      <c r="BC147">
        <v>0.99498260000000005</v>
      </c>
      <c r="BD147">
        <v>9.433E-4</v>
      </c>
      <c r="BE147">
        <v>9.433E-4</v>
      </c>
      <c r="BF147">
        <v>-15.7378</v>
      </c>
      <c r="BG147">
        <v>-15.7378</v>
      </c>
      <c r="BH147">
        <v>177.4982</v>
      </c>
      <c r="BI147">
        <v>177.4982</v>
      </c>
      <c r="BJ147">
        <v>0</v>
      </c>
      <c r="BK147">
        <v>0</v>
      </c>
      <c r="BL147">
        <v>0</v>
      </c>
      <c r="BM147">
        <v>180</v>
      </c>
      <c r="BP147">
        <v>0.62170000000000003</v>
      </c>
      <c r="BQ147">
        <v>0.90931870000000004</v>
      </c>
      <c r="BR147">
        <v>0.90931870000000004</v>
      </c>
      <c r="BS147">
        <v>0</v>
      </c>
      <c r="BT147">
        <v>0</v>
      </c>
      <c r="BU147">
        <v>9.0681300000000006E-2</v>
      </c>
      <c r="BV147">
        <v>9.0681300000000006E-2</v>
      </c>
      <c r="BW147">
        <v>-39.228000000000002</v>
      </c>
      <c r="BX147">
        <v>-39.228000000000002</v>
      </c>
      <c r="BY147">
        <v>163.72909999999999</v>
      </c>
      <c r="BZ147">
        <v>163.72909999999999</v>
      </c>
      <c r="CA147">
        <v>0</v>
      </c>
      <c r="CB147">
        <v>0</v>
      </c>
      <c r="CC147">
        <v>0</v>
      </c>
      <c r="CD147">
        <v>180</v>
      </c>
    </row>
    <row r="148" spans="19:82">
      <c r="S148">
        <v>0.62304999999999999</v>
      </c>
      <c r="T148">
        <v>0.98563800000000001</v>
      </c>
      <c r="U148">
        <v>0.98563800000000001</v>
      </c>
      <c r="V148">
        <v>3.5999999999999998E-6</v>
      </c>
      <c r="W148">
        <v>3.5999999999999998E-6</v>
      </c>
      <c r="X148">
        <v>1.43584E-2</v>
      </c>
      <c r="Y148">
        <v>1.43584E-2</v>
      </c>
      <c r="Z148">
        <v>-116.5371</v>
      </c>
      <c r="AA148">
        <v>-116.5371</v>
      </c>
      <c r="AB148">
        <v>-176.74889999999999</v>
      </c>
      <c r="AC148">
        <v>-176.74889999999999</v>
      </c>
      <c r="AD148">
        <v>0</v>
      </c>
      <c r="AE148">
        <v>0</v>
      </c>
      <c r="AF148">
        <v>0</v>
      </c>
      <c r="AG148">
        <v>180</v>
      </c>
      <c r="AI148">
        <v>0.62304999999999999</v>
      </c>
      <c r="AJ148">
        <v>0.98538990000000004</v>
      </c>
      <c r="AK148">
        <v>0.98538990000000004</v>
      </c>
      <c r="AL148">
        <v>4.8999999999999997E-6</v>
      </c>
      <c r="AM148">
        <v>4.8999999999999997E-6</v>
      </c>
      <c r="AN148">
        <v>1.46052E-2</v>
      </c>
      <c r="AO148">
        <v>1.46052E-2</v>
      </c>
      <c r="AP148">
        <v>-107.1499</v>
      </c>
      <c r="AQ148">
        <v>-107.1499</v>
      </c>
      <c r="AR148">
        <v>-160.57859999999999</v>
      </c>
      <c r="AS148">
        <v>-160.57859999999999</v>
      </c>
      <c r="AT148">
        <v>0</v>
      </c>
      <c r="AU148">
        <v>0</v>
      </c>
      <c r="AV148">
        <v>0</v>
      </c>
      <c r="AW148">
        <v>180</v>
      </c>
      <c r="AY148">
        <v>0.62304999999999999</v>
      </c>
      <c r="AZ148">
        <v>4.0672E-3</v>
      </c>
      <c r="BA148">
        <v>4.0672E-3</v>
      </c>
      <c r="BB148">
        <v>0.99499559999999998</v>
      </c>
      <c r="BC148">
        <v>0.99499559999999998</v>
      </c>
      <c r="BD148">
        <v>9.3720000000000001E-4</v>
      </c>
      <c r="BE148">
        <v>9.3720000000000001E-4</v>
      </c>
      <c r="BF148">
        <v>-14.8293</v>
      </c>
      <c r="BG148">
        <v>-14.8293</v>
      </c>
      <c r="BH148">
        <v>177.04409999999999</v>
      </c>
      <c r="BI148">
        <v>177.04409999999999</v>
      </c>
      <c r="BJ148">
        <v>0</v>
      </c>
      <c r="BK148">
        <v>0</v>
      </c>
      <c r="BL148">
        <v>0</v>
      </c>
      <c r="BM148">
        <v>180</v>
      </c>
      <c r="BP148">
        <v>0.62304999999999999</v>
      </c>
      <c r="BQ148">
        <v>0.90918239999999995</v>
      </c>
      <c r="BR148">
        <v>0.90918239999999995</v>
      </c>
      <c r="BS148">
        <v>0</v>
      </c>
      <c r="BT148">
        <v>0</v>
      </c>
      <c r="BU148">
        <v>9.0817599999999998E-2</v>
      </c>
      <c r="BV148">
        <v>9.0817599999999998E-2</v>
      </c>
      <c r="BW148">
        <v>-39.602499999999999</v>
      </c>
      <c r="BX148">
        <v>-39.602499999999999</v>
      </c>
      <c r="BY148">
        <v>163.76689999999999</v>
      </c>
      <c r="BZ148">
        <v>163.76689999999999</v>
      </c>
      <c r="CA148">
        <v>0</v>
      </c>
      <c r="CB148">
        <v>0</v>
      </c>
      <c r="CC148">
        <v>0</v>
      </c>
      <c r="CD148">
        <v>180</v>
      </c>
    </row>
    <row r="149" spans="19:82">
      <c r="S149">
        <v>0.62439999999999996</v>
      </c>
      <c r="T149">
        <v>0.9856779</v>
      </c>
      <c r="U149">
        <v>0.9856779</v>
      </c>
      <c r="V149">
        <v>3.4999999999999999E-6</v>
      </c>
      <c r="W149">
        <v>3.4999999999999999E-6</v>
      </c>
      <c r="X149">
        <v>1.4318600000000001E-2</v>
      </c>
      <c r="Y149">
        <v>1.4318600000000001E-2</v>
      </c>
      <c r="Z149">
        <v>-116.3113</v>
      </c>
      <c r="AA149">
        <v>-116.3113</v>
      </c>
      <c r="AB149">
        <v>-176.3989</v>
      </c>
      <c r="AC149">
        <v>-176.3989</v>
      </c>
      <c r="AD149">
        <v>0</v>
      </c>
      <c r="AE149">
        <v>0</v>
      </c>
      <c r="AF149">
        <v>0</v>
      </c>
      <c r="AG149">
        <v>180</v>
      </c>
      <c r="AI149">
        <v>0.62439999999999996</v>
      </c>
      <c r="AJ149">
        <v>0.98539319999999997</v>
      </c>
      <c r="AK149">
        <v>0.98539319999999997</v>
      </c>
      <c r="AL149">
        <v>4.7999999999999998E-6</v>
      </c>
      <c r="AM149">
        <v>4.7999999999999998E-6</v>
      </c>
      <c r="AN149">
        <v>1.4602E-2</v>
      </c>
      <c r="AO149">
        <v>1.4602E-2</v>
      </c>
      <c r="AP149">
        <v>-106.9238</v>
      </c>
      <c r="AQ149">
        <v>-106.9238</v>
      </c>
      <c r="AR149">
        <v>-160.2217</v>
      </c>
      <c r="AS149">
        <v>-160.2217</v>
      </c>
      <c r="AT149">
        <v>0</v>
      </c>
      <c r="AU149">
        <v>0</v>
      </c>
      <c r="AV149">
        <v>0</v>
      </c>
      <c r="AW149">
        <v>180</v>
      </c>
      <c r="AY149">
        <v>0.62439999999999996</v>
      </c>
      <c r="AZ149">
        <v>4.0626000000000004E-3</v>
      </c>
      <c r="BA149">
        <v>4.0626000000000004E-3</v>
      </c>
      <c r="BB149">
        <v>0.99500619999999995</v>
      </c>
      <c r="BC149">
        <v>0.99500619999999995</v>
      </c>
      <c r="BD149">
        <v>9.3119999999999997E-4</v>
      </c>
      <c r="BE149">
        <v>9.3119999999999997E-4</v>
      </c>
      <c r="BF149">
        <v>-13.9247</v>
      </c>
      <c r="BG149">
        <v>-13.9247</v>
      </c>
      <c r="BH149">
        <v>176.59020000000001</v>
      </c>
      <c r="BI149">
        <v>176.59020000000001</v>
      </c>
      <c r="BJ149">
        <v>0</v>
      </c>
      <c r="BK149">
        <v>0</v>
      </c>
      <c r="BL149">
        <v>0</v>
      </c>
      <c r="BM149">
        <v>180</v>
      </c>
      <c r="BP149">
        <v>0.62439999999999996</v>
      </c>
      <c r="BQ149">
        <v>0.90904830000000003</v>
      </c>
      <c r="BR149">
        <v>0.90904830000000003</v>
      </c>
      <c r="BS149">
        <v>0</v>
      </c>
      <c r="BT149">
        <v>0</v>
      </c>
      <c r="BU149">
        <v>9.0951699999999996E-2</v>
      </c>
      <c r="BV149">
        <v>9.0951699999999996E-2</v>
      </c>
      <c r="BW149">
        <v>-39.975499999999997</v>
      </c>
      <c r="BX149">
        <v>-39.975499999999997</v>
      </c>
      <c r="BY149">
        <v>163.80459999999999</v>
      </c>
      <c r="BZ149">
        <v>163.80459999999999</v>
      </c>
      <c r="CA149">
        <v>0</v>
      </c>
      <c r="CB149">
        <v>0</v>
      </c>
      <c r="CC149">
        <v>0</v>
      </c>
      <c r="CD149">
        <v>180</v>
      </c>
    </row>
    <row r="150" spans="19:82">
      <c r="S150">
        <v>0.62575000000000003</v>
      </c>
      <c r="T150">
        <v>0.98571660000000005</v>
      </c>
      <c r="U150">
        <v>0.98571660000000005</v>
      </c>
      <c r="V150">
        <v>3.4999999999999999E-6</v>
      </c>
      <c r="W150">
        <v>3.4999999999999999E-6</v>
      </c>
      <c r="X150">
        <v>1.42799E-2</v>
      </c>
      <c r="Y150">
        <v>1.42799E-2</v>
      </c>
      <c r="Z150">
        <v>-116.0865</v>
      </c>
      <c r="AA150">
        <v>-116.0865</v>
      </c>
      <c r="AB150">
        <v>-176.05029999999999</v>
      </c>
      <c r="AC150">
        <v>-176.05029999999999</v>
      </c>
      <c r="AD150">
        <v>0</v>
      </c>
      <c r="AE150">
        <v>0</v>
      </c>
      <c r="AF150">
        <v>0</v>
      </c>
      <c r="AG150">
        <v>180</v>
      </c>
      <c r="AI150">
        <v>0.62575000000000003</v>
      </c>
      <c r="AJ150">
        <v>0.98539569999999999</v>
      </c>
      <c r="AK150">
        <v>0.98539569999999999</v>
      </c>
      <c r="AL150">
        <v>4.7999999999999998E-6</v>
      </c>
      <c r="AM150">
        <v>4.7999999999999998E-6</v>
      </c>
      <c r="AN150">
        <v>1.45995E-2</v>
      </c>
      <c r="AO150">
        <v>1.45995E-2</v>
      </c>
      <c r="AP150">
        <v>-106.69840000000001</v>
      </c>
      <c r="AQ150">
        <v>-106.69840000000001</v>
      </c>
      <c r="AR150">
        <v>-159.86529999999999</v>
      </c>
      <c r="AS150">
        <v>-159.86529999999999</v>
      </c>
      <c r="AT150">
        <v>0</v>
      </c>
      <c r="AU150">
        <v>0</v>
      </c>
      <c r="AV150">
        <v>0</v>
      </c>
      <c r="AW150">
        <v>180</v>
      </c>
      <c r="AY150">
        <v>0.62575000000000003</v>
      </c>
      <c r="AZ150">
        <v>4.0603999999999996E-3</v>
      </c>
      <c r="BA150">
        <v>4.0603999999999996E-3</v>
      </c>
      <c r="BB150">
        <v>0.99501439999999997</v>
      </c>
      <c r="BC150">
        <v>0.99501439999999997</v>
      </c>
      <c r="BD150">
        <v>9.2520000000000005E-4</v>
      </c>
      <c r="BE150">
        <v>9.2520000000000005E-4</v>
      </c>
      <c r="BF150">
        <v>-13.024100000000001</v>
      </c>
      <c r="BG150">
        <v>-13.024100000000001</v>
      </c>
      <c r="BH150">
        <v>176.13749999999999</v>
      </c>
      <c r="BI150">
        <v>176.13749999999999</v>
      </c>
      <c r="BJ150">
        <v>0</v>
      </c>
      <c r="BK150">
        <v>0</v>
      </c>
      <c r="BL150">
        <v>0</v>
      </c>
      <c r="BM150">
        <v>180</v>
      </c>
      <c r="BP150">
        <v>0.62575000000000003</v>
      </c>
      <c r="BQ150">
        <v>0.90891630000000001</v>
      </c>
      <c r="BR150">
        <v>0.90891630000000001</v>
      </c>
      <c r="BS150">
        <v>0</v>
      </c>
      <c r="BT150">
        <v>0</v>
      </c>
      <c r="BU150">
        <v>9.1083700000000004E-2</v>
      </c>
      <c r="BV150">
        <v>9.1083700000000004E-2</v>
      </c>
      <c r="BW150">
        <v>-40.346899999999998</v>
      </c>
      <c r="BX150">
        <v>-40.346899999999998</v>
      </c>
      <c r="BY150">
        <v>163.84219999999999</v>
      </c>
      <c r="BZ150">
        <v>163.84219999999999</v>
      </c>
      <c r="CA150">
        <v>0</v>
      </c>
      <c r="CB150">
        <v>0</v>
      </c>
      <c r="CC150">
        <v>0</v>
      </c>
      <c r="CD150">
        <v>180</v>
      </c>
    </row>
    <row r="151" spans="19:82">
      <c r="S151">
        <v>0.62709999999999999</v>
      </c>
      <c r="T151">
        <v>0.98575420000000002</v>
      </c>
      <c r="U151">
        <v>0.98575420000000002</v>
      </c>
      <c r="V151">
        <v>3.4000000000000001E-6</v>
      </c>
      <c r="W151">
        <v>3.4000000000000001E-6</v>
      </c>
      <c r="X151">
        <v>1.4242299999999999E-2</v>
      </c>
      <c r="Y151">
        <v>1.4242299999999999E-2</v>
      </c>
      <c r="Z151">
        <v>-115.8626</v>
      </c>
      <c r="AA151">
        <v>-115.8626</v>
      </c>
      <c r="AB151">
        <v>-175.7029</v>
      </c>
      <c r="AC151">
        <v>-175.7029</v>
      </c>
      <c r="AD151">
        <v>0</v>
      </c>
      <c r="AE151">
        <v>0</v>
      </c>
      <c r="AF151">
        <v>0</v>
      </c>
      <c r="AG151">
        <v>180</v>
      </c>
      <c r="AI151">
        <v>0.62709999999999999</v>
      </c>
      <c r="AJ151">
        <v>0.98539739999999998</v>
      </c>
      <c r="AK151">
        <v>0.98539739999999998</v>
      </c>
      <c r="AL151">
        <v>4.6999999999999999E-6</v>
      </c>
      <c r="AM151">
        <v>4.6999999999999999E-6</v>
      </c>
      <c r="AN151">
        <v>1.45979E-2</v>
      </c>
      <c r="AO151">
        <v>1.45979E-2</v>
      </c>
      <c r="AP151">
        <v>-106.4734</v>
      </c>
      <c r="AQ151">
        <v>-106.4734</v>
      </c>
      <c r="AR151">
        <v>-159.5094</v>
      </c>
      <c r="AS151">
        <v>-159.5094</v>
      </c>
      <c r="AT151">
        <v>0</v>
      </c>
      <c r="AU151">
        <v>0</v>
      </c>
      <c r="AV151">
        <v>0</v>
      </c>
      <c r="AW151">
        <v>180</v>
      </c>
      <c r="AY151">
        <v>0.62709999999999999</v>
      </c>
      <c r="AZ151">
        <v>4.0606000000000001E-3</v>
      </c>
      <c r="BA151">
        <v>4.0606000000000001E-3</v>
      </c>
      <c r="BB151">
        <v>0.99502020000000002</v>
      </c>
      <c r="BC151">
        <v>0.99502020000000002</v>
      </c>
      <c r="BD151">
        <v>9.1920000000000001E-4</v>
      </c>
      <c r="BE151">
        <v>9.1920000000000001E-4</v>
      </c>
      <c r="BF151">
        <v>-12.1273</v>
      </c>
      <c r="BG151">
        <v>-12.1273</v>
      </c>
      <c r="BH151">
        <v>175.68709999999999</v>
      </c>
      <c r="BI151">
        <v>175.68709999999999</v>
      </c>
      <c r="BJ151">
        <v>0</v>
      </c>
      <c r="BK151">
        <v>0</v>
      </c>
      <c r="BL151">
        <v>0</v>
      </c>
      <c r="BM151">
        <v>180</v>
      </c>
      <c r="BP151">
        <v>0.62709999999999999</v>
      </c>
      <c r="BQ151">
        <v>0.90878650000000005</v>
      </c>
      <c r="BR151">
        <v>0.90878650000000005</v>
      </c>
      <c r="BS151">
        <v>0</v>
      </c>
      <c r="BT151">
        <v>0</v>
      </c>
      <c r="BU151">
        <v>9.1213500000000003E-2</v>
      </c>
      <c r="BV151">
        <v>9.1213500000000003E-2</v>
      </c>
      <c r="BW151">
        <v>-40.7166</v>
      </c>
      <c r="BX151">
        <v>-40.7166</v>
      </c>
      <c r="BY151">
        <v>163.87960000000001</v>
      </c>
      <c r="BZ151">
        <v>163.87960000000001</v>
      </c>
      <c r="CA151">
        <v>0</v>
      </c>
      <c r="CB151">
        <v>0</v>
      </c>
      <c r="CC151">
        <v>0</v>
      </c>
      <c r="CD151">
        <v>180</v>
      </c>
    </row>
    <row r="152" spans="19:82">
      <c r="S152">
        <v>0.62844999999999995</v>
      </c>
      <c r="T152">
        <v>0.98579079999999997</v>
      </c>
      <c r="U152">
        <v>0.98579079999999997</v>
      </c>
      <c r="V152">
        <v>3.4000000000000001E-6</v>
      </c>
      <c r="W152">
        <v>3.4000000000000001E-6</v>
      </c>
      <c r="X152">
        <v>1.4205799999999999E-2</v>
      </c>
      <c r="Y152">
        <v>1.4205799999999999E-2</v>
      </c>
      <c r="Z152">
        <v>-115.6396</v>
      </c>
      <c r="AA152">
        <v>-115.6396</v>
      </c>
      <c r="AB152">
        <v>-175.35669999999999</v>
      </c>
      <c r="AC152">
        <v>-175.35669999999999</v>
      </c>
      <c r="AD152">
        <v>0</v>
      </c>
      <c r="AE152">
        <v>0</v>
      </c>
      <c r="AF152">
        <v>0</v>
      </c>
      <c r="AG152">
        <v>180</v>
      </c>
      <c r="AI152">
        <v>0.62844999999999995</v>
      </c>
      <c r="AJ152">
        <v>0.98539829999999995</v>
      </c>
      <c r="AK152">
        <v>0.98539829999999995</v>
      </c>
      <c r="AL152">
        <v>4.6E-6</v>
      </c>
      <c r="AM152">
        <v>4.6E-6</v>
      </c>
      <c r="AN152">
        <v>1.4597000000000001E-2</v>
      </c>
      <c r="AO152">
        <v>1.4597000000000001E-2</v>
      </c>
      <c r="AP152">
        <v>-106.24890000000001</v>
      </c>
      <c r="AQ152">
        <v>-106.24890000000001</v>
      </c>
      <c r="AR152">
        <v>-159.1541</v>
      </c>
      <c r="AS152">
        <v>-159.1541</v>
      </c>
      <c r="AT152">
        <v>0</v>
      </c>
      <c r="AU152">
        <v>0</v>
      </c>
      <c r="AV152">
        <v>0</v>
      </c>
      <c r="AW152">
        <v>180</v>
      </c>
      <c r="AY152">
        <v>0.62844999999999995</v>
      </c>
      <c r="AZ152">
        <v>4.0631E-3</v>
      </c>
      <c r="BA152">
        <v>4.0631E-3</v>
      </c>
      <c r="BB152">
        <v>0.99502369999999996</v>
      </c>
      <c r="BC152">
        <v>0.99502369999999996</v>
      </c>
      <c r="BD152">
        <v>9.1330000000000003E-4</v>
      </c>
      <c r="BE152">
        <v>9.1330000000000003E-4</v>
      </c>
      <c r="BF152">
        <v>-11.234400000000001</v>
      </c>
      <c r="BG152">
        <v>-11.234400000000001</v>
      </c>
      <c r="BH152">
        <v>175.2398</v>
      </c>
      <c r="BI152">
        <v>175.2398</v>
      </c>
      <c r="BJ152">
        <v>0</v>
      </c>
      <c r="BK152">
        <v>0</v>
      </c>
      <c r="BL152">
        <v>0</v>
      </c>
      <c r="BM152">
        <v>180</v>
      </c>
      <c r="BP152">
        <v>0.62844999999999995</v>
      </c>
      <c r="BQ152">
        <v>0.90865859999999998</v>
      </c>
      <c r="BR152">
        <v>0.90865859999999998</v>
      </c>
      <c r="BS152">
        <v>0</v>
      </c>
      <c r="BT152">
        <v>0</v>
      </c>
      <c r="BU152">
        <v>9.1341400000000003E-2</v>
      </c>
      <c r="BV152">
        <v>9.1341400000000003E-2</v>
      </c>
      <c r="BW152">
        <v>-41.084800000000001</v>
      </c>
      <c r="BX152">
        <v>-41.084800000000001</v>
      </c>
      <c r="BY152">
        <v>163.91679999999999</v>
      </c>
      <c r="BZ152">
        <v>163.91679999999999</v>
      </c>
      <c r="CA152">
        <v>0</v>
      </c>
      <c r="CB152">
        <v>0</v>
      </c>
      <c r="CC152">
        <v>0</v>
      </c>
      <c r="CD152">
        <v>180</v>
      </c>
    </row>
    <row r="153" spans="19:82">
      <c r="S153">
        <v>0.62980000000000003</v>
      </c>
      <c r="T153">
        <v>0.98582630000000004</v>
      </c>
      <c r="U153">
        <v>0.98582630000000004</v>
      </c>
      <c r="V153">
        <v>3.3000000000000002E-6</v>
      </c>
      <c r="W153">
        <v>3.3000000000000002E-6</v>
      </c>
      <c r="X153">
        <v>1.41704E-2</v>
      </c>
      <c r="Y153">
        <v>1.41704E-2</v>
      </c>
      <c r="Z153">
        <v>-115.4175</v>
      </c>
      <c r="AA153">
        <v>-115.4175</v>
      </c>
      <c r="AB153">
        <v>-175.01179999999999</v>
      </c>
      <c r="AC153">
        <v>-175.01179999999999</v>
      </c>
      <c r="AD153">
        <v>0</v>
      </c>
      <c r="AE153">
        <v>0</v>
      </c>
      <c r="AF153">
        <v>0</v>
      </c>
      <c r="AG153">
        <v>180</v>
      </c>
      <c r="AI153">
        <v>0.62980000000000003</v>
      </c>
      <c r="AJ153">
        <v>0.98539849999999996</v>
      </c>
      <c r="AK153">
        <v>0.98539849999999996</v>
      </c>
      <c r="AL153">
        <v>4.6E-6</v>
      </c>
      <c r="AM153">
        <v>4.6E-6</v>
      </c>
      <c r="AN153">
        <v>1.4597000000000001E-2</v>
      </c>
      <c r="AO153">
        <v>1.4597000000000001E-2</v>
      </c>
      <c r="AP153">
        <v>-106.02500000000001</v>
      </c>
      <c r="AQ153">
        <v>-106.02500000000001</v>
      </c>
      <c r="AR153">
        <v>-158.79920000000001</v>
      </c>
      <c r="AS153">
        <v>-158.79920000000001</v>
      </c>
      <c r="AT153">
        <v>0</v>
      </c>
      <c r="AU153">
        <v>0</v>
      </c>
      <c r="AV153">
        <v>0</v>
      </c>
      <c r="AW153">
        <v>180</v>
      </c>
      <c r="AY153">
        <v>0.62980000000000003</v>
      </c>
      <c r="AZ153">
        <v>4.0677999999999999E-3</v>
      </c>
      <c r="BA153">
        <v>4.0677999999999999E-3</v>
      </c>
      <c r="BB153">
        <v>0.99502489999999999</v>
      </c>
      <c r="BC153">
        <v>0.99502489999999999</v>
      </c>
      <c r="BD153">
        <v>9.0729999999999999E-4</v>
      </c>
      <c r="BE153">
        <v>9.0729999999999999E-4</v>
      </c>
      <c r="BF153">
        <v>-10.3454</v>
      </c>
      <c r="BG153">
        <v>-10.3454</v>
      </c>
      <c r="BH153">
        <v>174.79660000000001</v>
      </c>
      <c r="BI153">
        <v>174.79660000000001</v>
      </c>
      <c r="BJ153">
        <v>0</v>
      </c>
      <c r="BK153">
        <v>0</v>
      </c>
      <c r="BL153">
        <v>0</v>
      </c>
      <c r="BM153">
        <v>180</v>
      </c>
      <c r="BP153">
        <v>0.62980000000000003</v>
      </c>
      <c r="BQ153">
        <v>0.90853289999999998</v>
      </c>
      <c r="BR153">
        <v>0.90853289999999998</v>
      </c>
      <c r="BS153">
        <v>0</v>
      </c>
      <c r="BT153">
        <v>0</v>
      </c>
      <c r="BU153">
        <v>9.1467099999999996E-2</v>
      </c>
      <c r="BV153">
        <v>9.1467099999999996E-2</v>
      </c>
      <c r="BW153">
        <v>-41.4514</v>
      </c>
      <c r="BX153">
        <v>-41.4514</v>
      </c>
      <c r="BY153">
        <v>163.9539</v>
      </c>
      <c r="BZ153">
        <v>163.9539</v>
      </c>
      <c r="CA153">
        <v>0</v>
      </c>
      <c r="CB153">
        <v>0</v>
      </c>
      <c r="CC153">
        <v>0</v>
      </c>
      <c r="CD153">
        <v>180</v>
      </c>
    </row>
    <row r="154" spans="19:82">
      <c r="S154">
        <v>0.63114999999999999</v>
      </c>
      <c r="T154">
        <v>0.98586079999999998</v>
      </c>
      <c r="U154">
        <v>0.98586079999999998</v>
      </c>
      <c r="V154">
        <v>3.3000000000000002E-6</v>
      </c>
      <c r="W154">
        <v>3.3000000000000002E-6</v>
      </c>
      <c r="X154">
        <v>1.41359E-2</v>
      </c>
      <c r="Y154">
        <v>1.41359E-2</v>
      </c>
      <c r="Z154">
        <v>-115.19629999999999</v>
      </c>
      <c r="AA154">
        <v>-115.19629999999999</v>
      </c>
      <c r="AB154">
        <v>-174.66810000000001</v>
      </c>
      <c r="AC154">
        <v>-174.66810000000001</v>
      </c>
      <c r="AD154">
        <v>0</v>
      </c>
      <c r="AE154">
        <v>0</v>
      </c>
      <c r="AF154">
        <v>0</v>
      </c>
      <c r="AG154">
        <v>180</v>
      </c>
      <c r="AI154">
        <v>0.63114999999999999</v>
      </c>
      <c r="AJ154">
        <v>0.98539779999999999</v>
      </c>
      <c r="AK154">
        <v>0.98539779999999999</v>
      </c>
      <c r="AL154">
        <v>4.5000000000000001E-6</v>
      </c>
      <c r="AM154">
        <v>4.5000000000000001E-6</v>
      </c>
      <c r="AN154">
        <v>1.45977E-2</v>
      </c>
      <c r="AO154">
        <v>1.45977E-2</v>
      </c>
      <c r="AP154">
        <v>-105.80159999999999</v>
      </c>
      <c r="AQ154">
        <v>-105.80159999999999</v>
      </c>
      <c r="AR154">
        <v>-158.44479999999999</v>
      </c>
      <c r="AS154">
        <v>-158.44479999999999</v>
      </c>
      <c r="AT154">
        <v>0</v>
      </c>
      <c r="AU154">
        <v>0</v>
      </c>
      <c r="AV154">
        <v>0</v>
      </c>
      <c r="AW154">
        <v>180</v>
      </c>
      <c r="AY154">
        <v>0.63114999999999999</v>
      </c>
      <c r="AZ154">
        <v>4.0747999999999999E-3</v>
      </c>
      <c r="BA154">
        <v>4.0747999999999999E-3</v>
      </c>
      <c r="BB154">
        <v>0.99502380000000001</v>
      </c>
      <c r="BC154">
        <v>0.99502380000000001</v>
      </c>
      <c r="BD154">
        <v>9.0140000000000001E-4</v>
      </c>
      <c r="BE154">
        <v>9.0140000000000001E-4</v>
      </c>
      <c r="BF154">
        <v>-9.4601000000000006</v>
      </c>
      <c r="BG154">
        <v>-9.4601000000000006</v>
      </c>
      <c r="BH154">
        <v>174.35849999999999</v>
      </c>
      <c r="BI154">
        <v>174.35849999999999</v>
      </c>
      <c r="BJ154">
        <v>0</v>
      </c>
      <c r="BK154">
        <v>0</v>
      </c>
      <c r="BL154">
        <v>0</v>
      </c>
      <c r="BM154">
        <v>180</v>
      </c>
      <c r="BP154">
        <v>0.63114999999999999</v>
      </c>
      <c r="BQ154">
        <v>0.90840909999999997</v>
      </c>
      <c r="BR154">
        <v>0.90840909999999997</v>
      </c>
      <c r="BS154">
        <v>0</v>
      </c>
      <c r="BT154">
        <v>0</v>
      </c>
      <c r="BU154">
        <v>9.1590900000000003E-2</v>
      </c>
      <c r="BV154">
        <v>9.1590900000000003E-2</v>
      </c>
      <c r="BW154">
        <v>-41.816400000000002</v>
      </c>
      <c r="BX154">
        <v>-41.816400000000002</v>
      </c>
      <c r="BY154">
        <v>163.99080000000001</v>
      </c>
      <c r="BZ154">
        <v>163.99080000000001</v>
      </c>
      <c r="CA154">
        <v>0</v>
      </c>
      <c r="CB154">
        <v>0</v>
      </c>
      <c r="CC154">
        <v>0</v>
      </c>
      <c r="CD154">
        <v>180</v>
      </c>
    </row>
    <row r="155" spans="19:82">
      <c r="S155">
        <v>0.63249999999999995</v>
      </c>
      <c r="T155">
        <v>0.98589420000000005</v>
      </c>
      <c r="U155">
        <v>0.98589420000000005</v>
      </c>
      <c r="V155">
        <v>3.1999999999999999E-6</v>
      </c>
      <c r="W155">
        <v>3.1999999999999999E-6</v>
      </c>
      <c r="X155">
        <v>1.41025E-2</v>
      </c>
      <c r="Y155">
        <v>1.41025E-2</v>
      </c>
      <c r="Z155">
        <v>-114.9759</v>
      </c>
      <c r="AA155">
        <v>-114.9759</v>
      </c>
      <c r="AB155">
        <v>-174.32550000000001</v>
      </c>
      <c r="AC155">
        <v>-174.32550000000001</v>
      </c>
      <c r="AD155">
        <v>0</v>
      </c>
      <c r="AE155">
        <v>0</v>
      </c>
      <c r="AF155">
        <v>0</v>
      </c>
      <c r="AG155">
        <v>180</v>
      </c>
      <c r="AI155">
        <v>0.63249999999999995</v>
      </c>
      <c r="AJ155">
        <v>0.98539639999999995</v>
      </c>
      <c r="AK155">
        <v>0.98539639999999995</v>
      </c>
      <c r="AL155">
        <v>4.5000000000000001E-6</v>
      </c>
      <c r="AM155">
        <v>4.5000000000000001E-6</v>
      </c>
      <c r="AN155">
        <v>1.45992E-2</v>
      </c>
      <c r="AO155">
        <v>1.45992E-2</v>
      </c>
      <c r="AP155">
        <v>-105.57859999999999</v>
      </c>
      <c r="AQ155">
        <v>-105.57859999999999</v>
      </c>
      <c r="AR155">
        <v>-158.0908</v>
      </c>
      <c r="AS155">
        <v>-158.0908</v>
      </c>
      <c r="AT155">
        <v>0</v>
      </c>
      <c r="AU155">
        <v>0</v>
      </c>
      <c r="AV155">
        <v>0</v>
      </c>
      <c r="AW155">
        <v>180</v>
      </c>
      <c r="AY155">
        <v>0.63249999999999995</v>
      </c>
      <c r="AZ155">
        <v>4.084E-3</v>
      </c>
      <c r="BA155">
        <v>4.084E-3</v>
      </c>
      <c r="BB155">
        <v>0.99502040000000003</v>
      </c>
      <c r="BC155">
        <v>0.99502040000000003</v>
      </c>
      <c r="BD155">
        <v>8.9550000000000003E-4</v>
      </c>
      <c r="BE155">
        <v>8.9550000000000003E-4</v>
      </c>
      <c r="BF155">
        <v>-8.5787999999999993</v>
      </c>
      <c r="BG155">
        <v>-8.5787999999999993</v>
      </c>
      <c r="BH155">
        <v>173.9263</v>
      </c>
      <c r="BI155">
        <v>173.9263</v>
      </c>
      <c r="BJ155">
        <v>0</v>
      </c>
      <c r="BK155">
        <v>0</v>
      </c>
      <c r="BL155">
        <v>0</v>
      </c>
      <c r="BM155">
        <v>180</v>
      </c>
      <c r="BP155">
        <v>0.63249999999999995</v>
      </c>
      <c r="BQ155">
        <v>0.90828739999999997</v>
      </c>
      <c r="BR155">
        <v>0.90828739999999997</v>
      </c>
      <c r="BS155">
        <v>0</v>
      </c>
      <c r="BT155">
        <v>0</v>
      </c>
      <c r="BU155">
        <v>9.1712600000000005E-2</v>
      </c>
      <c r="BV155">
        <v>9.1712600000000005E-2</v>
      </c>
      <c r="BW155">
        <v>-42.179900000000004</v>
      </c>
      <c r="BX155">
        <v>-42.179900000000004</v>
      </c>
      <c r="BY155">
        <v>164.0275</v>
      </c>
      <c r="BZ155">
        <v>164.0275</v>
      </c>
      <c r="CA155">
        <v>0</v>
      </c>
      <c r="CB155">
        <v>0</v>
      </c>
      <c r="CC155">
        <v>0</v>
      </c>
      <c r="CD155">
        <v>180</v>
      </c>
    </row>
    <row r="156" spans="19:82">
      <c r="S156">
        <v>0.63385000000000002</v>
      </c>
      <c r="T156">
        <v>0.98592670000000004</v>
      </c>
      <c r="U156">
        <v>0.98592670000000004</v>
      </c>
      <c r="V156">
        <v>3.1999999999999999E-6</v>
      </c>
      <c r="W156">
        <v>3.1999999999999999E-6</v>
      </c>
      <c r="X156">
        <v>1.40701E-2</v>
      </c>
      <c r="Y156">
        <v>1.40701E-2</v>
      </c>
      <c r="Z156">
        <v>-114.7564</v>
      </c>
      <c r="AA156">
        <v>-114.7564</v>
      </c>
      <c r="AB156">
        <v>-173.98410000000001</v>
      </c>
      <c r="AC156">
        <v>-173.98410000000001</v>
      </c>
      <c r="AD156">
        <v>0</v>
      </c>
      <c r="AE156">
        <v>0</v>
      </c>
      <c r="AF156">
        <v>0</v>
      </c>
      <c r="AG156">
        <v>180</v>
      </c>
      <c r="AI156">
        <v>0.63385000000000002</v>
      </c>
      <c r="AJ156">
        <v>0.9853942</v>
      </c>
      <c r="AK156">
        <v>0.9853942</v>
      </c>
      <c r="AL156">
        <v>4.4000000000000002E-6</v>
      </c>
      <c r="AM156">
        <v>4.4000000000000002E-6</v>
      </c>
      <c r="AN156">
        <v>1.46014E-2</v>
      </c>
      <c r="AO156">
        <v>1.46014E-2</v>
      </c>
      <c r="AP156">
        <v>-105.3561</v>
      </c>
      <c r="AQ156">
        <v>-105.3561</v>
      </c>
      <c r="AR156">
        <v>-157.7373</v>
      </c>
      <c r="AS156">
        <v>-157.7373</v>
      </c>
      <c r="AT156">
        <v>0</v>
      </c>
      <c r="AU156">
        <v>0</v>
      </c>
      <c r="AV156">
        <v>0</v>
      </c>
      <c r="AW156">
        <v>180</v>
      </c>
      <c r="AY156">
        <v>0.63385000000000002</v>
      </c>
      <c r="AZ156">
        <v>4.0952999999999996E-3</v>
      </c>
      <c r="BA156">
        <v>4.0952999999999996E-3</v>
      </c>
      <c r="BB156">
        <v>0.99501499999999998</v>
      </c>
      <c r="BC156">
        <v>0.99501499999999998</v>
      </c>
      <c r="BD156">
        <v>8.897E-4</v>
      </c>
      <c r="BE156">
        <v>8.897E-4</v>
      </c>
      <c r="BF156">
        <v>-7.7011000000000003</v>
      </c>
      <c r="BG156">
        <v>-7.7011000000000003</v>
      </c>
      <c r="BH156">
        <v>173.5008</v>
      </c>
      <c r="BI156">
        <v>173.5008</v>
      </c>
      <c r="BJ156">
        <v>0</v>
      </c>
      <c r="BK156">
        <v>0</v>
      </c>
      <c r="BL156">
        <v>0</v>
      </c>
      <c r="BM156">
        <v>180</v>
      </c>
      <c r="BP156">
        <v>0.63385000000000002</v>
      </c>
      <c r="BQ156">
        <v>0.90816759999999996</v>
      </c>
      <c r="BR156">
        <v>0.90816759999999996</v>
      </c>
      <c r="BS156">
        <v>0</v>
      </c>
      <c r="BT156">
        <v>0</v>
      </c>
      <c r="BU156">
        <v>9.1832399999999995E-2</v>
      </c>
      <c r="BV156">
        <v>9.1832399999999995E-2</v>
      </c>
      <c r="BW156">
        <v>-42.541899999999998</v>
      </c>
      <c r="BX156">
        <v>-42.541899999999998</v>
      </c>
      <c r="BY156">
        <v>164.0641</v>
      </c>
      <c r="BZ156">
        <v>164.0641</v>
      </c>
      <c r="CA156">
        <v>0</v>
      </c>
      <c r="CB156">
        <v>0</v>
      </c>
      <c r="CC156">
        <v>0</v>
      </c>
      <c r="CD156">
        <v>180</v>
      </c>
    </row>
    <row r="157" spans="19:82">
      <c r="S157">
        <v>0.63519999999999999</v>
      </c>
      <c r="T157">
        <v>0.98595820000000001</v>
      </c>
      <c r="U157">
        <v>0.98595820000000001</v>
      </c>
      <c r="V157">
        <v>3.1E-6</v>
      </c>
      <c r="W157">
        <v>3.1E-6</v>
      </c>
      <c r="X157">
        <v>1.4038699999999999E-2</v>
      </c>
      <c r="Y157">
        <v>1.4038699999999999E-2</v>
      </c>
      <c r="Z157">
        <v>-114.5377</v>
      </c>
      <c r="AA157">
        <v>-114.5377</v>
      </c>
      <c r="AB157">
        <v>-173.6438</v>
      </c>
      <c r="AC157">
        <v>-173.6438</v>
      </c>
      <c r="AD157">
        <v>0</v>
      </c>
      <c r="AE157">
        <v>0</v>
      </c>
      <c r="AF157">
        <v>0</v>
      </c>
      <c r="AG157">
        <v>180</v>
      </c>
      <c r="AI157">
        <v>0.63519999999999999</v>
      </c>
      <c r="AJ157">
        <v>0.98539129999999997</v>
      </c>
      <c r="AK157">
        <v>0.98539129999999997</v>
      </c>
      <c r="AL157">
        <v>4.4000000000000002E-6</v>
      </c>
      <c r="AM157">
        <v>4.4000000000000002E-6</v>
      </c>
      <c r="AN157">
        <v>1.46044E-2</v>
      </c>
      <c r="AO157">
        <v>1.46044E-2</v>
      </c>
      <c r="AP157">
        <v>-105.1341</v>
      </c>
      <c r="AQ157">
        <v>-105.1341</v>
      </c>
      <c r="AR157">
        <v>-157.38409999999999</v>
      </c>
      <c r="AS157">
        <v>-157.38409999999999</v>
      </c>
      <c r="AT157">
        <v>0</v>
      </c>
      <c r="AU157">
        <v>0</v>
      </c>
      <c r="AV157">
        <v>0</v>
      </c>
      <c r="AW157">
        <v>180</v>
      </c>
      <c r="AY157">
        <v>0.63519999999999999</v>
      </c>
      <c r="AZ157">
        <v>4.1088000000000001E-3</v>
      </c>
      <c r="BA157">
        <v>4.1088000000000001E-3</v>
      </c>
      <c r="BB157">
        <v>0.99500730000000004</v>
      </c>
      <c r="BC157">
        <v>0.99500730000000004</v>
      </c>
      <c r="BD157">
        <v>8.8389999999999996E-4</v>
      </c>
      <c r="BE157">
        <v>8.8389999999999996E-4</v>
      </c>
      <c r="BF157">
        <v>-6.8273000000000001</v>
      </c>
      <c r="BG157">
        <v>-6.8273000000000001</v>
      </c>
      <c r="BH157">
        <v>173.0829</v>
      </c>
      <c r="BI157">
        <v>173.0829</v>
      </c>
      <c r="BJ157">
        <v>0</v>
      </c>
      <c r="BK157">
        <v>0</v>
      </c>
      <c r="BL157">
        <v>0</v>
      </c>
      <c r="BM157">
        <v>180</v>
      </c>
      <c r="BP157">
        <v>0.63519999999999999</v>
      </c>
      <c r="BQ157">
        <v>0.90804980000000002</v>
      </c>
      <c r="BR157">
        <v>0.90804980000000002</v>
      </c>
      <c r="BS157">
        <v>0</v>
      </c>
      <c r="BT157">
        <v>0</v>
      </c>
      <c r="BU157">
        <v>9.1950199999999996E-2</v>
      </c>
      <c r="BV157">
        <v>9.1950199999999996E-2</v>
      </c>
      <c r="BW157">
        <v>-42.902299999999997</v>
      </c>
      <c r="BX157">
        <v>-42.902299999999997</v>
      </c>
      <c r="BY157">
        <v>164.10059999999999</v>
      </c>
      <c r="BZ157">
        <v>164.10059999999999</v>
      </c>
      <c r="CA157">
        <v>0</v>
      </c>
      <c r="CB157">
        <v>0</v>
      </c>
      <c r="CC157">
        <v>0</v>
      </c>
      <c r="CD157">
        <v>180</v>
      </c>
    </row>
    <row r="158" spans="19:82">
      <c r="S158">
        <v>0.63654999999999995</v>
      </c>
      <c r="T158">
        <v>0.98598870000000005</v>
      </c>
      <c r="U158">
        <v>0.98598870000000005</v>
      </c>
      <c r="V158">
        <v>3.1E-6</v>
      </c>
      <c r="W158">
        <v>3.1E-6</v>
      </c>
      <c r="X158">
        <v>1.40082E-2</v>
      </c>
      <c r="Y158">
        <v>1.40082E-2</v>
      </c>
      <c r="Z158">
        <v>-114.3198</v>
      </c>
      <c r="AA158">
        <v>-114.3198</v>
      </c>
      <c r="AB158">
        <v>-173.30459999999999</v>
      </c>
      <c r="AC158">
        <v>-173.30459999999999</v>
      </c>
      <c r="AD158">
        <v>0</v>
      </c>
      <c r="AE158">
        <v>0</v>
      </c>
      <c r="AF158">
        <v>0</v>
      </c>
      <c r="AG158">
        <v>180</v>
      </c>
      <c r="AI158">
        <v>0.63654999999999995</v>
      </c>
      <c r="AJ158">
        <v>0.98538760000000003</v>
      </c>
      <c r="AK158">
        <v>0.98538760000000003</v>
      </c>
      <c r="AL158">
        <v>4.3000000000000003E-6</v>
      </c>
      <c r="AM158">
        <v>4.3000000000000003E-6</v>
      </c>
      <c r="AN158">
        <v>1.4608100000000001E-2</v>
      </c>
      <c r="AO158">
        <v>1.4608100000000001E-2</v>
      </c>
      <c r="AP158">
        <v>-104.9126</v>
      </c>
      <c r="AQ158">
        <v>-104.9126</v>
      </c>
      <c r="AR158">
        <v>-157.03139999999999</v>
      </c>
      <c r="AS158">
        <v>-157.03139999999999</v>
      </c>
      <c r="AT158">
        <v>0</v>
      </c>
      <c r="AU158">
        <v>0</v>
      </c>
      <c r="AV158">
        <v>0</v>
      </c>
      <c r="AW158">
        <v>180</v>
      </c>
      <c r="AY158">
        <v>0.63654999999999995</v>
      </c>
      <c r="AZ158">
        <v>4.1241999999999997E-3</v>
      </c>
      <c r="BA158">
        <v>4.1241999999999997E-3</v>
      </c>
      <c r="BB158">
        <v>0.99499769999999998</v>
      </c>
      <c r="BC158">
        <v>0.99499769999999998</v>
      </c>
      <c r="BD158">
        <v>8.7810000000000004E-4</v>
      </c>
      <c r="BE158">
        <v>8.7810000000000004E-4</v>
      </c>
      <c r="BF158">
        <v>-5.9572000000000003</v>
      </c>
      <c r="BG158">
        <v>-5.9572000000000003</v>
      </c>
      <c r="BH158">
        <v>172.67320000000001</v>
      </c>
      <c r="BI158">
        <v>172.67320000000001</v>
      </c>
      <c r="BJ158">
        <v>0</v>
      </c>
      <c r="BK158">
        <v>0</v>
      </c>
      <c r="BL158">
        <v>0</v>
      </c>
      <c r="BM158">
        <v>180</v>
      </c>
      <c r="BP158">
        <v>0.63654999999999995</v>
      </c>
      <c r="BQ158">
        <v>0.90793389999999996</v>
      </c>
      <c r="BR158">
        <v>0.90793389999999996</v>
      </c>
      <c r="BS158">
        <v>0</v>
      </c>
      <c r="BT158">
        <v>0</v>
      </c>
      <c r="BU158">
        <v>9.2066099999999998E-2</v>
      </c>
      <c r="BV158">
        <v>9.2066099999999998E-2</v>
      </c>
      <c r="BW158">
        <v>-43.261099999999999</v>
      </c>
      <c r="BX158">
        <v>-43.261099999999999</v>
      </c>
      <c r="BY158">
        <v>164.1369</v>
      </c>
      <c r="BZ158">
        <v>164.1369</v>
      </c>
      <c r="CA158">
        <v>0</v>
      </c>
      <c r="CB158">
        <v>0</v>
      </c>
      <c r="CC158">
        <v>0</v>
      </c>
      <c r="CD158">
        <v>180</v>
      </c>
    </row>
    <row r="159" spans="19:82">
      <c r="S159">
        <v>0.63790000000000002</v>
      </c>
      <c r="T159">
        <v>0.98601819999999996</v>
      </c>
      <c r="U159">
        <v>0.98601819999999996</v>
      </c>
      <c r="V159">
        <v>3.0000000000000001E-6</v>
      </c>
      <c r="W159">
        <v>3.0000000000000001E-6</v>
      </c>
      <c r="X159">
        <v>1.39787E-2</v>
      </c>
      <c r="Y159">
        <v>1.39787E-2</v>
      </c>
      <c r="Z159">
        <v>-114.1028</v>
      </c>
      <c r="AA159">
        <v>-114.1028</v>
      </c>
      <c r="AB159">
        <v>-172.96639999999999</v>
      </c>
      <c r="AC159">
        <v>-172.96639999999999</v>
      </c>
      <c r="AD159">
        <v>0</v>
      </c>
      <c r="AE159">
        <v>0</v>
      </c>
      <c r="AF159">
        <v>0</v>
      </c>
      <c r="AG159">
        <v>180</v>
      </c>
      <c r="AI159">
        <v>0.63790000000000002</v>
      </c>
      <c r="AJ159">
        <v>0.98538320000000001</v>
      </c>
      <c r="AK159">
        <v>0.98538320000000001</v>
      </c>
      <c r="AL159">
        <v>4.3000000000000003E-6</v>
      </c>
      <c r="AM159">
        <v>4.3000000000000003E-6</v>
      </c>
      <c r="AN159">
        <v>1.46125E-2</v>
      </c>
      <c r="AO159">
        <v>1.46125E-2</v>
      </c>
      <c r="AP159">
        <v>-104.6915</v>
      </c>
      <c r="AQ159">
        <v>-104.6915</v>
      </c>
      <c r="AR159">
        <v>-156.679</v>
      </c>
      <c r="AS159">
        <v>-156.679</v>
      </c>
      <c r="AT159">
        <v>0</v>
      </c>
      <c r="AU159">
        <v>0</v>
      </c>
      <c r="AV159">
        <v>0</v>
      </c>
      <c r="AW159">
        <v>180</v>
      </c>
      <c r="AY159">
        <v>0.63790000000000002</v>
      </c>
      <c r="AZ159">
        <v>4.1358999999999996E-3</v>
      </c>
      <c r="BA159">
        <v>4.1358999999999996E-3</v>
      </c>
      <c r="BB159">
        <v>0.9949924</v>
      </c>
      <c r="BC159">
        <v>0.9949924</v>
      </c>
      <c r="BD159">
        <v>8.7180000000000005E-4</v>
      </c>
      <c r="BE159">
        <v>8.7180000000000005E-4</v>
      </c>
      <c r="BF159">
        <v>-5.1151999999999997</v>
      </c>
      <c r="BG159">
        <v>-5.1151999999999997</v>
      </c>
      <c r="BH159">
        <v>172.25700000000001</v>
      </c>
      <c r="BI159">
        <v>172.25700000000001</v>
      </c>
      <c r="BJ159">
        <v>0</v>
      </c>
      <c r="BK159">
        <v>0</v>
      </c>
      <c r="BL159">
        <v>0</v>
      </c>
      <c r="BM159">
        <v>180</v>
      </c>
      <c r="BP159">
        <v>0.63790000000000002</v>
      </c>
      <c r="BQ159">
        <v>0.90781990000000001</v>
      </c>
      <c r="BR159">
        <v>0.90781990000000001</v>
      </c>
      <c r="BS159">
        <v>0</v>
      </c>
      <c r="BT159">
        <v>0</v>
      </c>
      <c r="BU159">
        <v>9.2180100000000001E-2</v>
      </c>
      <c r="BV159">
        <v>9.2180100000000001E-2</v>
      </c>
      <c r="BW159">
        <v>-43.618499999999997</v>
      </c>
      <c r="BX159">
        <v>-43.618499999999997</v>
      </c>
      <c r="BY159">
        <v>164.173</v>
      </c>
      <c r="BZ159">
        <v>164.173</v>
      </c>
      <c r="CA159">
        <v>0</v>
      </c>
      <c r="CB159">
        <v>0</v>
      </c>
      <c r="CC159">
        <v>0</v>
      </c>
      <c r="CD159">
        <v>180</v>
      </c>
    </row>
    <row r="160" spans="19:82">
      <c r="S160">
        <v>0.63924999999999998</v>
      </c>
      <c r="T160">
        <v>0.98604689999999995</v>
      </c>
      <c r="U160">
        <v>0.98604689999999995</v>
      </c>
      <c r="V160">
        <v>3.0000000000000001E-6</v>
      </c>
      <c r="W160">
        <v>3.0000000000000001E-6</v>
      </c>
      <c r="X160">
        <v>1.39501E-2</v>
      </c>
      <c r="Y160">
        <v>1.39501E-2</v>
      </c>
      <c r="Z160">
        <v>-113.8865</v>
      </c>
      <c r="AA160">
        <v>-113.8865</v>
      </c>
      <c r="AB160">
        <v>-172.6293</v>
      </c>
      <c r="AC160">
        <v>-172.6293</v>
      </c>
      <c r="AD160">
        <v>0</v>
      </c>
      <c r="AE160">
        <v>0</v>
      </c>
      <c r="AF160">
        <v>0</v>
      </c>
      <c r="AG160">
        <v>180</v>
      </c>
      <c r="AI160">
        <v>0.63924999999999998</v>
      </c>
      <c r="AJ160">
        <v>0.98537810000000003</v>
      </c>
      <c r="AK160">
        <v>0.98537810000000003</v>
      </c>
      <c r="AL160">
        <v>4.1999999999999996E-6</v>
      </c>
      <c r="AM160">
        <v>4.1999999999999996E-6</v>
      </c>
      <c r="AN160">
        <v>1.4617700000000001E-2</v>
      </c>
      <c r="AO160">
        <v>1.4617700000000001E-2</v>
      </c>
      <c r="AP160">
        <v>-104.4708</v>
      </c>
      <c r="AQ160">
        <v>-104.4708</v>
      </c>
      <c r="AR160">
        <v>-156.327</v>
      </c>
      <c r="AS160">
        <v>-156.327</v>
      </c>
      <c r="AT160">
        <v>0</v>
      </c>
      <c r="AU160">
        <v>0</v>
      </c>
      <c r="AV160">
        <v>0</v>
      </c>
      <c r="AW160">
        <v>180</v>
      </c>
      <c r="AY160">
        <v>0.63924999999999998</v>
      </c>
      <c r="AZ160">
        <v>4.1465E-3</v>
      </c>
      <c r="BA160">
        <v>4.1465E-3</v>
      </c>
      <c r="BB160">
        <v>0.99498830000000005</v>
      </c>
      <c r="BC160">
        <v>0.99498830000000005</v>
      </c>
      <c r="BD160">
        <v>8.652E-4</v>
      </c>
      <c r="BE160">
        <v>8.652E-4</v>
      </c>
      <c r="BF160">
        <v>-4.2889999999999997</v>
      </c>
      <c r="BG160">
        <v>-4.2889999999999997</v>
      </c>
      <c r="BH160">
        <v>171.8399</v>
      </c>
      <c r="BI160">
        <v>171.8399</v>
      </c>
      <c r="BJ160">
        <v>0</v>
      </c>
      <c r="BK160">
        <v>0</v>
      </c>
      <c r="BL160">
        <v>0</v>
      </c>
      <c r="BM160">
        <v>180</v>
      </c>
      <c r="BP160">
        <v>0.63924999999999998</v>
      </c>
      <c r="BQ160">
        <v>0.90770790000000001</v>
      </c>
      <c r="BR160">
        <v>0.90770790000000001</v>
      </c>
      <c r="BS160">
        <v>0</v>
      </c>
      <c r="BT160">
        <v>0</v>
      </c>
      <c r="BU160">
        <v>9.2292100000000002E-2</v>
      </c>
      <c r="BV160">
        <v>9.2292100000000002E-2</v>
      </c>
      <c r="BW160">
        <v>-43.974299999999999</v>
      </c>
      <c r="BX160">
        <v>-43.974299999999999</v>
      </c>
      <c r="BY160">
        <v>164.209</v>
      </c>
      <c r="BZ160">
        <v>164.209</v>
      </c>
      <c r="CA160">
        <v>0</v>
      </c>
      <c r="CB160">
        <v>0</v>
      </c>
      <c r="CC160">
        <v>0</v>
      </c>
      <c r="CD160">
        <v>180</v>
      </c>
    </row>
    <row r="161" spans="19:82">
      <c r="S161">
        <v>0.64059999999999995</v>
      </c>
      <c r="T161">
        <v>0.98607460000000002</v>
      </c>
      <c r="U161">
        <v>0.98607460000000002</v>
      </c>
      <c r="V161">
        <v>3.0000000000000001E-6</v>
      </c>
      <c r="W161">
        <v>3.0000000000000001E-6</v>
      </c>
      <c r="X161">
        <v>1.3922500000000001E-2</v>
      </c>
      <c r="Y161">
        <v>1.3922500000000001E-2</v>
      </c>
      <c r="Z161">
        <v>-113.67100000000001</v>
      </c>
      <c r="AA161">
        <v>-113.67100000000001</v>
      </c>
      <c r="AB161">
        <v>-172.29329999999999</v>
      </c>
      <c r="AC161">
        <v>-172.29329999999999</v>
      </c>
      <c r="AD161">
        <v>0</v>
      </c>
      <c r="AE161">
        <v>0</v>
      </c>
      <c r="AF161">
        <v>0</v>
      </c>
      <c r="AG161">
        <v>180</v>
      </c>
      <c r="AI161">
        <v>0.64059999999999995</v>
      </c>
      <c r="AJ161">
        <v>0.98537229999999998</v>
      </c>
      <c r="AK161">
        <v>0.98537229999999998</v>
      </c>
      <c r="AL161">
        <v>4.1999999999999996E-6</v>
      </c>
      <c r="AM161">
        <v>4.1999999999999996E-6</v>
      </c>
      <c r="AN161">
        <v>1.46236E-2</v>
      </c>
      <c r="AO161">
        <v>1.46236E-2</v>
      </c>
      <c r="AP161">
        <v>-104.2505</v>
      </c>
      <c r="AQ161">
        <v>-104.2505</v>
      </c>
      <c r="AR161">
        <v>-155.9753</v>
      </c>
      <c r="AS161">
        <v>-155.9753</v>
      </c>
      <c r="AT161">
        <v>0</v>
      </c>
      <c r="AU161">
        <v>0</v>
      </c>
      <c r="AV161">
        <v>0</v>
      </c>
      <c r="AW161">
        <v>180</v>
      </c>
      <c r="AY161">
        <v>0.64059999999999995</v>
      </c>
      <c r="AZ161">
        <v>4.1589000000000001E-3</v>
      </c>
      <c r="BA161">
        <v>4.1589000000000001E-3</v>
      </c>
      <c r="BB161">
        <v>0.99498240000000004</v>
      </c>
      <c r="BC161">
        <v>0.99498240000000004</v>
      </c>
      <c r="BD161">
        <v>8.587E-4</v>
      </c>
      <c r="BE161">
        <v>8.587E-4</v>
      </c>
      <c r="BF161">
        <v>-3.4664000000000001</v>
      </c>
      <c r="BG161">
        <v>-3.4664000000000001</v>
      </c>
      <c r="BH161">
        <v>171.4299</v>
      </c>
      <c r="BI161">
        <v>171.4299</v>
      </c>
      <c r="BJ161">
        <v>0</v>
      </c>
      <c r="BK161">
        <v>0</v>
      </c>
      <c r="BL161">
        <v>0</v>
      </c>
      <c r="BM161">
        <v>180</v>
      </c>
      <c r="BP161">
        <v>0.64059999999999995</v>
      </c>
      <c r="BQ161">
        <v>0.9075976</v>
      </c>
      <c r="BR161">
        <v>0.9075976</v>
      </c>
      <c r="BS161">
        <v>0</v>
      </c>
      <c r="BT161">
        <v>0</v>
      </c>
      <c r="BU161">
        <v>9.2402300000000007E-2</v>
      </c>
      <c r="BV161">
        <v>9.2402300000000007E-2</v>
      </c>
      <c r="BW161">
        <v>-44.328699999999998</v>
      </c>
      <c r="BX161">
        <v>-44.328699999999998</v>
      </c>
      <c r="BY161">
        <v>164.2449</v>
      </c>
      <c r="BZ161">
        <v>164.2449</v>
      </c>
      <c r="CA161">
        <v>0</v>
      </c>
      <c r="CB161">
        <v>0</v>
      </c>
      <c r="CC161">
        <v>0</v>
      </c>
      <c r="CD161">
        <v>180</v>
      </c>
    </row>
    <row r="162" spans="19:82">
      <c r="S162">
        <v>0.64195000000000002</v>
      </c>
      <c r="T162">
        <v>0.98610140000000002</v>
      </c>
      <c r="U162">
        <v>0.98610140000000002</v>
      </c>
      <c r="V162">
        <v>2.9000000000000002E-6</v>
      </c>
      <c r="W162">
        <v>2.9000000000000002E-6</v>
      </c>
      <c r="X162">
        <v>1.38957E-2</v>
      </c>
      <c r="Y162">
        <v>1.38957E-2</v>
      </c>
      <c r="Z162">
        <v>-113.4563</v>
      </c>
      <c r="AA162">
        <v>-113.4563</v>
      </c>
      <c r="AB162">
        <v>-171.95820000000001</v>
      </c>
      <c r="AC162">
        <v>-171.95820000000001</v>
      </c>
      <c r="AD162">
        <v>0</v>
      </c>
      <c r="AE162">
        <v>0</v>
      </c>
      <c r="AF162">
        <v>0</v>
      </c>
      <c r="AG162">
        <v>180</v>
      </c>
      <c r="AI162">
        <v>0.64195000000000002</v>
      </c>
      <c r="AJ162">
        <v>0.98536570000000001</v>
      </c>
      <c r="AK162">
        <v>0.98536570000000001</v>
      </c>
      <c r="AL162">
        <v>4.0999999999999997E-6</v>
      </c>
      <c r="AM162">
        <v>4.0999999999999997E-6</v>
      </c>
      <c r="AN162">
        <v>1.4630199999999999E-2</v>
      </c>
      <c r="AO162">
        <v>1.4630199999999999E-2</v>
      </c>
      <c r="AP162">
        <v>-104.0307</v>
      </c>
      <c r="AQ162">
        <v>-104.0307</v>
      </c>
      <c r="AR162">
        <v>-155.62389999999999</v>
      </c>
      <c r="AS162">
        <v>-155.62389999999999</v>
      </c>
      <c r="AT162">
        <v>0</v>
      </c>
      <c r="AU162">
        <v>0</v>
      </c>
      <c r="AV162">
        <v>0</v>
      </c>
      <c r="AW162">
        <v>180</v>
      </c>
      <c r="AY162">
        <v>0.64195000000000002</v>
      </c>
      <c r="AZ162">
        <v>4.1730999999999999E-3</v>
      </c>
      <c r="BA162">
        <v>4.1730999999999999E-3</v>
      </c>
      <c r="BB162">
        <v>0.99497480000000005</v>
      </c>
      <c r="BC162">
        <v>0.99497480000000005</v>
      </c>
      <c r="BD162">
        <v>8.5220000000000001E-4</v>
      </c>
      <c r="BE162">
        <v>8.5220000000000001E-4</v>
      </c>
      <c r="BF162">
        <v>-2.6471</v>
      </c>
      <c r="BG162">
        <v>-2.6471</v>
      </c>
      <c r="BH162">
        <v>171.02760000000001</v>
      </c>
      <c r="BI162">
        <v>171.02760000000001</v>
      </c>
      <c r="BJ162">
        <v>0</v>
      </c>
      <c r="BK162">
        <v>0</v>
      </c>
      <c r="BL162">
        <v>0</v>
      </c>
      <c r="BM162">
        <v>180</v>
      </c>
      <c r="BP162">
        <v>0.64195000000000002</v>
      </c>
      <c r="BQ162">
        <v>0.90748930000000005</v>
      </c>
      <c r="BR162">
        <v>0.90748930000000005</v>
      </c>
      <c r="BS162">
        <v>0</v>
      </c>
      <c r="BT162">
        <v>0</v>
      </c>
      <c r="BU162">
        <v>9.2510700000000001E-2</v>
      </c>
      <c r="BV162">
        <v>9.2510700000000001E-2</v>
      </c>
      <c r="BW162">
        <v>-44.681600000000003</v>
      </c>
      <c r="BX162">
        <v>-44.681600000000003</v>
      </c>
      <c r="BY162">
        <v>164.28059999999999</v>
      </c>
      <c r="BZ162">
        <v>164.28059999999999</v>
      </c>
      <c r="CA162">
        <v>0</v>
      </c>
      <c r="CB162">
        <v>0</v>
      </c>
      <c r="CC162">
        <v>0</v>
      </c>
      <c r="CD162">
        <v>180</v>
      </c>
    </row>
    <row r="163" spans="19:82">
      <c r="S163">
        <v>0.64329999999999998</v>
      </c>
      <c r="T163">
        <v>0.98612730000000004</v>
      </c>
      <c r="U163">
        <v>0.98612730000000004</v>
      </c>
      <c r="V163">
        <v>2.9000000000000002E-6</v>
      </c>
      <c r="W163">
        <v>2.9000000000000002E-6</v>
      </c>
      <c r="X163">
        <v>1.38698E-2</v>
      </c>
      <c r="Y163">
        <v>1.38698E-2</v>
      </c>
      <c r="Z163">
        <v>-113.2423</v>
      </c>
      <c r="AA163">
        <v>-113.2423</v>
      </c>
      <c r="AB163">
        <v>-171.6241</v>
      </c>
      <c r="AC163">
        <v>-171.6241</v>
      </c>
      <c r="AD163">
        <v>0</v>
      </c>
      <c r="AE163">
        <v>0</v>
      </c>
      <c r="AF163">
        <v>0</v>
      </c>
      <c r="AG163">
        <v>180</v>
      </c>
      <c r="AI163">
        <v>0.64329999999999998</v>
      </c>
      <c r="AJ163">
        <v>0.98535850000000003</v>
      </c>
      <c r="AK163">
        <v>0.98535850000000003</v>
      </c>
      <c r="AL163">
        <v>4.0999999999999997E-6</v>
      </c>
      <c r="AM163">
        <v>4.0999999999999997E-6</v>
      </c>
      <c r="AN163">
        <v>1.46374E-2</v>
      </c>
      <c r="AO163">
        <v>1.46374E-2</v>
      </c>
      <c r="AP163">
        <v>-103.8113</v>
      </c>
      <c r="AQ163">
        <v>-103.8113</v>
      </c>
      <c r="AR163">
        <v>-155.27289999999999</v>
      </c>
      <c r="AS163">
        <v>-155.27289999999999</v>
      </c>
      <c r="AT163">
        <v>0</v>
      </c>
      <c r="AU163">
        <v>0</v>
      </c>
      <c r="AV163">
        <v>0</v>
      </c>
      <c r="AW163">
        <v>180</v>
      </c>
      <c r="AY163">
        <v>0.64329999999999998</v>
      </c>
      <c r="AZ163">
        <v>4.189E-3</v>
      </c>
      <c r="BA163">
        <v>4.189E-3</v>
      </c>
      <c r="BB163">
        <v>0.99496530000000005</v>
      </c>
      <c r="BC163">
        <v>0.99496530000000005</v>
      </c>
      <c r="BD163">
        <v>8.4570000000000001E-4</v>
      </c>
      <c r="BE163">
        <v>8.4570000000000001E-4</v>
      </c>
      <c r="BF163">
        <v>-1.8313999999999999</v>
      </c>
      <c r="BG163">
        <v>-1.8313999999999999</v>
      </c>
      <c r="BH163">
        <v>170.6336</v>
      </c>
      <c r="BI163">
        <v>170.6336</v>
      </c>
      <c r="BJ163">
        <v>0</v>
      </c>
      <c r="BK163">
        <v>0</v>
      </c>
      <c r="BL163">
        <v>0</v>
      </c>
      <c r="BM163">
        <v>180</v>
      </c>
      <c r="BP163">
        <v>0.64329999999999998</v>
      </c>
      <c r="BQ163">
        <v>0.90738269999999999</v>
      </c>
      <c r="BR163">
        <v>0.90738269999999999</v>
      </c>
      <c r="BS163">
        <v>0</v>
      </c>
      <c r="BT163">
        <v>0</v>
      </c>
      <c r="BU163">
        <v>9.26173E-2</v>
      </c>
      <c r="BV163">
        <v>9.26173E-2</v>
      </c>
      <c r="BW163">
        <v>-45.032899999999998</v>
      </c>
      <c r="BX163">
        <v>-45.032899999999998</v>
      </c>
      <c r="BY163">
        <v>164.31610000000001</v>
      </c>
      <c r="BZ163">
        <v>164.31610000000001</v>
      </c>
      <c r="CA163">
        <v>0</v>
      </c>
      <c r="CB163">
        <v>0</v>
      </c>
      <c r="CC163">
        <v>0</v>
      </c>
      <c r="CD163">
        <v>180</v>
      </c>
    </row>
    <row r="164" spans="19:82">
      <c r="S164">
        <v>0.64464999999999995</v>
      </c>
      <c r="T164">
        <v>0.98615240000000004</v>
      </c>
      <c r="U164">
        <v>0.98615240000000004</v>
      </c>
      <c r="V164">
        <v>2.9000000000000002E-6</v>
      </c>
      <c r="W164">
        <v>2.9000000000000002E-6</v>
      </c>
      <c r="X164">
        <v>1.3844800000000001E-2</v>
      </c>
      <c r="Y164">
        <v>1.3844800000000001E-2</v>
      </c>
      <c r="Z164">
        <v>-113.0292</v>
      </c>
      <c r="AA164">
        <v>-113.0292</v>
      </c>
      <c r="AB164">
        <v>-171.291</v>
      </c>
      <c r="AC164">
        <v>-171.291</v>
      </c>
      <c r="AD164">
        <v>0</v>
      </c>
      <c r="AE164">
        <v>0</v>
      </c>
      <c r="AF164">
        <v>0</v>
      </c>
      <c r="AG164">
        <v>180</v>
      </c>
      <c r="AI164">
        <v>0.64464999999999995</v>
      </c>
      <c r="AJ164">
        <v>0.98535059999999997</v>
      </c>
      <c r="AK164">
        <v>0.98535059999999997</v>
      </c>
      <c r="AL164">
        <v>3.9999999999999998E-6</v>
      </c>
      <c r="AM164">
        <v>3.9999999999999998E-6</v>
      </c>
      <c r="AN164">
        <v>1.4645399999999999E-2</v>
      </c>
      <c r="AO164">
        <v>1.4645399999999999E-2</v>
      </c>
      <c r="AP164">
        <v>-103.5924</v>
      </c>
      <c r="AQ164">
        <v>-103.5924</v>
      </c>
      <c r="AR164">
        <v>-154.92230000000001</v>
      </c>
      <c r="AS164">
        <v>-154.92230000000001</v>
      </c>
      <c r="AT164">
        <v>0</v>
      </c>
      <c r="AU164">
        <v>0</v>
      </c>
      <c r="AV164">
        <v>0</v>
      </c>
      <c r="AW164">
        <v>180</v>
      </c>
      <c r="AY164">
        <v>0.64464999999999995</v>
      </c>
      <c r="AZ164">
        <v>4.2065000000000002E-3</v>
      </c>
      <c r="BA164">
        <v>4.2065000000000002E-3</v>
      </c>
      <c r="BB164">
        <v>0.99495429999999996</v>
      </c>
      <c r="BC164">
        <v>0.99495429999999996</v>
      </c>
      <c r="BD164">
        <v>8.3920000000000002E-4</v>
      </c>
      <c r="BE164">
        <v>8.3920000000000002E-4</v>
      </c>
      <c r="BF164">
        <v>-1.0190999999999999</v>
      </c>
      <c r="BG164">
        <v>-1.0190999999999999</v>
      </c>
      <c r="BH164">
        <v>170.2483</v>
      </c>
      <c r="BI164">
        <v>170.2483</v>
      </c>
      <c r="BJ164">
        <v>0</v>
      </c>
      <c r="BK164">
        <v>0</v>
      </c>
      <c r="BL164">
        <v>0</v>
      </c>
      <c r="BM164">
        <v>180</v>
      </c>
      <c r="BP164">
        <v>0.64464999999999995</v>
      </c>
      <c r="BQ164">
        <v>0.90727800000000003</v>
      </c>
      <c r="BR164">
        <v>0.90727800000000003</v>
      </c>
      <c r="BS164">
        <v>0</v>
      </c>
      <c r="BT164">
        <v>0</v>
      </c>
      <c r="BU164">
        <v>9.2721999999999999E-2</v>
      </c>
      <c r="BV164">
        <v>9.2721999999999999E-2</v>
      </c>
      <c r="BW164">
        <v>-45.382899999999999</v>
      </c>
      <c r="BX164">
        <v>-45.382899999999999</v>
      </c>
      <c r="BY164">
        <v>164.35149999999999</v>
      </c>
      <c r="BZ164">
        <v>164.35149999999999</v>
      </c>
      <c r="CA164">
        <v>0</v>
      </c>
      <c r="CB164">
        <v>0</v>
      </c>
      <c r="CC164">
        <v>0</v>
      </c>
      <c r="CD164">
        <v>180</v>
      </c>
    </row>
    <row r="165" spans="19:82">
      <c r="S165">
        <v>0.64600000000000002</v>
      </c>
      <c r="T165">
        <v>0.98617650000000001</v>
      </c>
      <c r="U165">
        <v>0.98617650000000001</v>
      </c>
      <c r="V165">
        <v>2.7999999999999999E-6</v>
      </c>
      <c r="W165">
        <v>2.7999999999999999E-6</v>
      </c>
      <c r="X165">
        <v>1.3820600000000001E-2</v>
      </c>
      <c r="Y165">
        <v>1.3820600000000001E-2</v>
      </c>
      <c r="Z165">
        <v>-112.8167</v>
      </c>
      <c r="AA165">
        <v>-112.8167</v>
      </c>
      <c r="AB165">
        <v>-170.9588</v>
      </c>
      <c r="AC165">
        <v>-170.9588</v>
      </c>
      <c r="AD165">
        <v>0</v>
      </c>
      <c r="AE165">
        <v>0</v>
      </c>
      <c r="AF165">
        <v>0</v>
      </c>
      <c r="AG165">
        <v>180</v>
      </c>
      <c r="AI165">
        <v>0.64600000000000002</v>
      </c>
      <c r="AJ165">
        <v>0.98534189999999999</v>
      </c>
      <c r="AK165">
        <v>0.98534189999999999</v>
      </c>
      <c r="AL165">
        <v>3.9999999999999998E-6</v>
      </c>
      <c r="AM165">
        <v>3.9999999999999998E-6</v>
      </c>
      <c r="AN165">
        <v>1.46541E-2</v>
      </c>
      <c r="AO165">
        <v>1.46541E-2</v>
      </c>
      <c r="AP165">
        <v>-103.37390000000001</v>
      </c>
      <c r="AQ165">
        <v>-103.37390000000001</v>
      </c>
      <c r="AR165">
        <v>-154.572</v>
      </c>
      <c r="AS165">
        <v>-154.572</v>
      </c>
      <c r="AT165">
        <v>0</v>
      </c>
      <c r="AU165">
        <v>0</v>
      </c>
      <c r="AV165">
        <v>0</v>
      </c>
      <c r="AW165">
        <v>180</v>
      </c>
      <c r="AY165">
        <v>0.64600000000000002</v>
      </c>
      <c r="AZ165">
        <v>4.2256000000000004E-3</v>
      </c>
      <c r="BA165">
        <v>4.2256000000000004E-3</v>
      </c>
      <c r="BB165">
        <v>0.99494150000000003</v>
      </c>
      <c r="BC165">
        <v>0.99494150000000003</v>
      </c>
      <c r="BD165">
        <v>8.3279999999999997E-4</v>
      </c>
      <c r="BE165">
        <v>8.3279999999999997E-4</v>
      </c>
      <c r="BF165">
        <v>-0.2102</v>
      </c>
      <c r="BG165">
        <v>-0.2102</v>
      </c>
      <c r="BH165">
        <v>169.8723</v>
      </c>
      <c r="BI165">
        <v>169.8723</v>
      </c>
      <c r="BJ165">
        <v>0</v>
      </c>
      <c r="BK165">
        <v>0</v>
      </c>
      <c r="BL165">
        <v>0</v>
      </c>
      <c r="BM165">
        <v>180</v>
      </c>
      <c r="BP165">
        <v>0.64600000000000002</v>
      </c>
      <c r="BQ165">
        <v>0.90717510000000001</v>
      </c>
      <c r="BR165">
        <v>0.90717510000000001</v>
      </c>
      <c r="BS165">
        <v>0</v>
      </c>
      <c r="BT165">
        <v>0</v>
      </c>
      <c r="BU165">
        <v>9.2824900000000002E-2</v>
      </c>
      <c r="BV165">
        <v>9.2824900000000002E-2</v>
      </c>
      <c r="BW165">
        <v>-45.731400000000001</v>
      </c>
      <c r="BX165">
        <v>-45.731400000000001</v>
      </c>
      <c r="BY165">
        <v>164.38679999999999</v>
      </c>
      <c r="BZ165">
        <v>164.38679999999999</v>
      </c>
      <c r="CA165">
        <v>0</v>
      </c>
      <c r="CB165">
        <v>0</v>
      </c>
      <c r="CC165">
        <v>0</v>
      </c>
      <c r="CD165">
        <v>180</v>
      </c>
    </row>
    <row r="166" spans="19:82">
      <c r="S166">
        <v>0.64734999999999998</v>
      </c>
      <c r="T166">
        <v>0.98619990000000002</v>
      </c>
      <c r="U166">
        <v>0.98619990000000002</v>
      </c>
      <c r="V166">
        <v>2.7999999999999999E-6</v>
      </c>
      <c r="W166">
        <v>2.7999999999999999E-6</v>
      </c>
      <c r="X166">
        <v>1.37973E-2</v>
      </c>
      <c r="Y166">
        <v>1.37973E-2</v>
      </c>
      <c r="Z166">
        <v>-112.605</v>
      </c>
      <c r="AA166">
        <v>-112.605</v>
      </c>
      <c r="AB166">
        <v>-170.6276</v>
      </c>
      <c r="AC166">
        <v>-170.6276</v>
      </c>
      <c r="AD166">
        <v>0</v>
      </c>
      <c r="AE166">
        <v>0</v>
      </c>
      <c r="AF166">
        <v>0</v>
      </c>
      <c r="AG166">
        <v>180</v>
      </c>
      <c r="AI166">
        <v>0.64734999999999998</v>
      </c>
      <c r="AJ166">
        <v>0.9853326</v>
      </c>
      <c r="AK166">
        <v>0.9853326</v>
      </c>
      <c r="AL166">
        <v>3.8999999999999999E-6</v>
      </c>
      <c r="AM166">
        <v>3.8999999999999999E-6</v>
      </c>
      <c r="AN166">
        <v>1.46634E-2</v>
      </c>
      <c r="AO166">
        <v>1.46634E-2</v>
      </c>
      <c r="AP166">
        <v>-103.1558</v>
      </c>
      <c r="AQ166">
        <v>-103.1558</v>
      </c>
      <c r="AR166">
        <v>-154.22210000000001</v>
      </c>
      <c r="AS166">
        <v>-154.22210000000001</v>
      </c>
      <c r="AT166">
        <v>0</v>
      </c>
      <c r="AU166">
        <v>0</v>
      </c>
      <c r="AV166">
        <v>0</v>
      </c>
      <c r="AW166">
        <v>180</v>
      </c>
      <c r="AY166">
        <v>0.64734999999999998</v>
      </c>
      <c r="AZ166">
        <v>4.2462999999999997E-3</v>
      </c>
      <c r="BA166">
        <v>4.2462999999999997E-3</v>
      </c>
      <c r="BB166">
        <v>0.99492729999999996</v>
      </c>
      <c r="BC166">
        <v>0.99492729999999996</v>
      </c>
      <c r="BD166">
        <v>8.2640000000000003E-4</v>
      </c>
      <c r="BE166">
        <v>8.2640000000000003E-4</v>
      </c>
      <c r="BF166">
        <v>0.59530000000000005</v>
      </c>
      <c r="BG166">
        <v>0.59530000000000005</v>
      </c>
      <c r="BH166">
        <v>169.5059</v>
      </c>
      <c r="BI166">
        <v>169.5059</v>
      </c>
      <c r="BJ166">
        <v>0</v>
      </c>
      <c r="BK166">
        <v>0</v>
      </c>
      <c r="BL166">
        <v>0</v>
      </c>
      <c r="BM166">
        <v>180</v>
      </c>
      <c r="BP166">
        <v>0.64734999999999998</v>
      </c>
      <c r="BQ166">
        <v>0.90707389999999999</v>
      </c>
      <c r="BR166">
        <v>0.90707389999999999</v>
      </c>
      <c r="BS166">
        <v>0</v>
      </c>
      <c r="BT166">
        <v>0</v>
      </c>
      <c r="BU166">
        <v>9.2926099999999998E-2</v>
      </c>
      <c r="BV166">
        <v>9.2926099999999998E-2</v>
      </c>
      <c r="BW166">
        <v>-46.078400000000002</v>
      </c>
      <c r="BX166">
        <v>-46.078400000000002</v>
      </c>
      <c r="BY166">
        <v>164.42189999999999</v>
      </c>
      <c r="BZ166">
        <v>164.42189999999999</v>
      </c>
      <c r="CA166">
        <v>0</v>
      </c>
      <c r="CB166">
        <v>0</v>
      </c>
      <c r="CC166">
        <v>0</v>
      </c>
      <c r="CD166">
        <v>180</v>
      </c>
    </row>
    <row r="167" spans="19:82">
      <c r="S167">
        <v>0.64870000000000005</v>
      </c>
      <c r="T167">
        <v>0.98622240000000005</v>
      </c>
      <c r="U167">
        <v>0.98622240000000005</v>
      </c>
      <c r="V167">
        <v>2.7E-6</v>
      </c>
      <c r="W167">
        <v>2.7E-6</v>
      </c>
      <c r="X167">
        <v>1.37748E-2</v>
      </c>
      <c r="Y167">
        <v>1.37748E-2</v>
      </c>
      <c r="Z167">
        <v>-112.39400000000001</v>
      </c>
      <c r="AA167">
        <v>-112.39400000000001</v>
      </c>
      <c r="AB167">
        <v>-170.2972</v>
      </c>
      <c r="AC167">
        <v>-170.2972</v>
      </c>
      <c r="AD167">
        <v>0</v>
      </c>
      <c r="AE167">
        <v>0</v>
      </c>
      <c r="AF167">
        <v>0</v>
      </c>
      <c r="AG167">
        <v>180</v>
      </c>
      <c r="AI167">
        <v>0.64870000000000005</v>
      </c>
      <c r="AJ167">
        <v>0.9853227</v>
      </c>
      <c r="AK167">
        <v>0.9853227</v>
      </c>
      <c r="AL167">
        <v>3.8999999999999999E-6</v>
      </c>
      <c r="AM167">
        <v>3.8999999999999999E-6</v>
      </c>
      <c r="AN167">
        <v>1.46734E-2</v>
      </c>
      <c r="AO167">
        <v>1.46734E-2</v>
      </c>
      <c r="AP167">
        <v>-102.93810000000001</v>
      </c>
      <c r="AQ167">
        <v>-102.93810000000001</v>
      </c>
      <c r="AR167">
        <v>-153.8724</v>
      </c>
      <c r="AS167">
        <v>-153.8724</v>
      </c>
      <c r="AT167">
        <v>0</v>
      </c>
      <c r="AU167">
        <v>0</v>
      </c>
      <c r="AV167">
        <v>0</v>
      </c>
      <c r="AW167">
        <v>180</v>
      </c>
      <c r="AY167">
        <v>0.64870000000000005</v>
      </c>
      <c r="AZ167">
        <v>4.2684000000000003E-3</v>
      </c>
      <c r="BA167">
        <v>4.2684000000000003E-3</v>
      </c>
      <c r="BB167">
        <v>0.99491149999999995</v>
      </c>
      <c r="BC167">
        <v>0.99491149999999995</v>
      </c>
      <c r="BD167">
        <v>8.2010000000000004E-4</v>
      </c>
      <c r="BE167">
        <v>8.2010000000000004E-4</v>
      </c>
      <c r="BF167">
        <v>1.3973</v>
      </c>
      <c r="BG167">
        <v>1.3973</v>
      </c>
      <c r="BH167">
        <v>169.14959999999999</v>
      </c>
      <c r="BI167">
        <v>169.14959999999999</v>
      </c>
      <c r="BJ167">
        <v>0</v>
      </c>
      <c r="BK167">
        <v>0</v>
      </c>
      <c r="BL167">
        <v>0</v>
      </c>
      <c r="BM167">
        <v>180</v>
      </c>
      <c r="BP167">
        <v>0.64870000000000005</v>
      </c>
      <c r="BQ167">
        <v>0.90697439999999996</v>
      </c>
      <c r="BR167">
        <v>0.90697439999999996</v>
      </c>
      <c r="BS167">
        <v>0</v>
      </c>
      <c r="BT167">
        <v>0</v>
      </c>
      <c r="BU167">
        <v>9.30256E-2</v>
      </c>
      <c r="BV167">
        <v>9.30256E-2</v>
      </c>
      <c r="BW167">
        <v>-46.424100000000003</v>
      </c>
      <c r="BX167">
        <v>-46.424100000000003</v>
      </c>
      <c r="BY167">
        <v>164.45679999999999</v>
      </c>
      <c r="BZ167">
        <v>164.45679999999999</v>
      </c>
      <c r="CA167">
        <v>0</v>
      </c>
      <c r="CB167">
        <v>0</v>
      </c>
      <c r="CC167">
        <v>0</v>
      </c>
      <c r="CD167">
        <v>180</v>
      </c>
    </row>
    <row r="168" spans="19:82">
      <c r="S168">
        <v>0.65005000000000002</v>
      </c>
      <c r="T168">
        <v>0.98624449999999997</v>
      </c>
      <c r="U168">
        <v>0.98624449999999997</v>
      </c>
      <c r="V168">
        <v>2.7E-6</v>
      </c>
      <c r="W168">
        <v>2.7E-6</v>
      </c>
      <c r="X168">
        <v>1.3752800000000001E-2</v>
      </c>
      <c r="Y168">
        <v>1.3752800000000001E-2</v>
      </c>
      <c r="Z168">
        <v>-112.1835</v>
      </c>
      <c r="AA168">
        <v>-112.1835</v>
      </c>
      <c r="AB168">
        <v>-169.96789999999999</v>
      </c>
      <c r="AC168">
        <v>-169.96789999999999</v>
      </c>
      <c r="AD168">
        <v>0</v>
      </c>
      <c r="AE168">
        <v>0</v>
      </c>
      <c r="AF168">
        <v>0</v>
      </c>
      <c r="AG168">
        <v>180</v>
      </c>
      <c r="AI168">
        <v>0.65005000000000002</v>
      </c>
      <c r="AJ168">
        <v>0.98531259999999998</v>
      </c>
      <c r="AK168">
        <v>0.98531259999999998</v>
      </c>
      <c r="AL168">
        <v>3.8E-6</v>
      </c>
      <c r="AM168">
        <v>3.8E-6</v>
      </c>
      <c r="AN168">
        <v>1.46836E-2</v>
      </c>
      <c r="AO168">
        <v>1.46836E-2</v>
      </c>
      <c r="AP168">
        <v>-102.7205</v>
      </c>
      <c r="AQ168">
        <v>-102.7205</v>
      </c>
      <c r="AR168">
        <v>-153.523</v>
      </c>
      <c r="AS168">
        <v>-153.523</v>
      </c>
      <c r="AT168">
        <v>0</v>
      </c>
      <c r="AU168">
        <v>0</v>
      </c>
      <c r="AV168">
        <v>0</v>
      </c>
      <c r="AW168">
        <v>180</v>
      </c>
      <c r="AY168">
        <v>0.65005000000000002</v>
      </c>
      <c r="AZ168">
        <v>4.2919000000000004E-3</v>
      </c>
      <c r="BA168">
        <v>4.2919000000000004E-3</v>
      </c>
      <c r="BB168">
        <v>0.99489430000000001</v>
      </c>
      <c r="BC168">
        <v>0.99489430000000001</v>
      </c>
      <c r="BD168">
        <v>8.1369999999999999E-4</v>
      </c>
      <c r="BE168">
        <v>8.1369999999999999E-4</v>
      </c>
      <c r="BF168">
        <v>2.1960999999999999</v>
      </c>
      <c r="BG168">
        <v>2.1960999999999999</v>
      </c>
      <c r="BH168">
        <v>168.80369999999999</v>
      </c>
      <c r="BI168">
        <v>168.80369999999999</v>
      </c>
      <c r="BJ168">
        <v>0</v>
      </c>
      <c r="BK168">
        <v>0</v>
      </c>
      <c r="BL168">
        <v>0</v>
      </c>
      <c r="BM168">
        <v>180</v>
      </c>
      <c r="BP168">
        <v>0.65005000000000002</v>
      </c>
      <c r="BQ168">
        <v>0.90686169999999999</v>
      </c>
      <c r="BR168">
        <v>0.90686169999999999</v>
      </c>
      <c r="BS168">
        <v>0</v>
      </c>
      <c r="BT168">
        <v>0</v>
      </c>
      <c r="BU168">
        <v>9.3138299999999993E-2</v>
      </c>
      <c r="BV168">
        <v>9.3138299999999993E-2</v>
      </c>
      <c r="BW168">
        <v>-46.77</v>
      </c>
      <c r="BX168">
        <v>-46.77</v>
      </c>
      <c r="BY168">
        <v>164.49029999999999</v>
      </c>
      <c r="BZ168">
        <v>164.49029999999999</v>
      </c>
      <c r="CA168">
        <v>0</v>
      </c>
      <c r="CB168">
        <v>0</v>
      </c>
      <c r="CC168">
        <v>0</v>
      </c>
      <c r="CD168">
        <v>180</v>
      </c>
    </row>
    <row r="169" spans="19:82">
      <c r="S169">
        <v>0.65139999999999998</v>
      </c>
      <c r="T169">
        <v>0.98627480000000001</v>
      </c>
      <c r="U169">
        <v>0.98627480000000001</v>
      </c>
      <c r="V169">
        <v>2.7E-6</v>
      </c>
      <c r="W169">
        <v>2.7E-6</v>
      </c>
      <c r="X169">
        <v>1.37225E-2</v>
      </c>
      <c r="Y169">
        <v>1.37225E-2</v>
      </c>
      <c r="Z169">
        <v>-111.9662</v>
      </c>
      <c r="AA169">
        <v>-111.9662</v>
      </c>
      <c r="AB169">
        <v>-169.64169999999999</v>
      </c>
      <c r="AC169">
        <v>-169.64169999999999</v>
      </c>
      <c r="AD169">
        <v>0</v>
      </c>
      <c r="AE169">
        <v>0</v>
      </c>
      <c r="AF169">
        <v>0</v>
      </c>
      <c r="AG169">
        <v>180</v>
      </c>
      <c r="AI169">
        <v>0.65139999999999998</v>
      </c>
      <c r="AJ169">
        <v>0.98531619999999998</v>
      </c>
      <c r="AK169">
        <v>0.98531619999999998</v>
      </c>
      <c r="AL169">
        <v>3.8E-6</v>
      </c>
      <c r="AM169">
        <v>3.8E-6</v>
      </c>
      <c r="AN169">
        <v>1.468E-2</v>
      </c>
      <c r="AO169">
        <v>1.468E-2</v>
      </c>
      <c r="AP169">
        <v>-102.49630000000001</v>
      </c>
      <c r="AQ169">
        <v>-102.49630000000001</v>
      </c>
      <c r="AR169">
        <v>-153.1772</v>
      </c>
      <c r="AS169">
        <v>-153.1772</v>
      </c>
      <c r="AT169">
        <v>0</v>
      </c>
      <c r="AU169">
        <v>0</v>
      </c>
      <c r="AV169">
        <v>0</v>
      </c>
      <c r="AW169">
        <v>180</v>
      </c>
      <c r="AY169">
        <v>0.65139999999999998</v>
      </c>
      <c r="AZ169">
        <v>4.3168E-3</v>
      </c>
      <c r="BA169">
        <v>4.3168E-3</v>
      </c>
      <c r="BB169">
        <v>0.99487579999999998</v>
      </c>
      <c r="BC169">
        <v>0.99487579999999998</v>
      </c>
      <c r="BD169">
        <v>8.074E-4</v>
      </c>
      <c r="BE169">
        <v>8.074E-4</v>
      </c>
      <c r="BF169">
        <v>2.9914999999999998</v>
      </c>
      <c r="BG169">
        <v>2.9914999999999998</v>
      </c>
      <c r="BH169">
        <v>168.46860000000001</v>
      </c>
      <c r="BI169">
        <v>168.46860000000001</v>
      </c>
      <c r="BJ169">
        <v>0</v>
      </c>
      <c r="BK169">
        <v>0</v>
      </c>
      <c r="BL169">
        <v>0</v>
      </c>
      <c r="BM169">
        <v>180</v>
      </c>
      <c r="BP169">
        <v>0.65139999999999998</v>
      </c>
      <c r="BQ169">
        <v>0.90635949999999998</v>
      </c>
      <c r="BR169">
        <v>0.90635949999999998</v>
      </c>
      <c r="BS169">
        <v>0</v>
      </c>
      <c r="BT169">
        <v>0</v>
      </c>
      <c r="BU169">
        <v>9.3640500000000002E-2</v>
      </c>
      <c r="BV169">
        <v>9.3640500000000002E-2</v>
      </c>
      <c r="BW169">
        <v>-47.160200000000003</v>
      </c>
      <c r="BX169">
        <v>-47.160200000000003</v>
      </c>
      <c r="BY169">
        <v>164.48939999999999</v>
      </c>
      <c r="BZ169">
        <v>164.48939999999999</v>
      </c>
      <c r="CA169">
        <v>0</v>
      </c>
      <c r="CB169">
        <v>0</v>
      </c>
      <c r="CC169">
        <v>0</v>
      </c>
      <c r="CD169">
        <v>180</v>
      </c>
    </row>
    <row r="170" spans="19:82">
      <c r="S170">
        <v>0.65275000000000005</v>
      </c>
      <c r="T170">
        <v>0.98630430000000002</v>
      </c>
      <c r="U170">
        <v>0.98630430000000002</v>
      </c>
      <c r="V170">
        <v>2.7E-6</v>
      </c>
      <c r="W170">
        <v>2.7E-6</v>
      </c>
      <c r="X170">
        <v>1.3693E-2</v>
      </c>
      <c r="Y170">
        <v>1.3693E-2</v>
      </c>
      <c r="Z170">
        <v>-111.7496</v>
      </c>
      <c r="AA170">
        <v>-111.7496</v>
      </c>
      <c r="AB170">
        <v>-169.31639999999999</v>
      </c>
      <c r="AC170">
        <v>-169.31639999999999</v>
      </c>
      <c r="AD170">
        <v>0</v>
      </c>
      <c r="AE170">
        <v>0</v>
      </c>
      <c r="AF170">
        <v>0</v>
      </c>
      <c r="AG170">
        <v>180</v>
      </c>
      <c r="AI170">
        <v>0.65275000000000005</v>
      </c>
      <c r="AJ170">
        <v>0.9853191</v>
      </c>
      <c r="AK170">
        <v>0.9853191</v>
      </c>
      <c r="AL170">
        <v>3.8E-6</v>
      </c>
      <c r="AM170">
        <v>3.8E-6</v>
      </c>
      <c r="AN170">
        <v>1.46772E-2</v>
      </c>
      <c r="AO170">
        <v>1.46772E-2</v>
      </c>
      <c r="AP170">
        <v>-102.2723</v>
      </c>
      <c r="AQ170">
        <v>-102.2723</v>
      </c>
      <c r="AR170">
        <v>-152.83150000000001</v>
      </c>
      <c r="AS170">
        <v>-152.83150000000001</v>
      </c>
      <c r="AT170">
        <v>0</v>
      </c>
      <c r="AU170">
        <v>0</v>
      </c>
      <c r="AV170">
        <v>0</v>
      </c>
      <c r="AW170">
        <v>180</v>
      </c>
      <c r="AY170">
        <v>0.65275000000000005</v>
      </c>
      <c r="AZ170">
        <v>4.3429000000000002E-3</v>
      </c>
      <c r="BA170">
        <v>4.3429000000000002E-3</v>
      </c>
      <c r="BB170">
        <v>0.99485599999999996</v>
      </c>
      <c r="BC170">
        <v>0.99485599999999996</v>
      </c>
      <c r="BD170">
        <v>8.0110000000000001E-4</v>
      </c>
      <c r="BE170">
        <v>8.0110000000000001E-4</v>
      </c>
      <c r="BF170">
        <v>3.7835000000000001</v>
      </c>
      <c r="BG170">
        <v>3.7835000000000001</v>
      </c>
      <c r="BH170">
        <v>168.14439999999999</v>
      </c>
      <c r="BI170">
        <v>168.14439999999999</v>
      </c>
      <c r="BJ170">
        <v>0</v>
      </c>
      <c r="BK170">
        <v>0</v>
      </c>
      <c r="BL170">
        <v>0</v>
      </c>
      <c r="BM170">
        <v>180</v>
      </c>
      <c r="BP170">
        <v>0.65275000000000005</v>
      </c>
      <c r="BQ170">
        <v>0.90585729999999998</v>
      </c>
      <c r="BR170">
        <v>0.90585729999999998</v>
      </c>
      <c r="BS170">
        <v>0</v>
      </c>
      <c r="BT170">
        <v>0</v>
      </c>
      <c r="BU170">
        <v>9.4142699999999996E-2</v>
      </c>
      <c r="BV170">
        <v>9.4142699999999996E-2</v>
      </c>
      <c r="BW170">
        <v>-47.548999999999999</v>
      </c>
      <c r="BX170">
        <v>-47.548999999999999</v>
      </c>
      <c r="BY170">
        <v>164.48849999999999</v>
      </c>
      <c r="BZ170">
        <v>164.48849999999999</v>
      </c>
      <c r="CA170">
        <v>0</v>
      </c>
      <c r="CB170">
        <v>0</v>
      </c>
      <c r="CC170">
        <v>0</v>
      </c>
      <c r="CD170">
        <v>180</v>
      </c>
    </row>
    <row r="171" spans="19:82">
      <c r="S171">
        <v>0.65410000000000001</v>
      </c>
      <c r="T171">
        <v>0.98633300000000002</v>
      </c>
      <c r="U171">
        <v>0.98633300000000002</v>
      </c>
      <c r="V171">
        <v>2.6000000000000001E-6</v>
      </c>
      <c r="W171">
        <v>2.6000000000000001E-6</v>
      </c>
      <c r="X171">
        <v>1.36644E-2</v>
      </c>
      <c r="Y171">
        <v>1.36644E-2</v>
      </c>
      <c r="Z171">
        <v>-111.5337</v>
      </c>
      <c r="AA171">
        <v>-111.5337</v>
      </c>
      <c r="AB171">
        <v>-168.99180000000001</v>
      </c>
      <c r="AC171">
        <v>-168.99180000000001</v>
      </c>
      <c r="AD171">
        <v>0</v>
      </c>
      <c r="AE171">
        <v>0</v>
      </c>
      <c r="AF171">
        <v>0</v>
      </c>
      <c r="AG171">
        <v>180</v>
      </c>
      <c r="AI171">
        <v>0.65410000000000001</v>
      </c>
      <c r="AJ171">
        <v>0.98532129999999996</v>
      </c>
      <c r="AK171">
        <v>0.98532129999999996</v>
      </c>
      <c r="AL171">
        <v>3.7000000000000002E-6</v>
      </c>
      <c r="AM171">
        <v>3.7000000000000002E-6</v>
      </c>
      <c r="AN171">
        <v>1.4675000000000001E-2</v>
      </c>
      <c r="AO171">
        <v>1.4675000000000001E-2</v>
      </c>
      <c r="AP171">
        <v>-102.0488</v>
      </c>
      <c r="AQ171">
        <v>-102.0488</v>
      </c>
      <c r="AR171">
        <v>-152.48599999999999</v>
      </c>
      <c r="AS171">
        <v>-152.48599999999999</v>
      </c>
      <c r="AT171">
        <v>0</v>
      </c>
      <c r="AU171">
        <v>0</v>
      </c>
      <c r="AV171">
        <v>0</v>
      </c>
      <c r="AW171">
        <v>180</v>
      </c>
      <c r="AY171">
        <v>0.65410000000000001</v>
      </c>
      <c r="AZ171">
        <v>4.3701E-3</v>
      </c>
      <c r="BA171">
        <v>4.3701E-3</v>
      </c>
      <c r="BB171">
        <v>0.99483500000000002</v>
      </c>
      <c r="BC171">
        <v>0.99483500000000002</v>
      </c>
      <c r="BD171">
        <v>7.9489999999999997E-4</v>
      </c>
      <c r="BE171">
        <v>7.9489999999999997E-4</v>
      </c>
      <c r="BF171">
        <v>4.5723000000000003</v>
      </c>
      <c r="BG171">
        <v>4.5723000000000003</v>
      </c>
      <c r="BH171">
        <v>167.83150000000001</v>
      </c>
      <c r="BI171">
        <v>167.83150000000001</v>
      </c>
      <c r="BJ171">
        <v>0</v>
      </c>
      <c r="BK171">
        <v>0</v>
      </c>
      <c r="BL171">
        <v>0</v>
      </c>
      <c r="BM171">
        <v>180</v>
      </c>
      <c r="BP171">
        <v>0.65410000000000001</v>
      </c>
      <c r="BQ171">
        <v>0.90535520000000003</v>
      </c>
      <c r="BR171">
        <v>0.90535520000000003</v>
      </c>
      <c r="BS171">
        <v>0</v>
      </c>
      <c r="BT171">
        <v>0</v>
      </c>
      <c r="BU171">
        <v>9.4644800000000001E-2</v>
      </c>
      <c r="BV171">
        <v>9.4644800000000001E-2</v>
      </c>
      <c r="BW171">
        <v>-47.936399999999999</v>
      </c>
      <c r="BX171">
        <v>-47.936399999999999</v>
      </c>
      <c r="BY171">
        <v>164.48759999999999</v>
      </c>
      <c r="BZ171">
        <v>164.48759999999999</v>
      </c>
      <c r="CA171">
        <v>0</v>
      </c>
      <c r="CB171">
        <v>0</v>
      </c>
      <c r="CC171">
        <v>0</v>
      </c>
      <c r="CD171">
        <v>180</v>
      </c>
    </row>
    <row r="172" spans="19:82">
      <c r="S172">
        <v>0.65544999999999998</v>
      </c>
      <c r="T172">
        <v>0.98636089999999998</v>
      </c>
      <c r="U172">
        <v>0.98636089999999998</v>
      </c>
      <c r="V172">
        <v>2.6000000000000001E-6</v>
      </c>
      <c r="W172">
        <v>2.6000000000000001E-6</v>
      </c>
      <c r="X172">
        <v>1.3636499999999999E-2</v>
      </c>
      <c r="Y172">
        <v>1.3636499999999999E-2</v>
      </c>
      <c r="Z172">
        <v>-111.3185</v>
      </c>
      <c r="AA172">
        <v>-111.3185</v>
      </c>
      <c r="AB172">
        <v>-168.66810000000001</v>
      </c>
      <c r="AC172">
        <v>-168.66810000000001</v>
      </c>
      <c r="AD172">
        <v>0</v>
      </c>
      <c r="AE172">
        <v>0</v>
      </c>
      <c r="AF172">
        <v>0</v>
      </c>
      <c r="AG172">
        <v>180</v>
      </c>
      <c r="AI172">
        <v>0.65544999999999998</v>
      </c>
      <c r="AJ172">
        <v>0.9853229</v>
      </c>
      <c r="AK172">
        <v>0.9853229</v>
      </c>
      <c r="AL172">
        <v>3.7000000000000002E-6</v>
      </c>
      <c r="AM172">
        <v>3.7000000000000002E-6</v>
      </c>
      <c r="AN172">
        <v>1.46734E-2</v>
      </c>
      <c r="AO172">
        <v>1.46734E-2</v>
      </c>
      <c r="AP172">
        <v>-101.82550000000001</v>
      </c>
      <c r="AQ172">
        <v>-101.82550000000001</v>
      </c>
      <c r="AR172">
        <v>-152.14070000000001</v>
      </c>
      <c r="AS172">
        <v>-152.14070000000001</v>
      </c>
      <c r="AT172">
        <v>0</v>
      </c>
      <c r="AU172">
        <v>0</v>
      </c>
      <c r="AV172">
        <v>0</v>
      </c>
      <c r="AW172">
        <v>180</v>
      </c>
      <c r="AY172">
        <v>0.65544999999999998</v>
      </c>
      <c r="AZ172">
        <v>4.3984999999999996E-3</v>
      </c>
      <c r="BA172">
        <v>4.3984999999999996E-3</v>
      </c>
      <c r="BB172">
        <v>0.99481280000000005</v>
      </c>
      <c r="BC172">
        <v>0.99481280000000005</v>
      </c>
      <c r="BD172">
        <v>7.8870000000000003E-4</v>
      </c>
      <c r="BE172">
        <v>7.8870000000000003E-4</v>
      </c>
      <c r="BF172">
        <v>5.3577000000000004</v>
      </c>
      <c r="BG172">
        <v>5.3577000000000004</v>
      </c>
      <c r="BH172">
        <v>167.53</v>
      </c>
      <c r="BI172">
        <v>167.53</v>
      </c>
      <c r="BJ172">
        <v>0</v>
      </c>
      <c r="BK172">
        <v>0</v>
      </c>
      <c r="BL172">
        <v>0</v>
      </c>
      <c r="BM172">
        <v>180</v>
      </c>
      <c r="BP172">
        <v>0.65544999999999998</v>
      </c>
      <c r="BQ172">
        <v>0.90485289999999996</v>
      </c>
      <c r="BR172">
        <v>0.90485289999999996</v>
      </c>
      <c r="BS172">
        <v>0</v>
      </c>
      <c r="BT172">
        <v>0</v>
      </c>
      <c r="BU172">
        <v>9.5147099999999998E-2</v>
      </c>
      <c r="BV172">
        <v>9.5147099999999998E-2</v>
      </c>
      <c r="BW172">
        <v>-48.322400000000002</v>
      </c>
      <c r="BX172">
        <v>-48.322400000000002</v>
      </c>
      <c r="BY172">
        <v>164.48679999999999</v>
      </c>
      <c r="BZ172">
        <v>164.48679999999999</v>
      </c>
      <c r="CA172">
        <v>0</v>
      </c>
      <c r="CB172">
        <v>0</v>
      </c>
      <c r="CC172">
        <v>0</v>
      </c>
      <c r="CD172">
        <v>180</v>
      </c>
    </row>
    <row r="173" spans="19:82">
      <c r="S173">
        <v>0.65680000000000005</v>
      </c>
      <c r="T173">
        <v>0.98638800000000004</v>
      </c>
      <c r="U173">
        <v>0.98638800000000004</v>
      </c>
      <c r="V173">
        <v>2.6000000000000001E-6</v>
      </c>
      <c r="W173">
        <v>2.6000000000000001E-6</v>
      </c>
      <c r="X173">
        <v>1.3609400000000001E-2</v>
      </c>
      <c r="Y173">
        <v>1.3609400000000001E-2</v>
      </c>
      <c r="Z173">
        <v>-111.1039</v>
      </c>
      <c r="AA173">
        <v>-111.1039</v>
      </c>
      <c r="AB173">
        <v>-168.34520000000001</v>
      </c>
      <c r="AC173">
        <v>-168.34520000000001</v>
      </c>
      <c r="AD173">
        <v>0</v>
      </c>
      <c r="AE173">
        <v>0</v>
      </c>
      <c r="AF173">
        <v>0</v>
      </c>
      <c r="AG173">
        <v>180</v>
      </c>
      <c r="AI173">
        <v>0.65680000000000005</v>
      </c>
      <c r="AJ173">
        <v>0.98532379999999997</v>
      </c>
      <c r="AK173">
        <v>0.98532379999999997</v>
      </c>
      <c r="AL173">
        <v>3.7000000000000002E-6</v>
      </c>
      <c r="AM173">
        <v>3.7000000000000002E-6</v>
      </c>
      <c r="AN173">
        <v>1.46725E-2</v>
      </c>
      <c r="AO173">
        <v>1.46725E-2</v>
      </c>
      <c r="AP173">
        <v>-101.6026</v>
      </c>
      <c r="AQ173">
        <v>-101.6026</v>
      </c>
      <c r="AR173">
        <v>-151.79560000000001</v>
      </c>
      <c r="AS173">
        <v>-151.79560000000001</v>
      </c>
      <c r="AT173">
        <v>0</v>
      </c>
      <c r="AU173">
        <v>0</v>
      </c>
      <c r="AV173">
        <v>0</v>
      </c>
      <c r="AW173">
        <v>180</v>
      </c>
      <c r="AY173">
        <v>0.65680000000000005</v>
      </c>
      <c r="AZ173">
        <v>4.4279999999999996E-3</v>
      </c>
      <c r="BA173">
        <v>4.4279999999999996E-3</v>
      </c>
      <c r="BB173">
        <v>0.99478960000000005</v>
      </c>
      <c r="BC173">
        <v>0.99478960000000005</v>
      </c>
      <c r="BD173">
        <v>7.8240000000000004E-4</v>
      </c>
      <c r="BE173">
        <v>7.8240000000000004E-4</v>
      </c>
      <c r="BF173">
        <v>6.1398999999999999</v>
      </c>
      <c r="BG173">
        <v>6.1398999999999999</v>
      </c>
      <c r="BH173">
        <v>167.24019999999999</v>
      </c>
      <c r="BI173">
        <v>167.24019999999999</v>
      </c>
      <c r="BJ173">
        <v>0</v>
      </c>
      <c r="BK173">
        <v>0</v>
      </c>
      <c r="BL173">
        <v>0</v>
      </c>
      <c r="BM173">
        <v>180</v>
      </c>
      <c r="BP173">
        <v>0.65680000000000005</v>
      </c>
      <c r="BQ173">
        <v>0.90435069999999995</v>
      </c>
      <c r="BR173">
        <v>0.90435069999999995</v>
      </c>
      <c r="BS173">
        <v>0</v>
      </c>
      <c r="BT173">
        <v>0</v>
      </c>
      <c r="BU173">
        <v>9.5649300000000007E-2</v>
      </c>
      <c r="BV173">
        <v>9.5649300000000007E-2</v>
      </c>
      <c r="BW173">
        <v>-48.707099999999997</v>
      </c>
      <c r="BX173">
        <v>-48.707099999999997</v>
      </c>
      <c r="BY173">
        <v>164.48599999999999</v>
      </c>
      <c r="BZ173">
        <v>164.48599999999999</v>
      </c>
      <c r="CA173">
        <v>0</v>
      </c>
      <c r="CB173">
        <v>0</v>
      </c>
      <c r="CC173">
        <v>0</v>
      </c>
      <c r="CD173">
        <v>180</v>
      </c>
    </row>
    <row r="174" spans="19:82">
      <c r="S174">
        <v>0.65815000000000001</v>
      </c>
      <c r="T174">
        <v>0.98641429999999997</v>
      </c>
      <c r="U174">
        <v>0.98641429999999997</v>
      </c>
      <c r="V174">
        <v>2.6000000000000001E-6</v>
      </c>
      <c r="W174">
        <v>2.6000000000000001E-6</v>
      </c>
      <c r="X174">
        <v>1.3583100000000001E-2</v>
      </c>
      <c r="Y174">
        <v>1.3583100000000001E-2</v>
      </c>
      <c r="Z174">
        <v>-110.8899</v>
      </c>
      <c r="AA174">
        <v>-110.8899</v>
      </c>
      <c r="AB174">
        <v>-168.023</v>
      </c>
      <c r="AC174">
        <v>-168.023</v>
      </c>
      <c r="AD174">
        <v>0</v>
      </c>
      <c r="AE174">
        <v>0</v>
      </c>
      <c r="AF174">
        <v>0</v>
      </c>
      <c r="AG174">
        <v>180</v>
      </c>
      <c r="AI174">
        <v>0.65815000000000001</v>
      </c>
      <c r="AJ174">
        <v>0.98532419999999998</v>
      </c>
      <c r="AK174">
        <v>0.98532419999999998</v>
      </c>
      <c r="AL174">
        <v>3.7000000000000002E-6</v>
      </c>
      <c r="AM174">
        <v>3.7000000000000002E-6</v>
      </c>
      <c r="AN174">
        <v>1.46722E-2</v>
      </c>
      <c r="AO174">
        <v>1.46722E-2</v>
      </c>
      <c r="AP174">
        <v>-101.38</v>
      </c>
      <c r="AQ174">
        <v>-101.38</v>
      </c>
      <c r="AR174">
        <v>-151.45050000000001</v>
      </c>
      <c r="AS174">
        <v>-151.45050000000001</v>
      </c>
      <c r="AT174">
        <v>0</v>
      </c>
      <c r="AU174">
        <v>0</v>
      </c>
      <c r="AV174">
        <v>0</v>
      </c>
      <c r="AW174">
        <v>180</v>
      </c>
      <c r="AY174">
        <v>0.65815000000000001</v>
      </c>
      <c r="AZ174">
        <v>4.4584000000000004E-3</v>
      </c>
      <c r="BA174">
        <v>4.4584000000000004E-3</v>
      </c>
      <c r="BB174">
        <v>0.99476529999999996</v>
      </c>
      <c r="BC174">
        <v>0.99476529999999996</v>
      </c>
      <c r="BD174">
        <v>7.7629999999999995E-4</v>
      </c>
      <c r="BE174">
        <v>7.7629999999999995E-4</v>
      </c>
      <c r="BF174">
        <v>6.9188999999999998</v>
      </c>
      <c r="BG174">
        <v>6.9188999999999998</v>
      </c>
      <c r="BH174">
        <v>166.96209999999999</v>
      </c>
      <c r="BI174">
        <v>166.96209999999999</v>
      </c>
      <c r="BJ174">
        <v>0</v>
      </c>
      <c r="BK174">
        <v>0</v>
      </c>
      <c r="BL174">
        <v>0</v>
      </c>
      <c r="BM174">
        <v>180</v>
      </c>
      <c r="BP174">
        <v>0.65815000000000001</v>
      </c>
      <c r="BQ174">
        <v>0.90384850000000005</v>
      </c>
      <c r="BR174">
        <v>0.90384850000000005</v>
      </c>
      <c r="BS174">
        <v>0</v>
      </c>
      <c r="BT174">
        <v>0</v>
      </c>
      <c r="BU174">
        <v>9.6151500000000001E-2</v>
      </c>
      <c r="BV174">
        <v>9.6151500000000001E-2</v>
      </c>
      <c r="BW174">
        <v>-49.090299999999999</v>
      </c>
      <c r="BX174">
        <v>-49.090299999999999</v>
      </c>
      <c r="BY174">
        <v>164.48519999999999</v>
      </c>
      <c r="BZ174">
        <v>164.48519999999999</v>
      </c>
      <c r="CA174">
        <v>0</v>
      </c>
      <c r="CB174">
        <v>0</v>
      </c>
      <c r="CC174">
        <v>0</v>
      </c>
      <c r="CD174">
        <v>180</v>
      </c>
    </row>
    <row r="175" spans="19:82">
      <c r="S175">
        <v>0.65949999999999998</v>
      </c>
      <c r="T175">
        <v>0.98643990000000004</v>
      </c>
      <c r="U175">
        <v>0.98643990000000004</v>
      </c>
      <c r="V175">
        <v>2.5000000000000002E-6</v>
      </c>
      <c r="W175">
        <v>2.5000000000000002E-6</v>
      </c>
      <c r="X175">
        <v>1.35576E-2</v>
      </c>
      <c r="Y175">
        <v>1.35576E-2</v>
      </c>
      <c r="Z175">
        <v>-110.67659999999999</v>
      </c>
      <c r="AA175">
        <v>-110.67659999999999</v>
      </c>
      <c r="AB175">
        <v>-167.70150000000001</v>
      </c>
      <c r="AC175">
        <v>-167.70150000000001</v>
      </c>
      <c r="AD175">
        <v>0</v>
      </c>
      <c r="AE175">
        <v>0</v>
      </c>
      <c r="AF175">
        <v>0</v>
      </c>
      <c r="AG175">
        <v>180</v>
      </c>
      <c r="AI175">
        <v>0.65949999999999998</v>
      </c>
      <c r="AJ175">
        <v>0.98532379999999997</v>
      </c>
      <c r="AK175">
        <v>0.98532379999999997</v>
      </c>
      <c r="AL175">
        <v>3.5999999999999998E-6</v>
      </c>
      <c r="AM175">
        <v>3.5999999999999998E-6</v>
      </c>
      <c r="AN175">
        <v>1.46725E-2</v>
      </c>
      <c r="AO175">
        <v>1.46725E-2</v>
      </c>
      <c r="AP175">
        <v>-101.15779999999999</v>
      </c>
      <c r="AQ175">
        <v>-101.15779999999999</v>
      </c>
      <c r="AR175">
        <v>-151.10570000000001</v>
      </c>
      <c r="AS175">
        <v>-151.10570000000001</v>
      </c>
      <c r="AT175">
        <v>0</v>
      </c>
      <c r="AU175">
        <v>0</v>
      </c>
      <c r="AV175">
        <v>0</v>
      </c>
      <c r="AW175">
        <v>180</v>
      </c>
      <c r="AY175">
        <v>0.65949999999999998</v>
      </c>
      <c r="AZ175">
        <v>4.4897000000000001E-3</v>
      </c>
      <c r="BA175">
        <v>4.4897000000000001E-3</v>
      </c>
      <c r="BB175">
        <v>0.99474019999999996</v>
      </c>
      <c r="BC175">
        <v>0.99474019999999996</v>
      </c>
      <c r="BD175">
        <v>7.7010000000000002E-4</v>
      </c>
      <c r="BE175">
        <v>7.7010000000000002E-4</v>
      </c>
      <c r="BF175">
        <v>7.6946000000000003</v>
      </c>
      <c r="BG175">
        <v>7.6946000000000003</v>
      </c>
      <c r="BH175">
        <v>166.69579999999999</v>
      </c>
      <c r="BI175">
        <v>166.69579999999999</v>
      </c>
      <c r="BJ175">
        <v>0</v>
      </c>
      <c r="BK175">
        <v>0</v>
      </c>
      <c r="BL175">
        <v>0</v>
      </c>
      <c r="BM175">
        <v>180</v>
      </c>
      <c r="BP175">
        <v>0.65949999999999998</v>
      </c>
      <c r="BQ175">
        <v>0.90334630000000005</v>
      </c>
      <c r="BR175">
        <v>0.90334630000000005</v>
      </c>
      <c r="BS175">
        <v>0</v>
      </c>
      <c r="BT175">
        <v>0</v>
      </c>
      <c r="BU175">
        <v>9.6653699999999995E-2</v>
      </c>
      <c r="BV175">
        <v>9.6653699999999995E-2</v>
      </c>
      <c r="BW175">
        <v>-49.472299999999997</v>
      </c>
      <c r="BX175">
        <v>-49.472299999999997</v>
      </c>
      <c r="BY175">
        <v>164.48439999999999</v>
      </c>
      <c r="BZ175">
        <v>164.48439999999999</v>
      </c>
      <c r="CA175">
        <v>0</v>
      </c>
      <c r="CB175">
        <v>0</v>
      </c>
      <c r="CC175">
        <v>0</v>
      </c>
      <c r="CD175">
        <v>180</v>
      </c>
    </row>
    <row r="176" spans="19:82">
      <c r="S176">
        <v>0.66085000000000005</v>
      </c>
      <c r="T176">
        <v>0.98646469999999997</v>
      </c>
      <c r="U176">
        <v>0.98646469999999997</v>
      </c>
      <c r="V176">
        <v>2.5000000000000002E-6</v>
      </c>
      <c r="W176">
        <v>2.5000000000000002E-6</v>
      </c>
      <c r="X176">
        <v>1.3532799999999999E-2</v>
      </c>
      <c r="Y176">
        <v>1.3532799999999999E-2</v>
      </c>
      <c r="Z176">
        <v>-110.4639</v>
      </c>
      <c r="AA176">
        <v>-110.4639</v>
      </c>
      <c r="AB176">
        <v>-167.38079999999999</v>
      </c>
      <c r="AC176">
        <v>-167.38079999999999</v>
      </c>
      <c r="AD176">
        <v>0</v>
      </c>
      <c r="AE176">
        <v>0</v>
      </c>
      <c r="AF176">
        <v>0</v>
      </c>
      <c r="AG176">
        <v>180</v>
      </c>
      <c r="AI176">
        <v>0.66085000000000005</v>
      </c>
      <c r="AJ176">
        <v>0.9853229</v>
      </c>
      <c r="AK176">
        <v>0.9853229</v>
      </c>
      <c r="AL176">
        <v>3.5999999999999998E-6</v>
      </c>
      <c r="AM176">
        <v>3.5999999999999998E-6</v>
      </c>
      <c r="AN176">
        <v>1.4673500000000001E-2</v>
      </c>
      <c r="AO176">
        <v>1.4673500000000001E-2</v>
      </c>
      <c r="AP176">
        <v>-100.9358</v>
      </c>
      <c r="AQ176">
        <v>-100.9358</v>
      </c>
      <c r="AR176">
        <v>-150.76089999999999</v>
      </c>
      <c r="AS176">
        <v>-150.76089999999999</v>
      </c>
      <c r="AT176">
        <v>0</v>
      </c>
      <c r="AU176">
        <v>0</v>
      </c>
      <c r="AV176">
        <v>0</v>
      </c>
      <c r="AW176">
        <v>180</v>
      </c>
      <c r="AY176">
        <v>0.66085000000000005</v>
      </c>
      <c r="AZ176">
        <v>4.5218000000000003E-3</v>
      </c>
      <c r="BA176">
        <v>4.5218000000000003E-3</v>
      </c>
      <c r="BB176">
        <v>0.99471419999999999</v>
      </c>
      <c r="BC176">
        <v>0.99471419999999999</v>
      </c>
      <c r="BD176">
        <v>7.6400000000000003E-4</v>
      </c>
      <c r="BE176">
        <v>7.6400000000000003E-4</v>
      </c>
      <c r="BF176">
        <v>8.4671000000000003</v>
      </c>
      <c r="BG176">
        <v>8.4671000000000003</v>
      </c>
      <c r="BH176">
        <v>166.44139999999999</v>
      </c>
      <c r="BI176">
        <v>166.44139999999999</v>
      </c>
      <c r="BJ176">
        <v>0</v>
      </c>
      <c r="BK176">
        <v>0</v>
      </c>
      <c r="BL176">
        <v>0</v>
      </c>
      <c r="BM176">
        <v>180</v>
      </c>
      <c r="BP176">
        <v>0.66085000000000005</v>
      </c>
      <c r="BQ176">
        <v>0.90284410000000004</v>
      </c>
      <c r="BR176">
        <v>0.90284410000000004</v>
      </c>
      <c r="BS176">
        <v>0</v>
      </c>
      <c r="BT176">
        <v>0</v>
      </c>
      <c r="BU176">
        <v>9.7155900000000003E-2</v>
      </c>
      <c r="BV176">
        <v>9.7155900000000003E-2</v>
      </c>
      <c r="BW176">
        <v>-49.852800000000002</v>
      </c>
      <c r="BX176">
        <v>-49.852800000000002</v>
      </c>
      <c r="BY176">
        <v>164.4837</v>
      </c>
      <c r="BZ176">
        <v>164.4837</v>
      </c>
      <c r="CA176">
        <v>0</v>
      </c>
      <c r="CB176">
        <v>0</v>
      </c>
      <c r="CC176">
        <v>0</v>
      </c>
      <c r="CD176">
        <v>180</v>
      </c>
    </row>
    <row r="177" spans="19:82">
      <c r="S177">
        <v>0.66220000000000001</v>
      </c>
      <c r="T177">
        <v>0.9864887</v>
      </c>
      <c r="U177">
        <v>0.9864887</v>
      </c>
      <c r="V177">
        <v>2.5000000000000002E-6</v>
      </c>
      <c r="W177">
        <v>2.5000000000000002E-6</v>
      </c>
      <c r="X177">
        <v>1.35088E-2</v>
      </c>
      <c r="Y177">
        <v>1.35088E-2</v>
      </c>
      <c r="Z177">
        <v>-110.2518</v>
      </c>
      <c r="AA177">
        <v>-110.2518</v>
      </c>
      <c r="AB177">
        <v>-167.0608</v>
      </c>
      <c r="AC177">
        <v>-167.0608</v>
      </c>
      <c r="AD177">
        <v>0</v>
      </c>
      <c r="AE177">
        <v>0</v>
      </c>
      <c r="AF177">
        <v>0</v>
      </c>
      <c r="AG177">
        <v>180</v>
      </c>
      <c r="AI177">
        <v>0.66220000000000001</v>
      </c>
      <c r="AJ177">
        <v>0.98532140000000001</v>
      </c>
      <c r="AK177">
        <v>0.98532140000000001</v>
      </c>
      <c r="AL177">
        <v>3.5999999999999998E-6</v>
      </c>
      <c r="AM177">
        <v>3.5999999999999998E-6</v>
      </c>
      <c r="AN177">
        <v>1.46751E-2</v>
      </c>
      <c r="AO177">
        <v>1.46751E-2</v>
      </c>
      <c r="AP177">
        <v>-100.7141</v>
      </c>
      <c r="AQ177">
        <v>-100.7141</v>
      </c>
      <c r="AR177">
        <v>-150.4162</v>
      </c>
      <c r="AS177">
        <v>-150.4162</v>
      </c>
      <c r="AT177">
        <v>0</v>
      </c>
      <c r="AU177">
        <v>0</v>
      </c>
      <c r="AV177">
        <v>0</v>
      </c>
      <c r="AW177">
        <v>180</v>
      </c>
      <c r="AY177">
        <v>0.66220000000000001</v>
      </c>
      <c r="AZ177">
        <v>4.5547000000000001E-3</v>
      </c>
      <c r="BA177">
        <v>4.5547000000000001E-3</v>
      </c>
      <c r="BB177">
        <v>0.9946874</v>
      </c>
      <c r="BC177">
        <v>0.9946874</v>
      </c>
      <c r="BD177">
        <v>7.5790000000000005E-4</v>
      </c>
      <c r="BE177">
        <v>7.5790000000000005E-4</v>
      </c>
      <c r="BF177">
        <v>9.2363999999999997</v>
      </c>
      <c r="BG177">
        <v>9.2363999999999997</v>
      </c>
      <c r="BH177">
        <v>166.19890000000001</v>
      </c>
      <c r="BI177">
        <v>166.19890000000001</v>
      </c>
      <c r="BJ177">
        <v>0</v>
      </c>
      <c r="BK177">
        <v>0</v>
      </c>
      <c r="BL177">
        <v>0</v>
      </c>
      <c r="BM177">
        <v>180</v>
      </c>
      <c r="BP177">
        <v>0.66220000000000001</v>
      </c>
      <c r="BQ177">
        <v>0.90234190000000003</v>
      </c>
      <c r="BR177">
        <v>0.90234190000000003</v>
      </c>
      <c r="BS177">
        <v>0</v>
      </c>
      <c r="BT177">
        <v>0</v>
      </c>
      <c r="BU177">
        <v>9.7658099999999998E-2</v>
      </c>
      <c r="BV177">
        <v>9.7658099999999998E-2</v>
      </c>
      <c r="BW177">
        <v>-50.232100000000003</v>
      </c>
      <c r="BX177">
        <v>-50.232100000000003</v>
      </c>
      <c r="BY177">
        <v>164.483</v>
      </c>
      <c r="BZ177">
        <v>164.483</v>
      </c>
      <c r="CA177">
        <v>0</v>
      </c>
      <c r="CB177">
        <v>0</v>
      </c>
      <c r="CC177">
        <v>0</v>
      </c>
      <c r="CD177">
        <v>180</v>
      </c>
    </row>
    <row r="178" spans="19:82">
      <c r="S178">
        <v>0.66354999999999997</v>
      </c>
      <c r="T178">
        <v>0.9865121</v>
      </c>
      <c r="U178">
        <v>0.9865121</v>
      </c>
      <c r="V178">
        <v>2.5000000000000002E-6</v>
      </c>
      <c r="W178">
        <v>2.5000000000000002E-6</v>
      </c>
      <c r="X178">
        <v>1.3485499999999999E-2</v>
      </c>
      <c r="Y178">
        <v>1.3485499999999999E-2</v>
      </c>
      <c r="Z178">
        <v>-110.0402</v>
      </c>
      <c r="AA178">
        <v>-110.0402</v>
      </c>
      <c r="AB178">
        <v>-166.7414</v>
      </c>
      <c r="AC178">
        <v>-166.7414</v>
      </c>
      <c r="AD178">
        <v>0</v>
      </c>
      <c r="AE178">
        <v>0</v>
      </c>
      <c r="AF178">
        <v>0</v>
      </c>
      <c r="AG178">
        <v>180</v>
      </c>
      <c r="AI178">
        <v>0.66354999999999997</v>
      </c>
      <c r="AJ178">
        <v>0.98531919999999995</v>
      </c>
      <c r="AK178">
        <v>0.98531919999999995</v>
      </c>
      <c r="AL178">
        <v>3.4999999999999999E-6</v>
      </c>
      <c r="AM178">
        <v>3.4999999999999999E-6</v>
      </c>
      <c r="AN178">
        <v>1.46772E-2</v>
      </c>
      <c r="AO178">
        <v>1.46772E-2</v>
      </c>
      <c r="AP178">
        <v>-100.4927</v>
      </c>
      <c r="AQ178">
        <v>-100.4927</v>
      </c>
      <c r="AR178">
        <v>-150.07159999999999</v>
      </c>
      <c r="AS178">
        <v>-150.07159999999999</v>
      </c>
      <c r="AT178">
        <v>0</v>
      </c>
      <c r="AU178">
        <v>0</v>
      </c>
      <c r="AV178">
        <v>0</v>
      </c>
      <c r="AW178">
        <v>180</v>
      </c>
      <c r="AY178">
        <v>0.66354999999999997</v>
      </c>
      <c r="AZ178">
        <v>4.5881999999999997E-3</v>
      </c>
      <c r="BA178">
        <v>4.5881999999999997E-3</v>
      </c>
      <c r="BB178">
        <v>0.99465999999999999</v>
      </c>
      <c r="BC178">
        <v>0.99465999999999999</v>
      </c>
      <c r="BD178">
        <v>7.5179999999999995E-4</v>
      </c>
      <c r="BE178">
        <v>7.5179999999999995E-4</v>
      </c>
      <c r="BF178">
        <v>10.0025</v>
      </c>
      <c r="BG178">
        <v>10.0025</v>
      </c>
      <c r="BH178">
        <v>165.9684</v>
      </c>
      <c r="BI178">
        <v>165.9684</v>
      </c>
      <c r="BJ178">
        <v>0</v>
      </c>
      <c r="BK178">
        <v>0</v>
      </c>
      <c r="BL178">
        <v>0</v>
      </c>
      <c r="BM178">
        <v>180</v>
      </c>
      <c r="BP178">
        <v>0.66354999999999997</v>
      </c>
      <c r="BQ178">
        <v>0.90183959999999996</v>
      </c>
      <c r="BR178">
        <v>0.90183959999999996</v>
      </c>
      <c r="BS178">
        <v>0</v>
      </c>
      <c r="BT178">
        <v>0</v>
      </c>
      <c r="BU178">
        <v>9.8160399999999995E-2</v>
      </c>
      <c r="BV178">
        <v>9.8160399999999995E-2</v>
      </c>
      <c r="BW178">
        <v>-50.61</v>
      </c>
      <c r="BX178">
        <v>-50.61</v>
      </c>
      <c r="BY178">
        <v>164.48240000000001</v>
      </c>
      <c r="BZ178">
        <v>164.48240000000001</v>
      </c>
      <c r="CA178">
        <v>0</v>
      </c>
      <c r="CB178">
        <v>0</v>
      </c>
      <c r="CC178">
        <v>0</v>
      </c>
      <c r="CD178">
        <v>180</v>
      </c>
    </row>
    <row r="179" spans="19:82">
      <c r="S179">
        <v>0.66490000000000005</v>
      </c>
      <c r="T179">
        <v>0.98653469999999999</v>
      </c>
      <c r="U179">
        <v>0.98653469999999999</v>
      </c>
      <c r="V179">
        <v>2.3999999999999999E-6</v>
      </c>
      <c r="W179">
        <v>2.3999999999999999E-6</v>
      </c>
      <c r="X179">
        <v>1.34629E-2</v>
      </c>
      <c r="Y179">
        <v>1.34629E-2</v>
      </c>
      <c r="Z179">
        <v>-109.8293</v>
      </c>
      <c r="AA179">
        <v>-109.8293</v>
      </c>
      <c r="AB179">
        <v>-166.4228</v>
      </c>
      <c r="AC179">
        <v>-166.4228</v>
      </c>
      <c r="AD179">
        <v>0</v>
      </c>
      <c r="AE179">
        <v>0</v>
      </c>
      <c r="AF179">
        <v>0</v>
      </c>
      <c r="AG179">
        <v>180</v>
      </c>
      <c r="AI179">
        <v>0.66490000000000005</v>
      </c>
      <c r="AJ179">
        <v>0.98531650000000004</v>
      </c>
      <c r="AK179">
        <v>0.98531650000000004</v>
      </c>
      <c r="AL179">
        <v>3.4999999999999999E-6</v>
      </c>
      <c r="AM179">
        <v>3.4999999999999999E-6</v>
      </c>
      <c r="AN179">
        <v>1.468E-2</v>
      </c>
      <c r="AO179">
        <v>1.468E-2</v>
      </c>
      <c r="AP179">
        <v>-100.27160000000001</v>
      </c>
      <c r="AQ179">
        <v>-100.27160000000001</v>
      </c>
      <c r="AR179">
        <v>-149.72710000000001</v>
      </c>
      <c r="AS179">
        <v>-149.72710000000001</v>
      </c>
      <c r="AT179">
        <v>0</v>
      </c>
      <c r="AU179">
        <v>0</v>
      </c>
      <c r="AV179">
        <v>0</v>
      </c>
      <c r="AW179">
        <v>180</v>
      </c>
      <c r="AY179">
        <v>0.66490000000000005</v>
      </c>
      <c r="AZ179">
        <v>4.6223000000000002E-3</v>
      </c>
      <c r="BA179">
        <v>4.6223000000000002E-3</v>
      </c>
      <c r="BB179">
        <v>0.99463199999999996</v>
      </c>
      <c r="BC179">
        <v>0.99463199999999996</v>
      </c>
      <c r="BD179">
        <v>7.4580000000000002E-4</v>
      </c>
      <c r="BE179">
        <v>7.4580000000000002E-4</v>
      </c>
      <c r="BF179">
        <v>10.765499999999999</v>
      </c>
      <c r="BG179">
        <v>10.765499999999999</v>
      </c>
      <c r="BH179">
        <v>165.7499</v>
      </c>
      <c r="BI179">
        <v>165.7499</v>
      </c>
      <c r="BJ179">
        <v>0</v>
      </c>
      <c r="BK179">
        <v>0</v>
      </c>
      <c r="BL179">
        <v>0</v>
      </c>
      <c r="BM179">
        <v>180</v>
      </c>
      <c r="BP179">
        <v>0.66490000000000005</v>
      </c>
      <c r="BQ179">
        <v>0.90133739999999996</v>
      </c>
      <c r="BR179">
        <v>0.90133739999999996</v>
      </c>
      <c r="BS179">
        <v>0</v>
      </c>
      <c r="BT179">
        <v>0</v>
      </c>
      <c r="BU179">
        <v>9.8662600000000003E-2</v>
      </c>
      <c r="BV179">
        <v>9.8662600000000003E-2</v>
      </c>
      <c r="BW179">
        <v>-50.986499999999999</v>
      </c>
      <c r="BX179">
        <v>-50.986499999999999</v>
      </c>
      <c r="BY179">
        <v>164.48179999999999</v>
      </c>
      <c r="BZ179">
        <v>164.48179999999999</v>
      </c>
      <c r="CA179">
        <v>0</v>
      </c>
      <c r="CB179">
        <v>0</v>
      </c>
      <c r="CC179">
        <v>0</v>
      </c>
      <c r="CD179">
        <v>180</v>
      </c>
    </row>
    <row r="180" spans="19:82">
      <c r="S180">
        <v>0.66625000000000001</v>
      </c>
      <c r="T180">
        <v>0.98655660000000001</v>
      </c>
      <c r="U180">
        <v>0.98655660000000001</v>
      </c>
      <c r="V180">
        <v>2.3999999999999999E-6</v>
      </c>
      <c r="W180">
        <v>2.3999999999999999E-6</v>
      </c>
      <c r="X180">
        <v>1.3441E-2</v>
      </c>
      <c r="Y180">
        <v>1.3441E-2</v>
      </c>
      <c r="Z180">
        <v>-109.619</v>
      </c>
      <c r="AA180">
        <v>-109.619</v>
      </c>
      <c r="AB180">
        <v>-166.10480000000001</v>
      </c>
      <c r="AC180">
        <v>-166.10480000000001</v>
      </c>
      <c r="AD180">
        <v>0</v>
      </c>
      <c r="AE180">
        <v>0</v>
      </c>
      <c r="AF180">
        <v>0</v>
      </c>
      <c r="AG180">
        <v>180</v>
      </c>
      <c r="AI180">
        <v>0.66625000000000001</v>
      </c>
      <c r="AJ180">
        <v>0.98531310000000005</v>
      </c>
      <c r="AK180">
        <v>0.98531310000000005</v>
      </c>
      <c r="AL180">
        <v>3.4999999999999999E-6</v>
      </c>
      <c r="AM180">
        <v>3.4999999999999999E-6</v>
      </c>
      <c r="AN180">
        <v>1.4683399999999999E-2</v>
      </c>
      <c r="AO180">
        <v>1.4683399999999999E-2</v>
      </c>
      <c r="AP180">
        <v>-100.05070000000001</v>
      </c>
      <c r="AQ180">
        <v>-100.05070000000001</v>
      </c>
      <c r="AR180">
        <v>-149.3827</v>
      </c>
      <c r="AS180">
        <v>-149.3827</v>
      </c>
      <c r="AT180">
        <v>0</v>
      </c>
      <c r="AU180">
        <v>0</v>
      </c>
      <c r="AV180">
        <v>0</v>
      </c>
      <c r="AW180">
        <v>180</v>
      </c>
      <c r="AY180">
        <v>0.66625000000000001</v>
      </c>
      <c r="AZ180">
        <v>4.6569000000000003E-3</v>
      </c>
      <c r="BA180">
        <v>4.6569000000000003E-3</v>
      </c>
      <c r="BB180">
        <v>0.99460340000000003</v>
      </c>
      <c r="BC180">
        <v>0.99460340000000003</v>
      </c>
      <c r="BD180">
        <v>7.3970000000000004E-4</v>
      </c>
      <c r="BE180">
        <v>7.3970000000000004E-4</v>
      </c>
      <c r="BF180">
        <v>11.5253</v>
      </c>
      <c r="BG180">
        <v>11.5253</v>
      </c>
      <c r="BH180">
        <v>165.54320000000001</v>
      </c>
      <c r="BI180">
        <v>165.54320000000001</v>
      </c>
      <c r="BJ180">
        <v>0</v>
      </c>
      <c r="BK180">
        <v>0</v>
      </c>
      <c r="BL180">
        <v>0</v>
      </c>
      <c r="BM180">
        <v>180</v>
      </c>
      <c r="BP180">
        <v>0.66625000000000001</v>
      </c>
      <c r="BQ180">
        <v>0.90083530000000001</v>
      </c>
      <c r="BR180">
        <v>0.90083530000000001</v>
      </c>
      <c r="BS180">
        <v>0</v>
      </c>
      <c r="BT180">
        <v>0</v>
      </c>
      <c r="BU180">
        <v>9.9164699999999995E-2</v>
      </c>
      <c r="BV180">
        <v>9.9164699999999995E-2</v>
      </c>
      <c r="BW180">
        <v>-51.361800000000002</v>
      </c>
      <c r="BX180">
        <v>-51.361800000000002</v>
      </c>
      <c r="BY180">
        <v>164.4812</v>
      </c>
      <c r="BZ180">
        <v>164.4812</v>
      </c>
      <c r="CA180">
        <v>0</v>
      </c>
      <c r="CB180">
        <v>0</v>
      </c>
      <c r="CC180">
        <v>0</v>
      </c>
      <c r="CD180">
        <v>180</v>
      </c>
    </row>
    <row r="181" spans="19:82">
      <c r="S181">
        <v>0.66759999999999997</v>
      </c>
      <c r="T181">
        <v>0.98657779999999995</v>
      </c>
      <c r="U181">
        <v>0.98657779999999995</v>
      </c>
      <c r="V181">
        <v>2.3999999999999999E-6</v>
      </c>
      <c r="W181">
        <v>2.3999999999999999E-6</v>
      </c>
      <c r="X181">
        <v>1.3419800000000001E-2</v>
      </c>
      <c r="Y181">
        <v>1.3419800000000001E-2</v>
      </c>
      <c r="Z181">
        <v>-109.4092</v>
      </c>
      <c r="AA181">
        <v>-109.4092</v>
      </c>
      <c r="AB181">
        <v>-165.78739999999999</v>
      </c>
      <c r="AC181">
        <v>-165.78739999999999</v>
      </c>
      <c r="AD181">
        <v>0</v>
      </c>
      <c r="AE181">
        <v>0</v>
      </c>
      <c r="AF181">
        <v>0</v>
      </c>
      <c r="AG181">
        <v>180</v>
      </c>
      <c r="AI181">
        <v>0.66759999999999997</v>
      </c>
      <c r="AJ181">
        <v>0.9853092</v>
      </c>
      <c r="AK181">
        <v>0.9853092</v>
      </c>
      <c r="AL181">
        <v>3.4999999999999999E-6</v>
      </c>
      <c r="AM181">
        <v>3.4999999999999999E-6</v>
      </c>
      <c r="AN181">
        <v>1.46873E-2</v>
      </c>
      <c r="AO181">
        <v>1.46873E-2</v>
      </c>
      <c r="AP181">
        <v>-99.830100000000002</v>
      </c>
      <c r="AQ181">
        <v>-99.830100000000002</v>
      </c>
      <c r="AR181">
        <v>-149.03829999999999</v>
      </c>
      <c r="AS181">
        <v>-149.03829999999999</v>
      </c>
      <c r="AT181">
        <v>0</v>
      </c>
      <c r="AU181">
        <v>0</v>
      </c>
      <c r="AV181">
        <v>0</v>
      </c>
      <c r="AW181">
        <v>180</v>
      </c>
      <c r="AY181">
        <v>0.66759999999999997</v>
      </c>
      <c r="AZ181">
        <v>4.6918999999999997E-3</v>
      </c>
      <c r="BA181">
        <v>4.6918999999999997E-3</v>
      </c>
      <c r="BB181">
        <v>0.99457430000000002</v>
      </c>
      <c r="BC181">
        <v>0.99457430000000002</v>
      </c>
      <c r="BD181">
        <v>7.337E-4</v>
      </c>
      <c r="BE181">
        <v>7.337E-4</v>
      </c>
      <c r="BF181">
        <v>12.2821</v>
      </c>
      <c r="BG181">
        <v>12.2821</v>
      </c>
      <c r="BH181">
        <v>165.34829999999999</v>
      </c>
      <c r="BI181">
        <v>165.34829999999999</v>
      </c>
      <c r="BJ181">
        <v>0</v>
      </c>
      <c r="BK181">
        <v>0</v>
      </c>
      <c r="BL181">
        <v>0</v>
      </c>
      <c r="BM181">
        <v>180</v>
      </c>
      <c r="BP181">
        <v>0.66759999999999997</v>
      </c>
      <c r="BQ181">
        <v>0.9003331</v>
      </c>
      <c r="BR181">
        <v>0.9003331</v>
      </c>
      <c r="BS181">
        <v>0</v>
      </c>
      <c r="BT181">
        <v>0</v>
      </c>
      <c r="BU181">
        <v>9.9666900000000003E-2</v>
      </c>
      <c r="BV181">
        <v>9.9666900000000003E-2</v>
      </c>
      <c r="BW181">
        <v>-51.735700000000001</v>
      </c>
      <c r="BX181">
        <v>-51.735700000000001</v>
      </c>
      <c r="BY181">
        <v>164.48060000000001</v>
      </c>
      <c r="BZ181">
        <v>164.48060000000001</v>
      </c>
      <c r="CA181">
        <v>0</v>
      </c>
      <c r="CB181">
        <v>0</v>
      </c>
      <c r="CC181">
        <v>0</v>
      </c>
      <c r="CD181">
        <v>180</v>
      </c>
    </row>
    <row r="182" spans="19:82">
      <c r="S182">
        <v>0.66895000000000004</v>
      </c>
      <c r="T182">
        <v>0.98659830000000004</v>
      </c>
      <c r="U182">
        <v>0.98659830000000004</v>
      </c>
      <c r="V182">
        <v>2.3999999999999999E-6</v>
      </c>
      <c r="W182">
        <v>2.3999999999999999E-6</v>
      </c>
      <c r="X182">
        <v>1.3399299999999999E-2</v>
      </c>
      <c r="Y182">
        <v>1.3399299999999999E-2</v>
      </c>
      <c r="Z182">
        <v>-109.2</v>
      </c>
      <c r="AA182">
        <v>-109.2</v>
      </c>
      <c r="AB182">
        <v>-165.47069999999999</v>
      </c>
      <c r="AC182">
        <v>-165.47069999999999</v>
      </c>
      <c r="AD182">
        <v>0</v>
      </c>
      <c r="AE182">
        <v>0</v>
      </c>
      <c r="AF182">
        <v>0</v>
      </c>
      <c r="AG182">
        <v>180</v>
      </c>
      <c r="AI182">
        <v>0.66895000000000004</v>
      </c>
      <c r="AJ182">
        <v>0.98530470000000003</v>
      </c>
      <c r="AK182">
        <v>0.98530470000000003</v>
      </c>
      <c r="AL182">
        <v>3.4000000000000001E-6</v>
      </c>
      <c r="AM182">
        <v>3.4000000000000001E-6</v>
      </c>
      <c r="AN182">
        <v>1.46918E-2</v>
      </c>
      <c r="AO182">
        <v>1.46918E-2</v>
      </c>
      <c r="AP182">
        <v>-99.609899999999996</v>
      </c>
      <c r="AQ182">
        <v>-99.609899999999996</v>
      </c>
      <c r="AR182">
        <v>-148.69409999999999</v>
      </c>
      <c r="AS182">
        <v>-148.69409999999999</v>
      </c>
      <c r="AT182">
        <v>0</v>
      </c>
      <c r="AU182">
        <v>0</v>
      </c>
      <c r="AV182">
        <v>0</v>
      </c>
      <c r="AW182">
        <v>180</v>
      </c>
      <c r="AY182">
        <v>0.66895000000000004</v>
      </c>
      <c r="AZ182">
        <v>4.7273000000000003E-3</v>
      </c>
      <c r="BA182">
        <v>4.7273000000000003E-3</v>
      </c>
      <c r="BB182">
        <v>0.99454489999999995</v>
      </c>
      <c r="BC182">
        <v>0.99454489999999995</v>
      </c>
      <c r="BD182">
        <v>7.2780000000000002E-4</v>
      </c>
      <c r="BE182">
        <v>7.2780000000000002E-4</v>
      </c>
      <c r="BF182">
        <v>13.0357</v>
      </c>
      <c r="BG182">
        <v>13.0357</v>
      </c>
      <c r="BH182">
        <v>165.1652</v>
      </c>
      <c r="BI182">
        <v>165.1652</v>
      </c>
      <c r="BJ182">
        <v>0</v>
      </c>
      <c r="BK182">
        <v>0</v>
      </c>
      <c r="BL182">
        <v>0</v>
      </c>
      <c r="BM182">
        <v>180</v>
      </c>
      <c r="BP182">
        <v>0.66895000000000004</v>
      </c>
      <c r="BQ182">
        <v>0.89983089999999999</v>
      </c>
      <c r="BR182">
        <v>0.89983089999999999</v>
      </c>
      <c r="BS182">
        <v>0</v>
      </c>
      <c r="BT182">
        <v>0</v>
      </c>
      <c r="BU182">
        <v>0.1001691</v>
      </c>
      <c r="BV182">
        <v>0.1001691</v>
      </c>
      <c r="BW182">
        <v>-52.108400000000003</v>
      </c>
      <c r="BX182">
        <v>-52.108400000000003</v>
      </c>
      <c r="BY182">
        <v>164.48009999999999</v>
      </c>
      <c r="BZ182">
        <v>164.48009999999999</v>
      </c>
      <c r="CA182">
        <v>0</v>
      </c>
      <c r="CB182">
        <v>0</v>
      </c>
      <c r="CC182">
        <v>0</v>
      </c>
      <c r="CD182">
        <v>180</v>
      </c>
    </row>
    <row r="183" spans="19:82">
      <c r="S183">
        <v>0.67030000000000001</v>
      </c>
      <c r="T183">
        <v>0.9866182</v>
      </c>
      <c r="U183">
        <v>0.9866182</v>
      </c>
      <c r="V183">
        <v>2.3999999999999999E-6</v>
      </c>
      <c r="W183">
        <v>2.3999999999999999E-6</v>
      </c>
      <c r="X183">
        <v>1.3379500000000001E-2</v>
      </c>
      <c r="Y183">
        <v>1.3379500000000001E-2</v>
      </c>
      <c r="Z183">
        <v>-108.9913</v>
      </c>
      <c r="AA183">
        <v>-108.9913</v>
      </c>
      <c r="AB183">
        <v>-165.15459999999999</v>
      </c>
      <c r="AC183">
        <v>-165.15459999999999</v>
      </c>
      <c r="AD183">
        <v>0</v>
      </c>
      <c r="AE183">
        <v>0</v>
      </c>
      <c r="AF183">
        <v>0</v>
      </c>
      <c r="AG183">
        <v>180</v>
      </c>
      <c r="AI183">
        <v>0.67030000000000001</v>
      </c>
      <c r="AJ183">
        <v>0.9852997</v>
      </c>
      <c r="AK183">
        <v>0.9852997</v>
      </c>
      <c r="AL183">
        <v>3.4000000000000001E-6</v>
      </c>
      <c r="AM183">
        <v>3.4000000000000001E-6</v>
      </c>
      <c r="AN183">
        <v>1.4696900000000001E-2</v>
      </c>
      <c r="AO183">
        <v>1.4696900000000001E-2</v>
      </c>
      <c r="AP183">
        <v>-99.389899999999997</v>
      </c>
      <c r="AQ183">
        <v>-99.389899999999997</v>
      </c>
      <c r="AR183">
        <v>-148.34989999999999</v>
      </c>
      <c r="AS183">
        <v>-148.34989999999999</v>
      </c>
      <c r="AT183">
        <v>0</v>
      </c>
      <c r="AU183">
        <v>0</v>
      </c>
      <c r="AV183">
        <v>0</v>
      </c>
      <c r="AW183">
        <v>180</v>
      </c>
      <c r="AY183">
        <v>0.67030000000000001</v>
      </c>
      <c r="AZ183">
        <v>4.7629999999999999E-3</v>
      </c>
      <c r="BA183">
        <v>4.7629999999999999E-3</v>
      </c>
      <c r="BB183">
        <v>0.99451520000000004</v>
      </c>
      <c r="BC183">
        <v>0.99451520000000004</v>
      </c>
      <c r="BD183">
        <v>7.2179999999999998E-4</v>
      </c>
      <c r="BE183">
        <v>7.2179999999999998E-4</v>
      </c>
      <c r="BF183">
        <v>13.786199999999999</v>
      </c>
      <c r="BG183">
        <v>13.786199999999999</v>
      </c>
      <c r="BH183">
        <v>164.99369999999999</v>
      </c>
      <c r="BI183">
        <v>164.99369999999999</v>
      </c>
      <c r="BJ183">
        <v>0</v>
      </c>
      <c r="BK183">
        <v>0</v>
      </c>
      <c r="BL183">
        <v>0</v>
      </c>
      <c r="BM183">
        <v>180</v>
      </c>
      <c r="BP183">
        <v>0.67030000000000001</v>
      </c>
      <c r="BQ183">
        <v>0.89932880000000004</v>
      </c>
      <c r="BR183">
        <v>0.89932880000000004</v>
      </c>
      <c r="BS183">
        <v>0</v>
      </c>
      <c r="BT183">
        <v>0</v>
      </c>
      <c r="BU183">
        <v>0.1006712</v>
      </c>
      <c r="BV183">
        <v>0.1006712</v>
      </c>
      <c r="BW183">
        <v>-52.479799999999997</v>
      </c>
      <c r="BX183">
        <v>-52.479799999999997</v>
      </c>
      <c r="BY183">
        <v>164.4796</v>
      </c>
      <c r="BZ183">
        <v>164.4796</v>
      </c>
      <c r="CA183">
        <v>0</v>
      </c>
      <c r="CB183">
        <v>0</v>
      </c>
      <c r="CC183">
        <v>0</v>
      </c>
      <c r="CD183">
        <v>180</v>
      </c>
    </row>
    <row r="184" spans="19:82">
      <c r="S184">
        <v>0.67164999999999997</v>
      </c>
      <c r="T184">
        <v>0.9866374</v>
      </c>
      <c r="U184">
        <v>0.9866374</v>
      </c>
      <c r="V184">
        <v>2.3E-6</v>
      </c>
      <c r="W184">
        <v>2.3E-6</v>
      </c>
      <c r="X184">
        <v>1.33603E-2</v>
      </c>
      <c r="Y184">
        <v>1.33603E-2</v>
      </c>
      <c r="Z184">
        <v>-108.78319999999999</v>
      </c>
      <c r="AA184">
        <v>-108.78319999999999</v>
      </c>
      <c r="AB184">
        <v>-164.8391</v>
      </c>
      <c r="AC184">
        <v>-164.8391</v>
      </c>
      <c r="AD184">
        <v>0</v>
      </c>
      <c r="AE184">
        <v>0</v>
      </c>
      <c r="AF184">
        <v>0</v>
      </c>
      <c r="AG184">
        <v>180</v>
      </c>
      <c r="AI184">
        <v>0.67164999999999997</v>
      </c>
      <c r="AJ184">
        <v>0.985294</v>
      </c>
      <c r="AK184">
        <v>0.985294</v>
      </c>
      <c r="AL184">
        <v>3.4000000000000001E-6</v>
      </c>
      <c r="AM184">
        <v>3.4000000000000001E-6</v>
      </c>
      <c r="AN184">
        <v>1.47026E-2</v>
      </c>
      <c r="AO184">
        <v>1.47026E-2</v>
      </c>
      <c r="AP184">
        <v>-99.170100000000005</v>
      </c>
      <c r="AQ184">
        <v>-99.170100000000005</v>
      </c>
      <c r="AR184">
        <v>-148.00569999999999</v>
      </c>
      <c r="AS184">
        <v>-148.00569999999999</v>
      </c>
      <c r="AT184">
        <v>0</v>
      </c>
      <c r="AU184">
        <v>0</v>
      </c>
      <c r="AV184">
        <v>0</v>
      </c>
      <c r="AW184">
        <v>180</v>
      </c>
      <c r="AY184">
        <v>0.67164999999999997</v>
      </c>
      <c r="AZ184">
        <v>4.7987999999999998E-3</v>
      </c>
      <c r="BA184">
        <v>4.7987999999999998E-3</v>
      </c>
      <c r="BB184">
        <v>0.99448530000000002</v>
      </c>
      <c r="BC184">
        <v>0.99448530000000002</v>
      </c>
      <c r="BD184">
        <v>7.159E-4</v>
      </c>
      <c r="BE184">
        <v>7.159E-4</v>
      </c>
      <c r="BF184">
        <v>14.5337</v>
      </c>
      <c r="BG184">
        <v>14.5337</v>
      </c>
      <c r="BH184">
        <v>164.83369999999999</v>
      </c>
      <c r="BI184">
        <v>164.83369999999999</v>
      </c>
      <c r="BJ184">
        <v>0</v>
      </c>
      <c r="BK184">
        <v>0</v>
      </c>
      <c r="BL184">
        <v>0</v>
      </c>
      <c r="BM184">
        <v>180</v>
      </c>
      <c r="BP184">
        <v>0.67164999999999997</v>
      </c>
      <c r="BQ184">
        <v>0.89882669999999998</v>
      </c>
      <c r="BR184">
        <v>0.89882669999999998</v>
      </c>
      <c r="BS184">
        <v>0</v>
      </c>
      <c r="BT184">
        <v>0</v>
      </c>
      <c r="BU184">
        <v>0.10117329999999999</v>
      </c>
      <c r="BV184">
        <v>0.10117329999999999</v>
      </c>
      <c r="BW184">
        <v>-52.849800000000002</v>
      </c>
      <c r="BX184">
        <v>-52.849800000000002</v>
      </c>
      <c r="BY184">
        <v>164.47909999999999</v>
      </c>
      <c r="BZ184">
        <v>164.47909999999999</v>
      </c>
      <c r="CA184">
        <v>0</v>
      </c>
      <c r="CB184">
        <v>0</v>
      </c>
      <c r="CC184">
        <v>0</v>
      </c>
      <c r="CD184">
        <v>180</v>
      </c>
    </row>
    <row r="185" spans="19:82">
      <c r="S185">
        <v>0.67300000000000004</v>
      </c>
      <c r="T185">
        <v>0.98665590000000003</v>
      </c>
      <c r="U185">
        <v>0.98665590000000003</v>
      </c>
      <c r="V185">
        <v>2.3E-6</v>
      </c>
      <c r="W185">
        <v>2.3E-6</v>
      </c>
      <c r="X185">
        <v>1.3341799999999999E-2</v>
      </c>
      <c r="Y185">
        <v>1.3341799999999999E-2</v>
      </c>
      <c r="Z185">
        <v>-108.5757</v>
      </c>
      <c r="AA185">
        <v>-108.5757</v>
      </c>
      <c r="AB185">
        <v>-164.52420000000001</v>
      </c>
      <c r="AC185">
        <v>-164.52420000000001</v>
      </c>
      <c r="AD185">
        <v>0</v>
      </c>
      <c r="AE185">
        <v>0</v>
      </c>
      <c r="AF185">
        <v>0</v>
      </c>
      <c r="AG185">
        <v>180</v>
      </c>
      <c r="AI185">
        <v>0.67300000000000004</v>
      </c>
      <c r="AJ185">
        <v>0.98528780000000005</v>
      </c>
      <c r="AK185">
        <v>0.98528780000000005</v>
      </c>
      <c r="AL185">
        <v>3.4000000000000001E-6</v>
      </c>
      <c r="AM185">
        <v>3.4000000000000001E-6</v>
      </c>
      <c r="AN185">
        <v>1.4708799999999999E-2</v>
      </c>
      <c r="AO185">
        <v>1.4708799999999999E-2</v>
      </c>
      <c r="AP185">
        <v>-98.950599999999994</v>
      </c>
      <c r="AQ185">
        <v>-98.950599999999994</v>
      </c>
      <c r="AR185">
        <v>-147.66149999999999</v>
      </c>
      <c r="AS185">
        <v>-147.66149999999999</v>
      </c>
      <c r="AT185">
        <v>0</v>
      </c>
      <c r="AU185">
        <v>0</v>
      </c>
      <c r="AV185">
        <v>0</v>
      </c>
      <c r="AW185">
        <v>180</v>
      </c>
      <c r="AY185">
        <v>0.67300000000000004</v>
      </c>
      <c r="AZ185">
        <v>4.8348000000000002E-3</v>
      </c>
      <c r="BA185">
        <v>4.8348000000000002E-3</v>
      </c>
      <c r="BB185">
        <v>0.99445519999999998</v>
      </c>
      <c r="BC185">
        <v>0.99445519999999998</v>
      </c>
      <c r="BD185">
        <v>7.1000000000000002E-4</v>
      </c>
      <c r="BE185">
        <v>7.1000000000000002E-4</v>
      </c>
      <c r="BF185">
        <v>15.2782</v>
      </c>
      <c r="BG185">
        <v>15.2782</v>
      </c>
      <c r="BH185">
        <v>164.685</v>
      </c>
      <c r="BI185">
        <v>164.685</v>
      </c>
      <c r="BJ185">
        <v>0</v>
      </c>
      <c r="BK185">
        <v>0</v>
      </c>
      <c r="BL185">
        <v>0</v>
      </c>
      <c r="BM185">
        <v>180</v>
      </c>
      <c r="BP185">
        <v>0.67300000000000004</v>
      </c>
      <c r="BQ185">
        <v>0.89832460000000003</v>
      </c>
      <c r="BR185">
        <v>0.89832460000000003</v>
      </c>
      <c r="BS185">
        <v>0</v>
      </c>
      <c r="BT185">
        <v>0</v>
      </c>
      <c r="BU185">
        <v>0.1016754</v>
      </c>
      <c r="BV185">
        <v>0.1016754</v>
      </c>
      <c r="BW185">
        <v>-53.218699999999998</v>
      </c>
      <c r="BX185">
        <v>-53.218699999999998</v>
      </c>
      <c r="BY185">
        <v>164.4787</v>
      </c>
      <c r="BZ185">
        <v>164.4787</v>
      </c>
      <c r="CA185">
        <v>0</v>
      </c>
      <c r="CB185">
        <v>0</v>
      </c>
      <c r="CC185">
        <v>0</v>
      </c>
      <c r="CD185">
        <v>180</v>
      </c>
    </row>
    <row r="186" spans="19:82">
      <c r="S186">
        <v>0.67435</v>
      </c>
      <c r="T186">
        <v>0.98667380000000005</v>
      </c>
      <c r="U186">
        <v>0.98667380000000005</v>
      </c>
      <c r="V186">
        <v>2.3E-6</v>
      </c>
      <c r="W186">
        <v>2.3E-6</v>
      </c>
      <c r="X186">
        <v>1.33239E-2</v>
      </c>
      <c r="Y186">
        <v>1.33239E-2</v>
      </c>
      <c r="Z186">
        <v>-108.3686</v>
      </c>
      <c r="AA186">
        <v>-108.3686</v>
      </c>
      <c r="AB186">
        <v>-164.2098</v>
      </c>
      <c r="AC186">
        <v>-164.2098</v>
      </c>
      <c r="AD186">
        <v>0</v>
      </c>
      <c r="AE186">
        <v>0</v>
      </c>
      <c r="AF186">
        <v>0</v>
      </c>
      <c r="AG186">
        <v>180</v>
      </c>
      <c r="AI186">
        <v>0.67435</v>
      </c>
      <c r="AJ186">
        <v>0.98528110000000002</v>
      </c>
      <c r="AK186">
        <v>0.98528110000000002</v>
      </c>
      <c r="AL186">
        <v>3.3000000000000002E-6</v>
      </c>
      <c r="AM186">
        <v>3.3000000000000002E-6</v>
      </c>
      <c r="AN186">
        <v>1.4715600000000001E-2</v>
      </c>
      <c r="AO186">
        <v>1.4715600000000001E-2</v>
      </c>
      <c r="AP186">
        <v>-98.731300000000005</v>
      </c>
      <c r="AQ186">
        <v>-98.731300000000005</v>
      </c>
      <c r="AR186">
        <v>-147.31739999999999</v>
      </c>
      <c r="AS186">
        <v>-147.31739999999999</v>
      </c>
      <c r="AT186">
        <v>0</v>
      </c>
      <c r="AU186">
        <v>0</v>
      </c>
      <c r="AV186">
        <v>0</v>
      </c>
      <c r="AW186">
        <v>180</v>
      </c>
      <c r="AY186">
        <v>0.67435</v>
      </c>
      <c r="AZ186">
        <v>4.8709000000000001E-3</v>
      </c>
      <c r="BA186">
        <v>4.8709000000000001E-3</v>
      </c>
      <c r="BB186">
        <v>0.994425</v>
      </c>
      <c r="BC186">
        <v>0.994425</v>
      </c>
      <c r="BD186">
        <v>7.0410000000000004E-4</v>
      </c>
      <c r="BE186">
        <v>7.0410000000000004E-4</v>
      </c>
      <c r="BF186">
        <v>16.019600000000001</v>
      </c>
      <c r="BG186">
        <v>16.019600000000001</v>
      </c>
      <c r="BH186">
        <v>164.54759999999999</v>
      </c>
      <c r="BI186">
        <v>164.54759999999999</v>
      </c>
      <c r="BJ186">
        <v>0</v>
      </c>
      <c r="BK186">
        <v>0</v>
      </c>
      <c r="BL186">
        <v>0</v>
      </c>
      <c r="BM186">
        <v>180</v>
      </c>
      <c r="BP186">
        <v>0.67435</v>
      </c>
      <c r="BQ186">
        <v>0.89782260000000003</v>
      </c>
      <c r="BR186">
        <v>0.89782260000000003</v>
      </c>
      <c r="BS186">
        <v>0</v>
      </c>
      <c r="BT186">
        <v>0</v>
      </c>
      <c r="BU186">
        <v>0.1021774</v>
      </c>
      <c r="BV186">
        <v>0.1021774</v>
      </c>
      <c r="BW186">
        <v>-53.586199999999998</v>
      </c>
      <c r="BX186">
        <v>-53.586199999999998</v>
      </c>
      <c r="BY186">
        <v>164.47829999999999</v>
      </c>
      <c r="BZ186">
        <v>164.47829999999999</v>
      </c>
      <c r="CA186">
        <v>0</v>
      </c>
      <c r="CB186">
        <v>0</v>
      </c>
      <c r="CC186">
        <v>0</v>
      </c>
      <c r="CD186">
        <v>180</v>
      </c>
    </row>
    <row r="187" spans="19:82">
      <c r="S187">
        <v>0.67569999999999997</v>
      </c>
      <c r="T187">
        <v>0.98669099999999998</v>
      </c>
      <c r="U187">
        <v>0.98669099999999998</v>
      </c>
      <c r="V187">
        <v>2.3E-6</v>
      </c>
      <c r="W187">
        <v>2.3E-6</v>
      </c>
      <c r="X187">
        <v>1.3306699999999999E-2</v>
      </c>
      <c r="Y187">
        <v>1.3306699999999999E-2</v>
      </c>
      <c r="Z187">
        <v>-108.1621</v>
      </c>
      <c r="AA187">
        <v>-108.1621</v>
      </c>
      <c r="AB187">
        <v>-163.89609999999999</v>
      </c>
      <c r="AC187">
        <v>-163.89609999999999</v>
      </c>
      <c r="AD187">
        <v>0</v>
      </c>
      <c r="AE187">
        <v>0</v>
      </c>
      <c r="AF187">
        <v>0</v>
      </c>
      <c r="AG187">
        <v>180</v>
      </c>
      <c r="AI187">
        <v>0.67569999999999997</v>
      </c>
      <c r="AJ187">
        <v>0.98527419999999999</v>
      </c>
      <c r="AK187">
        <v>0.98527419999999999</v>
      </c>
      <c r="AL187">
        <v>3.3000000000000002E-6</v>
      </c>
      <c r="AM187">
        <v>3.3000000000000002E-6</v>
      </c>
      <c r="AN187">
        <v>1.47224E-2</v>
      </c>
      <c r="AO187">
        <v>1.47224E-2</v>
      </c>
      <c r="AP187">
        <v>-98.513099999999994</v>
      </c>
      <c r="AQ187">
        <v>-98.513099999999994</v>
      </c>
      <c r="AR187">
        <v>-146.97489999999999</v>
      </c>
      <c r="AS187">
        <v>-146.97489999999999</v>
      </c>
      <c r="AT187">
        <v>0</v>
      </c>
      <c r="AU187">
        <v>0</v>
      </c>
      <c r="AV187">
        <v>0</v>
      </c>
      <c r="AW187">
        <v>180</v>
      </c>
      <c r="AY187">
        <v>0.67569999999999997</v>
      </c>
      <c r="AZ187">
        <v>4.9068999999999996E-3</v>
      </c>
      <c r="BA187">
        <v>4.9068999999999996E-3</v>
      </c>
      <c r="BB187">
        <v>0.99439489999999997</v>
      </c>
      <c r="BC187">
        <v>0.99439489999999997</v>
      </c>
      <c r="BD187">
        <v>6.9830000000000001E-4</v>
      </c>
      <c r="BE187">
        <v>6.9830000000000001E-4</v>
      </c>
      <c r="BF187">
        <v>16.757999999999999</v>
      </c>
      <c r="BG187">
        <v>16.757999999999999</v>
      </c>
      <c r="BH187">
        <v>164.4212</v>
      </c>
      <c r="BI187">
        <v>164.4212</v>
      </c>
      <c r="BJ187">
        <v>0</v>
      </c>
      <c r="BK187">
        <v>0</v>
      </c>
      <c r="BL187">
        <v>0</v>
      </c>
      <c r="BM187">
        <v>180</v>
      </c>
      <c r="BP187">
        <v>0.67569999999999997</v>
      </c>
      <c r="BQ187">
        <v>0.89732049999999997</v>
      </c>
      <c r="BR187">
        <v>0.89732049999999997</v>
      </c>
      <c r="BS187">
        <v>0</v>
      </c>
      <c r="BT187">
        <v>0</v>
      </c>
      <c r="BU187">
        <v>0.10267950000000001</v>
      </c>
      <c r="BV187">
        <v>0.10267950000000001</v>
      </c>
      <c r="BW187">
        <v>-53.952399999999997</v>
      </c>
      <c r="BX187">
        <v>-53.952399999999997</v>
      </c>
      <c r="BY187">
        <v>164.47790000000001</v>
      </c>
      <c r="BZ187">
        <v>164.47790000000001</v>
      </c>
      <c r="CA187">
        <v>0</v>
      </c>
      <c r="CB187">
        <v>0</v>
      </c>
      <c r="CC187">
        <v>0</v>
      </c>
      <c r="CD187">
        <v>180</v>
      </c>
    </row>
    <row r="188" spans="19:82">
      <c r="S188">
        <v>0.67705000000000004</v>
      </c>
      <c r="T188">
        <v>0.98670769999999997</v>
      </c>
      <c r="U188">
        <v>0.98670769999999997</v>
      </c>
      <c r="V188">
        <v>2.3E-6</v>
      </c>
      <c r="W188">
        <v>2.3E-6</v>
      </c>
      <c r="X188">
        <v>1.3290099999999999E-2</v>
      </c>
      <c r="Y188">
        <v>1.3290099999999999E-2</v>
      </c>
      <c r="Z188">
        <v>-107.95610000000001</v>
      </c>
      <c r="AA188">
        <v>-107.95610000000001</v>
      </c>
      <c r="AB188">
        <v>-163.58279999999999</v>
      </c>
      <c r="AC188">
        <v>-163.58279999999999</v>
      </c>
      <c r="AD188">
        <v>0</v>
      </c>
      <c r="AE188">
        <v>0</v>
      </c>
      <c r="AF188">
        <v>0</v>
      </c>
      <c r="AG188">
        <v>180</v>
      </c>
      <c r="AI188">
        <v>0.67705000000000004</v>
      </c>
      <c r="AJ188">
        <v>0.985267</v>
      </c>
      <c r="AK188">
        <v>0.985267</v>
      </c>
      <c r="AL188">
        <v>3.3000000000000002E-6</v>
      </c>
      <c r="AM188">
        <v>3.3000000000000002E-6</v>
      </c>
      <c r="AN188">
        <v>1.47297E-2</v>
      </c>
      <c r="AO188">
        <v>1.47297E-2</v>
      </c>
      <c r="AP188">
        <v>-98.295299999999997</v>
      </c>
      <c r="AQ188">
        <v>-98.295299999999997</v>
      </c>
      <c r="AR188">
        <v>-146.63290000000001</v>
      </c>
      <c r="AS188">
        <v>-146.63290000000001</v>
      </c>
      <c r="AT188">
        <v>0</v>
      </c>
      <c r="AU188">
        <v>0</v>
      </c>
      <c r="AV188">
        <v>0</v>
      </c>
      <c r="AW188">
        <v>180</v>
      </c>
      <c r="AY188">
        <v>0.67705000000000004</v>
      </c>
      <c r="AZ188">
        <v>4.9427999999999998E-3</v>
      </c>
      <c r="BA188">
        <v>4.9427999999999998E-3</v>
      </c>
      <c r="BB188">
        <v>0.99436480000000005</v>
      </c>
      <c r="BC188">
        <v>0.99436480000000005</v>
      </c>
      <c r="BD188">
        <v>6.9240000000000002E-4</v>
      </c>
      <c r="BE188">
        <v>6.9240000000000002E-4</v>
      </c>
      <c r="BF188">
        <v>17.493400000000001</v>
      </c>
      <c r="BG188">
        <v>17.493400000000001</v>
      </c>
      <c r="BH188">
        <v>164.3057</v>
      </c>
      <c r="BI188">
        <v>164.3057</v>
      </c>
      <c r="BJ188">
        <v>0</v>
      </c>
      <c r="BK188">
        <v>0</v>
      </c>
      <c r="BL188">
        <v>0</v>
      </c>
      <c r="BM188">
        <v>180</v>
      </c>
      <c r="BP188">
        <v>0.67705000000000004</v>
      </c>
      <c r="BQ188">
        <v>0.89681860000000002</v>
      </c>
      <c r="BR188">
        <v>0.89681860000000002</v>
      </c>
      <c r="BS188">
        <v>0</v>
      </c>
      <c r="BT188">
        <v>0</v>
      </c>
      <c r="BU188">
        <v>0.10318140000000001</v>
      </c>
      <c r="BV188">
        <v>0.10318140000000001</v>
      </c>
      <c r="BW188">
        <v>-54.317500000000003</v>
      </c>
      <c r="BX188">
        <v>-54.317500000000003</v>
      </c>
      <c r="BY188">
        <v>164.4776</v>
      </c>
      <c r="BZ188">
        <v>164.4776</v>
      </c>
      <c r="CA188">
        <v>0</v>
      </c>
      <c r="CB188">
        <v>0</v>
      </c>
      <c r="CC188">
        <v>0</v>
      </c>
      <c r="CD188">
        <v>180</v>
      </c>
    </row>
    <row r="189" spans="19:82">
      <c r="S189">
        <v>0.6784</v>
      </c>
      <c r="T189">
        <v>0.98672369999999998</v>
      </c>
      <c r="U189">
        <v>0.98672369999999998</v>
      </c>
      <c r="V189">
        <v>2.2000000000000001E-6</v>
      </c>
      <c r="W189">
        <v>2.2000000000000001E-6</v>
      </c>
      <c r="X189">
        <v>1.32741E-2</v>
      </c>
      <c r="Y189">
        <v>1.32741E-2</v>
      </c>
      <c r="Z189">
        <v>-107.7505</v>
      </c>
      <c r="AA189">
        <v>-107.7505</v>
      </c>
      <c r="AB189">
        <v>-163.27010000000001</v>
      </c>
      <c r="AC189">
        <v>-163.27010000000001</v>
      </c>
      <c r="AD189">
        <v>0</v>
      </c>
      <c r="AE189">
        <v>0</v>
      </c>
      <c r="AF189">
        <v>0</v>
      </c>
      <c r="AG189">
        <v>180</v>
      </c>
      <c r="AI189">
        <v>0.6784</v>
      </c>
      <c r="AJ189">
        <v>0.9852592</v>
      </c>
      <c r="AK189">
        <v>0.9852592</v>
      </c>
      <c r="AL189">
        <v>3.3000000000000002E-6</v>
      </c>
      <c r="AM189">
        <v>3.3000000000000002E-6</v>
      </c>
      <c r="AN189">
        <v>1.4737500000000001E-2</v>
      </c>
      <c r="AO189">
        <v>1.4737500000000001E-2</v>
      </c>
      <c r="AP189">
        <v>-98.077799999999996</v>
      </c>
      <c r="AQ189">
        <v>-98.077799999999996</v>
      </c>
      <c r="AR189">
        <v>-146.29079999999999</v>
      </c>
      <c r="AS189">
        <v>-146.29079999999999</v>
      </c>
      <c r="AT189">
        <v>0</v>
      </c>
      <c r="AU189">
        <v>0</v>
      </c>
      <c r="AV189">
        <v>0</v>
      </c>
      <c r="AW189">
        <v>180</v>
      </c>
      <c r="AY189">
        <v>0.6784</v>
      </c>
      <c r="AZ189">
        <v>4.9785000000000003E-3</v>
      </c>
      <c r="BA189">
        <v>4.9785000000000003E-3</v>
      </c>
      <c r="BB189">
        <v>0.99433490000000002</v>
      </c>
      <c r="BC189">
        <v>0.99433490000000002</v>
      </c>
      <c r="BD189">
        <v>6.8659999999999999E-4</v>
      </c>
      <c r="BE189">
        <v>6.8659999999999999E-4</v>
      </c>
      <c r="BF189">
        <v>18.2258</v>
      </c>
      <c r="BG189">
        <v>18.2258</v>
      </c>
      <c r="BH189">
        <v>164.20079999999999</v>
      </c>
      <c r="BI189">
        <v>164.20079999999999</v>
      </c>
      <c r="BJ189">
        <v>0</v>
      </c>
      <c r="BK189">
        <v>0</v>
      </c>
      <c r="BL189">
        <v>0</v>
      </c>
      <c r="BM189">
        <v>180</v>
      </c>
      <c r="BP189">
        <v>0.6784</v>
      </c>
      <c r="BQ189">
        <v>0.89631660000000002</v>
      </c>
      <c r="BR189">
        <v>0.89631660000000002</v>
      </c>
      <c r="BS189">
        <v>0</v>
      </c>
      <c r="BT189">
        <v>0</v>
      </c>
      <c r="BU189">
        <v>0.1036834</v>
      </c>
      <c r="BV189">
        <v>0.1036834</v>
      </c>
      <c r="BW189">
        <v>-54.681199999999997</v>
      </c>
      <c r="BX189">
        <v>-54.681199999999997</v>
      </c>
      <c r="BY189">
        <v>164.47730000000001</v>
      </c>
      <c r="BZ189">
        <v>164.47730000000001</v>
      </c>
      <c r="CA189">
        <v>0</v>
      </c>
      <c r="CB189">
        <v>0</v>
      </c>
      <c r="CC189">
        <v>0</v>
      </c>
      <c r="CD189">
        <v>180</v>
      </c>
    </row>
    <row r="190" spans="19:82">
      <c r="S190">
        <v>0.67974999999999997</v>
      </c>
      <c r="T190">
        <v>0.98673909999999998</v>
      </c>
      <c r="U190">
        <v>0.98673909999999998</v>
      </c>
      <c r="V190">
        <v>2.2000000000000001E-6</v>
      </c>
      <c r="W190">
        <v>2.2000000000000001E-6</v>
      </c>
      <c r="X190">
        <v>1.32587E-2</v>
      </c>
      <c r="Y190">
        <v>1.32587E-2</v>
      </c>
      <c r="Z190">
        <v>-107.5455</v>
      </c>
      <c r="AA190">
        <v>-107.5455</v>
      </c>
      <c r="AB190">
        <v>-162.9579</v>
      </c>
      <c r="AC190">
        <v>-162.9579</v>
      </c>
      <c r="AD190">
        <v>0</v>
      </c>
      <c r="AE190">
        <v>0</v>
      </c>
      <c r="AF190">
        <v>0</v>
      </c>
      <c r="AG190">
        <v>180</v>
      </c>
      <c r="AI190">
        <v>0.67974999999999997</v>
      </c>
      <c r="AJ190">
        <v>0.98525090000000004</v>
      </c>
      <c r="AK190">
        <v>0.98525090000000004</v>
      </c>
      <c r="AL190">
        <v>3.1999999999999999E-6</v>
      </c>
      <c r="AM190">
        <v>3.1999999999999999E-6</v>
      </c>
      <c r="AN190">
        <v>1.47458E-2</v>
      </c>
      <c r="AO190">
        <v>1.47458E-2</v>
      </c>
      <c r="AP190">
        <v>-97.860399999999998</v>
      </c>
      <c r="AQ190">
        <v>-97.860399999999998</v>
      </c>
      <c r="AR190">
        <v>-145.94880000000001</v>
      </c>
      <c r="AS190">
        <v>-145.94880000000001</v>
      </c>
      <c r="AT190">
        <v>0</v>
      </c>
      <c r="AU190">
        <v>0</v>
      </c>
      <c r="AV190">
        <v>0</v>
      </c>
      <c r="AW190">
        <v>180</v>
      </c>
      <c r="AY190">
        <v>0.67974999999999997</v>
      </c>
      <c r="AZ190">
        <v>5.0140000000000002E-3</v>
      </c>
      <c r="BA190">
        <v>5.0140000000000002E-3</v>
      </c>
      <c r="BB190">
        <v>0.9943052</v>
      </c>
      <c r="BC190">
        <v>0.9943052</v>
      </c>
      <c r="BD190">
        <v>6.8090000000000002E-4</v>
      </c>
      <c r="BE190">
        <v>6.8090000000000002E-4</v>
      </c>
      <c r="BF190">
        <v>18.955300000000001</v>
      </c>
      <c r="BG190">
        <v>18.955300000000001</v>
      </c>
      <c r="BH190">
        <v>164.10640000000001</v>
      </c>
      <c r="BI190">
        <v>164.10640000000001</v>
      </c>
      <c r="BJ190">
        <v>0</v>
      </c>
      <c r="BK190">
        <v>0</v>
      </c>
      <c r="BL190">
        <v>0</v>
      </c>
      <c r="BM190">
        <v>180</v>
      </c>
      <c r="BP190">
        <v>0.67974999999999997</v>
      </c>
      <c r="BQ190">
        <v>0.89581469999999996</v>
      </c>
      <c r="BR190">
        <v>0.89581469999999996</v>
      </c>
      <c r="BS190">
        <v>0</v>
      </c>
      <c r="BT190">
        <v>0</v>
      </c>
      <c r="BU190">
        <v>0.10418529999999999</v>
      </c>
      <c r="BV190">
        <v>0.10418529999999999</v>
      </c>
      <c r="BW190">
        <v>-55.043700000000001</v>
      </c>
      <c r="BX190">
        <v>-55.043700000000001</v>
      </c>
      <c r="BY190">
        <v>164.477</v>
      </c>
      <c r="BZ190">
        <v>164.477</v>
      </c>
      <c r="CA190">
        <v>0</v>
      </c>
      <c r="CB190">
        <v>0</v>
      </c>
      <c r="CC190">
        <v>0</v>
      </c>
      <c r="CD190">
        <v>180</v>
      </c>
    </row>
    <row r="191" spans="19:82">
      <c r="S191">
        <v>0.68110000000000004</v>
      </c>
      <c r="T191">
        <v>0.98675389999999996</v>
      </c>
      <c r="U191">
        <v>0.98675389999999996</v>
      </c>
      <c r="V191">
        <v>2.2000000000000001E-6</v>
      </c>
      <c r="W191">
        <v>2.2000000000000001E-6</v>
      </c>
      <c r="X191">
        <v>1.3243899999999999E-2</v>
      </c>
      <c r="Y191">
        <v>1.3243899999999999E-2</v>
      </c>
      <c r="Z191">
        <v>-107.3409</v>
      </c>
      <c r="AA191">
        <v>-107.3409</v>
      </c>
      <c r="AB191">
        <v>-162.64619999999999</v>
      </c>
      <c r="AC191">
        <v>-162.64619999999999</v>
      </c>
      <c r="AD191">
        <v>0</v>
      </c>
      <c r="AE191">
        <v>0</v>
      </c>
      <c r="AF191">
        <v>0</v>
      </c>
      <c r="AG191">
        <v>180</v>
      </c>
      <c r="AI191">
        <v>0.68110000000000004</v>
      </c>
      <c r="AJ191">
        <v>0.98524210000000001</v>
      </c>
      <c r="AK191">
        <v>0.98524210000000001</v>
      </c>
      <c r="AL191">
        <v>3.1999999999999999E-6</v>
      </c>
      <c r="AM191">
        <v>3.1999999999999999E-6</v>
      </c>
      <c r="AN191">
        <v>1.4754700000000001E-2</v>
      </c>
      <c r="AO191">
        <v>1.4754700000000001E-2</v>
      </c>
      <c r="AP191">
        <v>-97.643299999999996</v>
      </c>
      <c r="AQ191">
        <v>-97.643299999999996</v>
      </c>
      <c r="AR191">
        <v>-145.60669999999999</v>
      </c>
      <c r="AS191">
        <v>-145.60669999999999</v>
      </c>
      <c r="AT191">
        <v>0</v>
      </c>
      <c r="AU191">
        <v>0</v>
      </c>
      <c r="AV191">
        <v>0</v>
      </c>
      <c r="AW191">
        <v>180</v>
      </c>
      <c r="AY191">
        <v>0.68110000000000004</v>
      </c>
      <c r="AZ191">
        <v>5.0490999999999999E-3</v>
      </c>
      <c r="BA191">
        <v>5.0490999999999999E-3</v>
      </c>
      <c r="BB191">
        <v>0.99427580000000004</v>
      </c>
      <c r="BC191">
        <v>0.99427580000000004</v>
      </c>
      <c r="BD191">
        <v>6.7509999999999998E-4</v>
      </c>
      <c r="BE191">
        <v>6.7509999999999998E-4</v>
      </c>
      <c r="BF191">
        <v>19.681899999999999</v>
      </c>
      <c r="BG191">
        <v>19.681899999999999</v>
      </c>
      <c r="BH191">
        <v>164.0223</v>
      </c>
      <c r="BI191">
        <v>164.0223</v>
      </c>
      <c r="BJ191">
        <v>0</v>
      </c>
      <c r="BK191">
        <v>0</v>
      </c>
      <c r="BL191">
        <v>0</v>
      </c>
      <c r="BM191">
        <v>180</v>
      </c>
      <c r="BP191">
        <v>0.68110000000000004</v>
      </c>
      <c r="BQ191">
        <v>0.89531289999999997</v>
      </c>
      <c r="BR191">
        <v>0.89531289999999997</v>
      </c>
      <c r="BS191">
        <v>0</v>
      </c>
      <c r="BT191">
        <v>0</v>
      </c>
      <c r="BU191">
        <v>0.10468710000000001</v>
      </c>
      <c r="BV191">
        <v>0.10468710000000001</v>
      </c>
      <c r="BW191">
        <v>-55.405000000000001</v>
      </c>
      <c r="BX191">
        <v>-55.405000000000001</v>
      </c>
      <c r="BY191">
        <v>164.47669999999999</v>
      </c>
      <c r="BZ191">
        <v>164.47669999999999</v>
      </c>
      <c r="CA191">
        <v>0</v>
      </c>
      <c r="CB191">
        <v>0</v>
      </c>
      <c r="CC191">
        <v>0</v>
      </c>
      <c r="CD191">
        <v>180</v>
      </c>
    </row>
    <row r="192" spans="19:82">
      <c r="S192">
        <v>0.68245</v>
      </c>
      <c r="T192">
        <v>0.98676810000000004</v>
      </c>
      <c r="U192">
        <v>0.98676810000000004</v>
      </c>
      <c r="V192">
        <v>2.2000000000000001E-6</v>
      </c>
      <c r="W192">
        <v>2.2000000000000001E-6</v>
      </c>
      <c r="X192">
        <v>1.32298E-2</v>
      </c>
      <c r="Y192">
        <v>1.32298E-2</v>
      </c>
      <c r="Z192">
        <v>-107.13679999999999</v>
      </c>
      <c r="AA192">
        <v>-107.13679999999999</v>
      </c>
      <c r="AB192">
        <v>-162.33500000000001</v>
      </c>
      <c r="AC192">
        <v>-162.33500000000001</v>
      </c>
      <c r="AD192">
        <v>0</v>
      </c>
      <c r="AE192">
        <v>0</v>
      </c>
      <c r="AF192">
        <v>0</v>
      </c>
      <c r="AG192">
        <v>180</v>
      </c>
      <c r="AI192">
        <v>0.68245</v>
      </c>
      <c r="AJ192">
        <v>0.98523280000000002</v>
      </c>
      <c r="AK192">
        <v>0.98523280000000002</v>
      </c>
      <c r="AL192">
        <v>3.1999999999999999E-6</v>
      </c>
      <c r="AM192">
        <v>3.1999999999999999E-6</v>
      </c>
      <c r="AN192">
        <v>1.4763999999999999E-2</v>
      </c>
      <c r="AO192">
        <v>1.4763999999999999E-2</v>
      </c>
      <c r="AP192">
        <v>-97.426299999999998</v>
      </c>
      <c r="AQ192">
        <v>-97.426299999999998</v>
      </c>
      <c r="AR192">
        <v>-145.2646</v>
      </c>
      <c r="AS192">
        <v>-145.2646</v>
      </c>
      <c r="AT192">
        <v>0</v>
      </c>
      <c r="AU192">
        <v>0</v>
      </c>
      <c r="AV192">
        <v>0</v>
      </c>
      <c r="AW192">
        <v>180</v>
      </c>
      <c r="AY192">
        <v>0.68245</v>
      </c>
      <c r="AZ192">
        <v>5.0838999999999997E-3</v>
      </c>
      <c r="BA192">
        <v>5.0838999999999997E-3</v>
      </c>
      <c r="BB192">
        <v>0.99424670000000004</v>
      </c>
      <c r="BC192">
        <v>0.99424670000000004</v>
      </c>
      <c r="BD192">
        <v>6.6940000000000001E-4</v>
      </c>
      <c r="BE192">
        <v>6.6940000000000001E-4</v>
      </c>
      <c r="BF192">
        <v>20.4055</v>
      </c>
      <c r="BG192">
        <v>20.4055</v>
      </c>
      <c r="BH192">
        <v>163.94820000000001</v>
      </c>
      <c r="BI192">
        <v>163.94820000000001</v>
      </c>
      <c r="BJ192">
        <v>0</v>
      </c>
      <c r="BK192">
        <v>0</v>
      </c>
      <c r="BL192">
        <v>0</v>
      </c>
      <c r="BM192">
        <v>180</v>
      </c>
      <c r="BP192">
        <v>0.68245</v>
      </c>
      <c r="BQ192">
        <v>0.89481109999999997</v>
      </c>
      <c r="BR192">
        <v>0.89481109999999997</v>
      </c>
      <c r="BS192">
        <v>0</v>
      </c>
      <c r="BT192">
        <v>0</v>
      </c>
      <c r="BU192">
        <v>0.1051889</v>
      </c>
      <c r="BV192">
        <v>0.1051889</v>
      </c>
      <c r="BW192">
        <v>-55.765099999999997</v>
      </c>
      <c r="BX192">
        <v>-55.765099999999997</v>
      </c>
      <c r="BY192">
        <v>164.47649999999999</v>
      </c>
      <c r="BZ192">
        <v>164.47649999999999</v>
      </c>
      <c r="CA192">
        <v>0</v>
      </c>
      <c r="CB192">
        <v>0</v>
      </c>
      <c r="CC192">
        <v>0</v>
      </c>
      <c r="CD192">
        <v>180</v>
      </c>
    </row>
    <row r="193" spans="19:82">
      <c r="S193">
        <v>0.68379999999999996</v>
      </c>
      <c r="T193">
        <v>0.98678169999999998</v>
      </c>
      <c r="U193">
        <v>0.98678169999999998</v>
      </c>
      <c r="V193">
        <v>2.2000000000000001E-6</v>
      </c>
      <c r="W193">
        <v>2.2000000000000001E-6</v>
      </c>
      <c r="X193">
        <v>1.3216200000000001E-2</v>
      </c>
      <c r="Y193">
        <v>1.3216200000000001E-2</v>
      </c>
      <c r="Z193">
        <v>-106.9332</v>
      </c>
      <c r="AA193">
        <v>-106.9332</v>
      </c>
      <c r="AB193">
        <v>-162.02430000000001</v>
      </c>
      <c r="AC193">
        <v>-162.02430000000001</v>
      </c>
      <c r="AD193">
        <v>0</v>
      </c>
      <c r="AE193">
        <v>0</v>
      </c>
      <c r="AF193">
        <v>0</v>
      </c>
      <c r="AG193">
        <v>180</v>
      </c>
      <c r="AI193">
        <v>0.68379999999999996</v>
      </c>
      <c r="AJ193">
        <v>0.98522299999999996</v>
      </c>
      <c r="AK193">
        <v>0.98522299999999996</v>
      </c>
      <c r="AL193">
        <v>3.1999999999999999E-6</v>
      </c>
      <c r="AM193">
        <v>3.1999999999999999E-6</v>
      </c>
      <c r="AN193">
        <v>1.47738E-2</v>
      </c>
      <c r="AO193">
        <v>1.47738E-2</v>
      </c>
      <c r="AP193">
        <v>-97.209599999999995</v>
      </c>
      <c r="AQ193">
        <v>-97.209599999999995</v>
      </c>
      <c r="AR193">
        <v>-144.92240000000001</v>
      </c>
      <c r="AS193">
        <v>-144.92240000000001</v>
      </c>
      <c r="AT193">
        <v>0</v>
      </c>
      <c r="AU193">
        <v>0</v>
      </c>
      <c r="AV193">
        <v>0</v>
      </c>
      <c r="AW193">
        <v>180</v>
      </c>
      <c r="AY193">
        <v>0.68379999999999996</v>
      </c>
      <c r="AZ193">
        <v>5.1181999999999998E-3</v>
      </c>
      <c r="BA193">
        <v>5.1181999999999998E-3</v>
      </c>
      <c r="BB193">
        <v>0.99421809999999999</v>
      </c>
      <c r="BC193">
        <v>0.99421809999999999</v>
      </c>
      <c r="BD193">
        <v>6.6370000000000003E-4</v>
      </c>
      <c r="BE193">
        <v>6.6370000000000003E-4</v>
      </c>
      <c r="BF193">
        <v>21.126300000000001</v>
      </c>
      <c r="BG193">
        <v>21.126300000000001</v>
      </c>
      <c r="BH193">
        <v>163.88390000000001</v>
      </c>
      <c r="BI193">
        <v>163.88390000000001</v>
      </c>
      <c r="BJ193">
        <v>0</v>
      </c>
      <c r="BK193">
        <v>0</v>
      </c>
      <c r="BL193">
        <v>0</v>
      </c>
      <c r="BM193">
        <v>180</v>
      </c>
      <c r="BP193">
        <v>0.68379999999999996</v>
      </c>
      <c r="BQ193">
        <v>0.89430929999999997</v>
      </c>
      <c r="BR193">
        <v>0.89430929999999997</v>
      </c>
      <c r="BS193">
        <v>0</v>
      </c>
      <c r="BT193">
        <v>0</v>
      </c>
      <c r="BU193">
        <v>0.1056907</v>
      </c>
      <c r="BV193">
        <v>0.1056907</v>
      </c>
      <c r="BW193">
        <v>-56.123899999999999</v>
      </c>
      <c r="BX193">
        <v>-56.123899999999999</v>
      </c>
      <c r="BY193">
        <v>164.47640000000001</v>
      </c>
      <c r="BZ193">
        <v>164.47640000000001</v>
      </c>
      <c r="CA193">
        <v>0</v>
      </c>
      <c r="CB193">
        <v>0</v>
      </c>
      <c r="CC193">
        <v>0</v>
      </c>
      <c r="CD193">
        <v>180</v>
      </c>
    </row>
    <row r="194" spans="19:82">
      <c r="S194">
        <v>0.68515000000000004</v>
      </c>
      <c r="T194">
        <v>0.98679470000000002</v>
      </c>
      <c r="U194">
        <v>0.98679470000000002</v>
      </c>
      <c r="V194">
        <v>2.2000000000000001E-6</v>
      </c>
      <c r="W194">
        <v>2.2000000000000001E-6</v>
      </c>
      <c r="X194">
        <v>1.32032E-2</v>
      </c>
      <c r="Y194">
        <v>1.32032E-2</v>
      </c>
      <c r="Z194">
        <v>-106.73</v>
      </c>
      <c r="AA194">
        <v>-106.73</v>
      </c>
      <c r="AB194">
        <v>-161.714</v>
      </c>
      <c r="AC194">
        <v>-161.714</v>
      </c>
      <c r="AD194">
        <v>0</v>
      </c>
      <c r="AE194">
        <v>0</v>
      </c>
      <c r="AF194">
        <v>0</v>
      </c>
      <c r="AG194">
        <v>180</v>
      </c>
      <c r="AI194">
        <v>0.68515000000000004</v>
      </c>
      <c r="AJ194">
        <v>0.98521270000000005</v>
      </c>
      <c r="AK194">
        <v>0.98521270000000005</v>
      </c>
      <c r="AL194">
        <v>3.1999999999999999E-6</v>
      </c>
      <c r="AM194">
        <v>3.1999999999999999E-6</v>
      </c>
      <c r="AN194">
        <v>1.4784200000000001E-2</v>
      </c>
      <c r="AO194">
        <v>1.4784200000000001E-2</v>
      </c>
      <c r="AP194">
        <v>-96.992999999999995</v>
      </c>
      <c r="AQ194">
        <v>-96.992999999999995</v>
      </c>
      <c r="AR194">
        <v>-144.58009999999999</v>
      </c>
      <c r="AS194">
        <v>-144.58009999999999</v>
      </c>
      <c r="AT194">
        <v>0</v>
      </c>
      <c r="AU194">
        <v>0</v>
      </c>
      <c r="AV194">
        <v>0</v>
      </c>
      <c r="AW194">
        <v>180</v>
      </c>
      <c r="AY194">
        <v>0.68515000000000004</v>
      </c>
      <c r="AZ194">
        <v>5.1520000000000003E-3</v>
      </c>
      <c r="BA194">
        <v>5.1520000000000003E-3</v>
      </c>
      <c r="BB194">
        <v>0.99419000000000002</v>
      </c>
      <c r="BC194">
        <v>0.99419000000000002</v>
      </c>
      <c r="BD194">
        <v>6.5799999999999995E-4</v>
      </c>
      <c r="BE194">
        <v>6.5799999999999995E-4</v>
      </c>
      <c r="BF194">
        <v>21.844100000000001</v>
      </c>
      <c r="BG194">
        <v>21.844100000000001</v>
      </c>
      <c r="BH194">
        <v>163.82919999999999</v>
      </c>
      <c r="BI194">
        <v>163.82919999999999</v>
      </c>
      <c r="BJ194">
        <v>0</v>
      </c>
      <c r="BK194">
        <v>0</v>
      </c>
      <c r="BL194">
        <v>0</v>
      </c>
      <c r="BM194">
        <v>180</v>
      </c>
      <c r="BP194">
        <v>0.68515000000000004</v>
      </c>
      <c r="BQ194">
        <v>0.89380760000000004</v>
      </c>
      <c r="BR194">
        <v>0.89380760000000004</v>
      </c>
      <c r="BS194">
        <v>0</v>
      </c>
      <c r="BT194">
        <v>0</v>
      </c>
      <c r="BU194">
        <v>0.10619240000000001</v>
      </c>
      <c r="BV194">
        <v>0.10619240000000001</v>
      </c>
      <c r="BW194">
        <v>-56.481499999999997</v>
      </c>
      <c r="BX194">
        <v>-56.481499999999997</v>
      </c>
      <c r="BY194">
        <v>164.47620000000001</v>
      </c>
      <c r="BZ194">
        <v>164.47620000000001</v>
      </c>
      <c r="CA194">
        <v>0</v>
      </c>
      <c r="CB194">
        <v>0</v>
      </c>
      <c r="CC194">
        <v>0</v>
      </c>
      <c r="CD194">
        <v>180</v>
      </c>
    </row>
    <row r="195" spans="19:82">
      <c r="S195">
        <v>0.6865</v>
      </c>
      <c r="T195">
        <v>0.9868072</v>
      </c>
      <c r="U195">
        <v>0.9868072</v>
      </c>
      <c r="V195">
        <v>2.0999999999999998E-6</v>
      </c>
      <c r="W195">
        <v>2.0999999999999998E-6</v>
      </c>
      <c r="X195">
        <v>1.31907E-2</v>
      </c>
      <c r="Y195">
        <v>1.31907E-2</v>
      </c>
      <c r="Z195">
        <v>-106.5273</v>
      </c>
      <c r="AA195">
        <v>-106.5273</v>
      </c>
      <c r="AB195">
        <v>-161.4042</v>
      </c>
      <c r="AC195">
        <v>-161.4042</v>
      </c>
      <c r="AD195">
        <v>0</v>
      </c>
      <c r="AE195">
        <v>0</v>
      </c>
      <c r="AF195">
        <v>0</v>
      </c>
      <c r="AG195">
        <v>180</v>
      </c>
      <c r="AI195">
        <v>0.6865</v>
      </c>
      <c r="AJ195">
        <v>0.98520180000000002</v>
      </c>
      <c r="AK195">
        <v>0.98520180000000002</v>
      </c>
      <c r="AL195">
        <v>3.1E-6</v>
      </c>
      <c r="AM195">
        <v>3.1E-6</v>
      </c>
      <c r="AN195">
        <v>1.4795000000000001E-2</v>
      </c>
      <c r="AO195">
        <v>1.4795000000000001E-2</v>
      </c>
      <c r="AP195">
        <v>-96.776600000000002</v>
      </c>
      <c r="AQ195">
        <v>-96.776600000000002</v>
      </c>
      <c r="AR195">
        <v>-144.23779999999999</v>
      </c>
      <c r="AS195">
        <v>-144.23779999999999</v>
      </c>
      <c r="AT195">
        <v>0</v>
      </c>
      <c r="AU195">
        <v>0</v>
      </c>
      <c r="AV195">
        <v>0</v>
      </c>
      <c r="AW195">
        <v>180</v>
      </c>
      <c r="AY195">
        <v>0.6865</v>
      </c>
      <c r="AZ195">
        <v>5.1852000000000001E-3</v>
      </c>
      <c r="BA195">
        <v>5.1852000000000001E-3</v>
      </c>
      <c r="BB195">
        <v>0.99416249999999995</v>
      </c>
      <c r="BC195">
        <v>0.99416249999999995</v>
      </c>
      <c r="BD195">
        <v>6.5229999999999997E-4</v>
      </c>
      <c r="BE195">
        <v>6.5229999999999997E-4</v>
      </c>
      <c r="BF195">
        <v>22.559100000000001</v>
      </c>
      <c r="BG195">
        <v>22.559100000000001</v>
      </c>
      <c r="BH195">
        <v>163.78389999999999</v>
      </c>
      <c r="BI195">
        <v>163.78389999999999</v>
      </c>
      <c r="BJ195">
        <v>0</v>
      </c>
      <c r="BK195">
        <v>0</v>
      </c>
      <c r="BL195">
        <v>0</v>
      </c>
      <c r="BM195">
        <v>180</v>
      </c>
      <c r="BP195">
        <v>0.6865</v>
      </c>
      <c r="BQ195">
        <v>0.89330600000000004</v>
      </c>
      <c r="BR195">
        <v>0.89330600000000004</v>
      </c>
      <c r="BS195">
        <v>0</v>
      </c>
      <c r="BT195">
        <v>0</v>
      </c>
      <c r="BU195">
        <v>0.106694</v>
      </c>
      <c r="BV195">
        <v>0.106694</v>
      </c>
      <c r="BW195">
        <v>-56.837899999999998</v>
      </c>
      <c r="BX195">
        <v>-56.837899999999998</v>
      </c>
      <c r="BY195">
        <v>164.4761</v>
      </c>
      <c r="BZ195">
        <v>164.4761</v>
      </c>
      <c r="CA195">
        <v>0</v>
      </c>
      <c r="CB195">
        <v>0</v>
      </c>
      <c r="CC195">
        <v>0</v>
      </c>
      <c r="CD195">
        <v>180</v>
      </c>
    </row>
    <row r="196" spans="19:82">
      <c r="S196">
        <v>0.68784999999999996</v>
      </c>
      <c r="T196">
        <v>0.98681909999999995</v>
      </c>
      <c r="U196">
        <v>0.98681909999999995</v>
      </c>
      <c r="V196">
        <v>2.0999999999999998E-6</v>
      </c>
      <c r="W196">
        <v>2.0999999999999998E-6</v>
      </c>
      <c r="X196">
        <v>1.3178799999999999E-2</v>
      </c>
      <c r="Y196">
        <v>1.3178799999999999E-2</v>
      </c>
      <c r="Z196">
        <v>-106.325</v>
      </c>
      <c r="AA196">
        <v>-106.325</v>
      </c>
      <c r="AB196">
        <v>-161.0949</v>
      </c>
      <c r="AC196">
        <v>-161.0949</v>
      </c>
      <c r="AD196">
        <v>0</v>
      </c>
      <c r="AE196">
        <v>0</v>
      </c>
      <c r="AF196">
        <v>0</v>
      </c>
      <c r="AG196">
        <v>180</v>
      </c>
      <c r="AI196">
        <v>0.68784999999999996</v>
      </c>
      <c r="AJ196">
        <v>0.98519049999999997</v>
      </c>
      <c r="AK196">
        <v>0.98519049999999997</v>
      </c>
      <c r="AL196">
        <v>3.1E-6</v>
      </c>
      <c r="AM196">
        <v>3.1E-6</v>
      </c>
      <c r="AN196">
        <v>1.48063E-2</v>
      </c>
      <c r="AO196">
        <v>1.48063E-2</v>
      </c>
      <c r="AP196">
        <v>-96.560400000000001</v>
      </c>
      <c r="AQ196">
        <v>-96.560400000000001</v>
      </c>
      <c r="AR196">
        <v>-143.8954</v>
      </c>
      <c r="AS196">
        <v>-143.8954</v>
      </c>
      <c r="AT196">
        <v>0</v>
      </c>
      <c r="AU196">
        <v>0</v>
      </c>
      <c r="AV196">
        <v>0</v>
      </c>
      <c r="AW196">
        <v>180</v>
      </c>
      <c r="AY196">
        <v>0.68784999999999996</v>
      </c>
      <c r="AZ196">
        <v>5.2176999999999996E-3</v>
      </c>
      <c r="BA196">
        <v>5.2176999999999996E-3</v>
      </c>
      <c r="BB196">
        <v>0.99413560000000001</v>
      </c>
      <c r="BC196">
        <v>0.99413560000000001</v>
      </c>
      <c r="BD196">
        <v>6.4670000000000005E-4</v>
      </c>
      <c r="BE196">
        <v>6.4670000000000005E-4</v>
      </c>
      <c r="BF196">
        <v>23.2712</v>
      </c>
      <c r="BG196">
        <v>23.2712</v>
      </c>
      <c r="BH196">
        <v>163.74780000000001</v>
      </c>
      <c r="BI196">
        <v>163.74780000000001</v>
      </c>
      <c r="BJ196">
        <v>0</v>
      </c>
      <c r="BK196">
        <v>0</v>
      </c>
      <c r="BL196">
        <v>0</v>
      </c>
      <c r="BM196">
        <v>180</v>
      </c>
      <c r="BP196">
        <v>0.68784999999999996</v>
      </c>
      <c r="BQ196">
        <v>0.89280440000000005</v>
      </c>
      <c r="BR196">
        <v>0.89280440000000005</v>
      </c>
      <c r="BS196">
        <v>0</v>
      </c>
      <c r="BT196">
        <v>0</v>
      </c>
      <c r="BU196">
        <v>0.1071956</v>
      </c>
      <c r="BV196">
        <v>0.1071956</v>
      </c>
      <c r="BW196">
        <v>-57.193199999999997</v>
      </c>
      <c r="BX196">
        <v>-57.193199999999997</v>
      </c>
      <c r="BY196">
        <v>164.476</v>
      </c>
      <c r="BZ196">
        <v>164.476</v>
      </c>
      <c r="CA196">
        <v>0</v>
      </c>
      <c r="CB196">
        <v>0</v>
      </c>
      <c r="CC196">
        <v>0</v>
      </c>
      <c r="CD196">
        <v>180</v>
      </c>
    </row>
    <row r="197" spans="19:82">
      <c r="S197">
        <v>0.68920000000000003</v>
      </c>
      <c r="T197">
        <v>0.9868304</v>
      </c>
      <c r="U197">
        <v>0.9868304</v>
      </c>
      <c r="V197">
        <v>2.0999999999999998E-6</v>
      </c>
      <c r="W197">
        <v>2.0999999999999998E-6</v>
      </c>
      <c r="X197">
        <v>1.31675E-2</v>
      </c>
      <c r="Y197">
        <v>1.31675E-2</v>
      </c>
      <c r="Z197">
        <v>-106.1232</v>
      </c>
      <c r="AA197">
        <v>-106.1232</v>
      </c>
      <c r="AB197">
        <v>-160.7859</v>
      </c>
      <c r="AC197">
        <v>-160.7859</v>
      </c>
      <c r="AD197">
        <v>0</v>
      </c>
      <c r="AE197">
        <v>0</v>
      </c>
      <c r="AF197">
        <v>0</v>
      </c>
      <c r="AG197">
        <v>180</v>
      </c>
      <c r="AI197">
        <v>0.68920000000000003</v>
      </c>
      <c r="AJ197">
        <v>0.98517880000000002</v>
      </c>
      <c r="AK197">
        <v>0.98517880000000002</v>
      </c>
      <c r="AL197">
        <v>3.1E-6</v>
      </c>
      <c r="AM197">
        <v>3.1E-6</v>
      </c>
      <c r="AN197">
        <v>1.48182E-2</v>
      </c>
      <c r="AO197">
        <v>1.48182E-2</v>
      </c>
      <c r="AP197">
        <v>-96.344399999999993</v>
      </c>
      <c r="AQ197">
        <v>-96.344399999999993</v>
      </c>
      <c r="AR197">
        <v>-143.55289999999999</v>
      </c>
      <c r="AS197">
        <v>-143.55289999999999</v>
      </c>
      <c r="AT197">
        <v>0</v>
      </c>
      <c r="AU197">
        <v>0</v>
      </c>
      <c r="AV197">
        <v>0</v>
      </c>
      <c r="AW197">
        <v>180</v>
      </c>
      <c r="AY197">
        <v>0.68920000000000003</v>
      </c>
      <c r="AZ197">
        <v>5.2494999999999998E-3</v>
      </c>
      <c r="BA197">
        <v>5.2494999999999998E-3</v>
      </c>
      <c r="BB197">
        <v>0.99410940000000003</v>
      </c>
      <c r="BC197">
        <v>0.99410940000000003</v>
      </c>
      <c r="BD197">
        <v>6.4110000000000002E-4</v>
      </c>
      <c r="BE197">
        <v>6.4110000000000002E-4</v>
      </c>
      <c r="BF197">
        <v>23.980599999999999</v>
      </c>
      <c r="BG197">
        <v>23.980599999999999</v>
      </c>
      <c r="BH197">
        <v>163.72049999999999</v>
      </c>
      <c r="BI197">
        <v>163.72049999999999</v>
      </c>
      <c r="BJ197">
        <v>0</v>
      </c>
      <c r="BK197">
        <v>0</v>
      </c>
      <c r="BL197">
        <v>0</v>
      </c>
      <c r="BM197">
        <v>180</v>
      </c>
      <c r="BP197">
        <v>0.68920000000000003</v>
      </c>
      <c r="BQ197">
        <v>0.89230290000000001</v>
      </c>
      <c r="BR197">
        <v>0.89230290000000001</v>
      </c>
      <c r="BS197">
        <v>0</v>
      </c>
      <c r="BT197">
        <v>0</v>
      </c>
      <c r="BU197">
        <v>0.1076971</v>
      </c>
      <c r="BV197">
        <v>0.1076971</v>
      </c>
      <c r="BW197">
        <v>-57.547199999999997</v>
      </c>
      <c r="BX197">
        <v>-57.547199999999997</v>
      </c>
      <c r="BY197">
        <v>164.4759</v>
      </c>
      <c r="BZ197">
        <v>164.4759</v>
      </c>
      <c r="CA197">
        <v>0</v>
      </c>
      <c r="CB197">
        <v>0</v>
      </c>
      <c r="CC197">
        <v>0</v>
      </c>
      <c r="CD197">
        <v>180</v>
      </c>
    </row>
    <row r="198" spans="19:82">
      <c r="S198">
        <v>0.69055</v>
      </c>
      <c r="T198">
        <v>0.98684119999999997</v>
      </c>
      <c r="U198">
        <v>0.98684119999999997</v>
      </c>
      <c r="V198">
        <v>2.0999999999999998E-6</v>
      </c>
      <c r="W198">
        <v>2.0999999999999998E-6</v>
      </c>
      <c r="X198">
        <v>1.31567E-2</v>
      </c>
      <c r="Y198">
        <v>1.31567E-2</v>
      </c>
      <c r="Z198">
        <v>-105.9218</v>
      </c>
      <c r="AA198">
        <v>-105.9218</v>
      </c>
      <c r="AB198">
        <v>-160.47739999999999</v>
      </c>
      <c r="AC198">
        <v>-160.47739999999999</v>
      </c>
      <c r="AD198">
        <v>0</v>
      </c>
      <c r="AE198">
        <v>0</v>
      </c>
      <c r="AF198">
        <v>0</v>
      </c>
      <c r="AG198">
        <v>180</v>
      </c>
      <c r="AI198">
        <v>0.69055</v>
      </c>
      <c r="AJ198">
        <v>0.98516649999999995</v>
      </c>
      <c r="AK198">
        <v>0.98516649999999995</v>
      </c>
      <c r="AL198">
        <v>3.1E-6</v>
      </c>
      <c r="AM198">
        <v>3.1E-6</v>
      </c>
      <c r="AN198">
        <v>1.4830400000000001E-2</v>
      </c>
      <c r="AO198">
        <v>1.4830400000000001E-2</v>
      </c>
      <c r="AP198">
        <v>-96.128500000000003</v>
      </c>
      <c r="AQ198">
        <v>-96.128500000000003</v>
      </c>
      <c r="AR198">
        <v>-143.21029999999999</v>
      </c>
      <c r="AS198">
        <v>-143.21029999999999</v>
      </c>
      <c r="AT198">
        <v>0</v>
      </c>
      <c r="AU198">
        <v>0</v>
      </c>
      <c r="AV198">
        <v>0</v>
      </c>
      <c r="AW198">
        <v>180</v>
      </c>
      <c r="AY198">
        <v>0.69055</v>
      </c>
      <c r="AZ198">
        <v>5.2804999999999996E-3</v>
      </c>
      <c r="BA198">
        <v>5.2804999999999996E-3</v>
      </c>
      <c r="BB198">
        <v>0.99408399999999997</v>
      </c>
      <c r="BC198">
        <v>0.99408399999999997</v>
      </c>
      <c r="BD198">
        <v>6.355E-4</v>
      </c>
      <c r="BE198">
        <v>6.355E-4</v>
      </c>
      <c r="BF198">
        <v>24.687100000000001</v>
      </c>
      <c r="BG198">
        <v>24.687100000000001</v>
      </c>
      <c r="BH198">
        <v>163.70189999999999</v>
      </c>
      <c r="BI198">
        <v>163.70189999999999</v>
      </c>
      <c r="BJ198">
        <v>0</v>
      </c>
      <c r="BK198">
        <v>0</v>
      </c>
      <c r="BL198">
        <v>0</v>
      </c>
      <c r="BM198">
        <v>180</v>
      </c>
      <c r="BP198">
        <v>0.69055</v>
      </c>
      <c r="BQ198">
        <v>0.89180139999999997</v>
      </c>
      <c r="BR198">
        <v>0.89180139999999997</v>
      </c>
      <c r="BS198">
        <v>0</v>
      </c>
      <c r="BT198">
        <v>0</v>
      </c>
      <c r="BU198">
        <v>0.10819860000000001</v>
      </c>
      <c r="BV198">
        <v>0.10819860000000001</v>
      </c>
      <c r="BW198">
        <v>-57.9</v>
      </c>
      <c r="BX198">
        <v>-57.9</v>
      </c>
      <c r="BY198">
        <v>164.4759</v>
      </c>
      <c r="BZ198">
        <v>164.4759</v>
      </c>
      <c r="CA198">
        <v>0</v>
      </c>
      <c r="CB198">
        <v>0</v>
      </c>
      <c r="CC198">
        <v>0</v>
      </c>
      <c r="CD198">
        <v>180</v>
      </c>
    </row>
    <row r="199" spans="19:82">
      <c r="S199">
        <v>0.69189999999999996</v>
      </c>
      <c r="T199">
        <v>0.98685149999999999</v>
      </c>
      <c r="U199">
        <v>0.98685149999999999</v>
      </c>
      <c r="V199">
        <v>2.0999999999999998E-6</v>
      </c>
      <c r="W199">
        <v>2.0999999999999998E-6</v>
      </c>
      <c r="X199">
        <v>1.31465E-2</v>
      </c>
      <c r="Y199">
        <v>1.31465E-2</v>
      </c>
      <c r="Z199">
        <v>-105.7208</v>
      </c>
      <c r="AA199">
        <v>-105.7208</v>
      </c>
      <c r="AB199">
        <v>-160.16929999999999</v>
      </c>
      <c r="AC199">
        <v>-160.16929999999999</v>
      </c>
      <c r="AD199">
        <v>0</v>
      </c>
      <c r="AE199">
        <v>0</v>
      </c>
      <c r="AF199">
        <v>0</v>
      </c>
      <c r="AG199">
        <v>180</v>
      </c>
      <c r="AI199">
        <v>0.69189999999999996</v>
      </c>
      <c r="AJ199">
        <v>0.98515379999999997</v>
      </c>
      <c r="AK199">
        <v>0.98515379999999997</v>
      </c>
      <c r="AL199">
        <v>3.0000000000000001E-6</v>
      </c>
      <c r="AM199">
        <v>3.0000000000000001E-6</v>
      </c>
      <c r="AN199">
        <v>1.4843200000000001E-2</v>
      </c>
      <c r="AO199">
        <v>1.4843200000000001E-2</v>
      </c>
      <c r="AP199">
        <v>-95.912700000000001</v>
      </c>
      <c r="AQ199">
        <v>-95.912700000000001</v>
      </c>
      <c r="AR199">
        <v>-142.86760000000001</v>
      </c>
      <c r="AS199">
        <v>-142.86760000000001</v>
      </c>
      <c r="AT199">
        <v>0</v>
      </c>
      <c r="AU199">
        <v>0</v>
      </c>
      <c r="AV199">
        <v>0</v>
      </c>
      <c r="AW199">
        <v>180</v>
      </c>
      <c r="AY199">
        <v>0.69189999999999996</v>
      </c>
      <c r="AZ199">
        <v>5.3106999999999998E-3</v>
      </c>
      <c r="BA199">
        <v>5.3106999999999998E-3</v>
      </c>
      <c r="BB199">
        <v>0.99405929999999998</v>
      </c>
      <c r="BC199">
        <v>0.99405929999999998</v>
      </c>
      <c r="BD199">
        <v>6.2989999999999997E-4</v>
      </c>
      <c r="BE199">
        <v>6.2989999999999997E-4</v>
      </c>
      <c r="BF199">
        <v>25.390799999999999</v>
      </c>
      <c r="BG199">
        <v>25.390799999999999</v>
      </c>
      <c r="BH199">
        <v>163.69159999999999</v>
      </c>
      <c r="BI199">
        <v>163.69159999999999</v>
      </c>
      <c r="BJ199">
        <v>0</v>
      </c>
      <c r="BK199">
        <v>0</v>
      </c>
      <c r="BL199">
        <v>0</v>
      </c>
      <c r="BM199">
        <v>180</v>
      </c>
      <c r="BP199">
        <v>0.69189999999999996</v>
      </c>
      <c r="BQ199">
        <v>0.89129999999999998</v>
      </c>
      <c r="BR199">
        <v>0.89129999999999998</v>
      </c>
      <c r="BS199">
        <v>0</v>
      </c>
      <c r="BT199">
        <v>0</v>
      </c>
      <c r="BU199">
        <v>0.1087</v>
      </c>
      <c r="BV199">
        <v>0.1087</v>
      </c>
      <c r="BW199">
        <v>-58.2517</v>
      </c>
      <c r="BX199">
        <v>-58.2517</v>
      </c>
      <c r="BY199">
        <v>164.4759</v>
      </c>
      <c r="BZ199">
        <v>164.4759</v>
      </c>
      <c r="CA199">
        <v>0</v>
      </c>
      <c r="CB199">
        <v>0</v>
      </c>
      <c r="CC199">
        <v>0</v>
      </c>
      <c r="CD199">
        <v>180</v>
      </c>
    </row>
    <row r="200" spans="19:82">
      <c r="S200">
        <v>0.69325000000000003</v>
      </c>
      <c r="T200">
        <v>0.98686119999999999</v>
      </c>
      <c r="U200">
        <v>0.98686119999999999</v>
      </c>
      <c r="V200">
        <v>2.0999999999999998E-6</v>
      </c>
      <c r="W200">
        <v>2.0999999999999998E-6</v>
      </c>
      <c r="X200">
        <v>1.3136699999999999E-2</v>
      </c>
      <c r="Y200">
        <v>1.3136699999999999E-2</v>
      </c>
      <c r="Z200">
        <v>-105.5202</v>
      </c>
      <c r="AA200">
        <v>-105.5202</v>
      </c>
      <c r="AB200">
        <v>-159.86160000000001</v>
      </c>
      <c r="AC200">
        <v>-159.86160000000001</v>
      </c>
      <c r="AD200">
        <v>0</v>
      </c>
      <c r="AE200">
        <v>0</v>
      </c>
      <c r="AF200">
        <v>0</v>
      </c>
      <c r="AG200">
        <v>180</v>
      </c>
      <c r="AI200">
        <v>0.69325000000000003</v>
      </c>
      <c r="AJ200">
        <v>0.98514060000000003</v>
      </c>
      <c r="AK200">
        <v>0.98514060000000003</v>
      </c>
      <c r="AL200">
        <v>3.0000000000000001E-6</v>
      </c>
      <c r="AM200">
        <v>3.0000000000000001E-6</v>
      </c>
      <c r="AN200">
        <v>1.4856400000000001E-2</v>
      </c>
      <c r="AO200">
        <v>1.4856400000000001E-2</v>
      </c>
      <c r="AP200">
        <v>-95.697100000000006</v>
      </c>
      <c r="AQ200">
        <v>-95.697100000000006</v>
      </c>
      <c r="AR200">
        <v>-142.5248</v>
      </c>
      <c r="AS200">
        <v>-142.5248</v>
      </c>
      <c r="AT200">
        <v>0</v>
      </c>
      <c r="AU200">
        <v>0</v>
      </c>
      <c r="AV200">
        <v>0</v>
      </c>
      <c r="AW200">
        <v>180</v>
      </c>
      <c r="AY200">
        <v>0.69325000000000003</v>
      </c>
      <c r="AZ200">
        <v>5.3400000000000001E-3</v>
      </c>
      <c r="BA200">
        <v>5.3400000000000001E-3</v>
      </c>
      <c r="BB200">
        <v>0.99403560000000002</v>
      </c>
      <c r="BC200">
        <v>0.99403560000000002</v>
      </c>
      <c r="BD200">
        <v>6.244E-4</v>
      </c>
      <c r="BE200">
        <v>6.244E-4</v>
      </c>
      <c r="BF200">
        <v>26.091699999999999</v>
      </c>
      <c r="BG200">
        <v>26.091699999999999</v>
      </c>
      <c r="BH200">
        <v>163.68960000000001</v>
      </c>
      <c r="BI200">
        <v>163.68960000000001</v>
      </c>
      <c r="BJ200">
        <v>0</v>
      </c>
      <c r="BK200">
        <v>0</v>
      </c>
      <c r="BL200">
        <v>0</v>
      </c>
      <c r="BM200">
        <v>180</v>
      </c>
      <c r="BP200">
        <v>0.69325000000000003</v>
      </c>
      <c r="BQ200">
        <v>0.89079870000000005</v>
      </c>
      <c r="BR200">
        <v>0.89079870000000005</v>
      </c>
      <c r="BS200">
        <v>0</v>
      </c>
      <c r="BT200">
        <v>0</v>
      </c>
      <c r="BU200">
        <v>0.1092013</v>
      </c>
      <c r="BV200">
        <v>0.1092013</v>
      </c>
      <c r="BW200">
        <v>-58.6021</v>
      </c>
      <c r="BX200">
        <v>-58.6021</v>
      </c>
      <c r="BY200">
        <v>164.476</v>
      </c>
      <c r="BZ200">
        <v>164.476</v>
      </c>
      <c r="CA200">
        <v>0</v>
      </c>
      <c r="CB200">
        <v>0</v>
      </c>
      <c r="CC200">
        <v>0</v>
      </c>
      <c r="CD200">
        <v>180</v>
      </c>
    </row>
    <row r="201" spans="19:82">
      <c r="S201">
        <v>0.6946</v>
      </c>
      <c r="T201">
        <v>0.98687040000000004</v>
      </c>
      <c r="U201">
        <v>0.98687040000000004</v>
      </c>
      <c r="V201">
        <v>1.9999999999999999E-6</v>
      </c>
      <c r="W201">
        <v>1.9999999999999999E-6</v>
      </c>
      <c r="X201">
        <v>1.31276E-2</v>
      </c>
      <c r="Y201">
        <v>1.31276E-2</v>
      </c>
      <c r="Z201">
        <v>-105.32</v>
      </c>
      <c r="AA201">
        <v>-105.32</v>
      </c>
      <c r="AB201">
        <v>-159.55420000000001</v>
      </c>
      <c r="AC201">
        <v>-159.55420000000001</v>
      </c>
      <c r="AD201">
        <v>0</v>
      </c>
      <c r="AE201">
        <v>0</v>
      </c>
      <c r="AF201">
        <v>0</v>
      </c>
      <c r="AG201">
        <v>180</v>
      </c>
      <c r="AI201">
        <v>0.6946</v>
      </c>
      <c r="AJ201">
        <v>0.98512690000000003</v>
      </c>
      <c r="AK201">
        <v>0.98512690000000003</v>
      </c>
      <c r="AL201">
        <v>3.0000000000000001E-6</v>
      </c>
      <c r="AM201">
        <v>3.0000000000000001E-6</v>
      </c>
      <c r="AN201">
        <v>1.4870100000000001E-2</v>
      </c>
      <c r="AO201">
        <v>1.4870100000000001E-2</v>
      </c>
      <c r="AP201">
        <v>-95.481700000000004</v>
      </c>
      <c r="AQ201">
        <v>-95.481700000000004</v>
      </c>
      <c r="AR201">
        <v>-142.18180000000001</v>
      </c>
      <c r="AS201">
        <v>-142.18180000000001</v>
      </c>
      <c r="AT201">
        <v>0</v>
      </c>
      <c r="AU201">
        <v>0</v>
      </c>
      <c r="AV201">
        <v>0</v>
      </c>
      <c r="AW201">
        <v>180</v>
      </c>
      <c r="AY201">
        <v>0.6946</v>
      </c>
      <c r="AZ201">
        <v>5.3683000000000003E-3</v>
      </c>
      <c r="BA201">
        <v>5.3683000000000003E-3</v>
      </c>
      <c r="BB201">
        <v>0.99401280000000003</v>
      </c>
      <c r="BC201">
        <v>0.99401280000000003</v>
      </c>
      <c r="BD201">
        <v>6.1890000000000003E-4</v>
      </c>
      <c r="BE201">
        <v>6.1890000000000003E-4</v>
      </c>
      <c r="BF201">
        <v>26.789899999999999</v>
      </c>
      <c r="BG201">
        <v>26.789899999999999</v>
      </c>
      <c r="BH201">
        <v>163.69550000000001</v>
      </c>
      <c r="BI201">
        <v>163.69550000000001</v>
      </c>
      <c r="BJ201">
        <v>0</v>
      </c>
      <c r="BK201">
        <v>0</v>
      </c>
      <c r="BL201">
        <v>0</v>
      </c>
      <c r="BM201">
        <v>180</v>
      </c>
      <c r="BP201">
        <v>0.6946</v>
      </c>
      <c r="BQ201">
        <v>0.89029749999999996</v>
      </c>
      <c r="BR201">
        <v>0.89029749999999996</v>
      </c>
      <c r="BS201">
        <v>0</v>
      </c>
      <c r="BT201">
        <v>0</v>
      </c>
      <c r="BU201">
        <v>0.10970249999999999</v>
      </c>
      <c r="BV201">
        <v>0.10970249999999999</v>
      </c>
      <c r="BW201">
        <v>-58.951500000000003</v>
      </c>
      <c r="BX201">
        <v>-58.951500000000003</v>
      </c>
      <c r="BY201">
        <v>164.476</v>
      </c>
      <c r="BZ201">
        <v>164.476</v>
      </c>
      <c r="CA201">
        <v>0</v>
      </c>
      <c r="CB201">
        <v>0</v>
      </c>
      <c r="CC201">
        <v>0</v>
      </c>
      <c r="CD201">
        <v>180</v>
      </c>
    </row>
    <row r="202" spans="19:82">
      <c r="S202">
        <v>0.69594999999999996</v>
      </c>
      <c r="T202">
        <v>0.98687910000000001</v>
      </c>
      <c r="U202">
        <v>0.98687910000000001</v>
      </c>
      <c r="V202">
        <v>1.9999999999999999E-6</v>
      </c>
      <c r="W202">
        <v>1.9999999999999999E-6</v>
      </c>
      <c r="X202">
        <v>1.3118899999999999E-2</v>
      </c>
      <c r="Y202">
        <v>1.3118899999999999E-2</v>
      </c>
      <c r="Z202">
        <v>-105.1202</v>
      </c>
      <c r="AA202">
        <v>-105.1202</v>
      </c>
      <c r="AB202">
        <v>-159.2473</v>
      </c>
      <c r="AC202">
        <v>-159.2473</v>
      </c>
      <c r="AD202">
        <v>0</v>
      </c>
      <c r="AE202">
        <v>0</v>
      </c>
      <c r="AF202">
        <v>0</v>
      </c>
      <c r="AG202">
        <v>180</v>
      </c>
      <c r="AI202">
        <v>0.69594999999999996</v>
      </c>
      <c r="AJ202">
        <v>0.98511280000000001</v>
      </c>
      <c r="AK202">
        <v>0.98511280000000001</v>
      </c>
      <c r="AL202">
        <v>3.0000000000000001E-6</v>
      </c>
      <c r="AM202">
        <v>3.0000000000000001E-6</v>
      </c>
      <c r="AN202">
        <v>1.48842E-2</v>
      </c>
      <c r="AO202">
        <v>1.48842E-2</v>
      </c>
      <c r="AP202">
        <v>-95.266300000000001</v>
      </c>
      <c r="AQ202">
        <v>-95.266300000000001</v>
      </c>
      <c r="AR202">
        <v>-141.83879999999999</v>
      </c>
      <c r="AS202">
        <v>-141.83879999999999</v>
      </c>
      <c r="AT202">
        <v>0</v>
      </c>
      <c r="AU202">
        <v>0</v>
      </c>
      <c r="AV202">
        <v>0</v>
      </c>
      <c r="AW202">
        <v>180</v>
      </c>
      <c r="AY202">
        <v>0.69594999999999996</v>
      </c>
      <c r="AZ202">
        <v>5.3956000000000004E-3</v>
      </c>
      <c r="BA202">
        <v>5.3956000000000004E-3</v>
      </c>
      <c r="BB202">
        <v>0.99399099999999996</v>
      </c>
      <c r="BC202">
        <v>0.99399099999999996</v>
      </c>
      <c r="BD202">
        <v>6.1339999999999995E-4</v>
      </c>
      <c r="BE202">
        <v>6.1339999999999995E-4</v>
      </c>
      <c r="BF202">
        <v>27.485299999999999</v>
      </c>
      <c r="BG202">
        <v>27.485299999999999</v>
      </c>
      <c r="BH202">
        <v>163.70910000000001</v>
      </c>
      <c r="BI202">
        <v>163.70910000000001</v>
      </c>
      <c r="BJ202">
        <v>0</v>
      </c>
      <c r="BK202">
        <v>0</v>
      </c>
      <c r="BL202">
        <v>0</v>
      </c>
      <c r="BM202">
        <v>180</v>
      </c>
      <c r="BP202">
        <v>0.69594999999999996</v>
      </c>
      <c r="BQ202">
        <v>0.88979629999999998</v>
      </c>
      <c r="BR202">
        <v>0.88979629999999998</v>
      </c>
      <c r="BS202">
        <v>0</v>
      </c>
      <c r="BT202">
        <v>0</v>
      </c>
      <c r="BU202">
        <v>0.1102037</v>
      </c>
      <c r="BV202">
        <v>0.1102037</v>
      </c>
      <c r="BW202">
        <v>-59.299599999999998</v>
      </c>
      <c r="BX202">
        <v>-59.299599999999998</v>
      </c>
      <c r="BY202">
        <v>164.4761</v>
      </c>
      <c r="BZ202">
        <v>164.4761</v>
      </c>
      <c r="CA202">
        <v>0</v>
      </c>
      <c r="CB202">
        <v>0</v>
      </c>
      <c r="CC202">
        <v>0</v>
      </c>
      <c r="CD202">
        <v>180</v>
      </c>
    </row>
    <row r="203" spans="19:82">
      <c r="S203">
        <v>0.69730000000000003</v>
      </c>
      <c r="T203">
        <v>0.98688730000000002</v>
      </c>
      <c r="U203">
        <v>0.98688730000000002</v>
      </c>
      <c r="V203">
        <v>1.9999999999999999E-6</v>
      </c>
      <c r="W203">
        <v>1.9999999999999999E-6</v>
      </c>
      <c r="X203">
        <v>1.3110699999999999E-2</v>
      </c>
      <c r="Y203">
        <v>1.3110699999999999E-2</v>
      </c>
      <c r="Z203">
        <v>-104.9208</v>
      </c>
      <c r="AA203">
        <v>-104.9208</v>
      </c>
      <c r="AB203">
        <v>-158.94069999999999</v>
      </c>
      <c r="AC203">
        <v>-158.94069999999999</v>
      </c>
      <c r="AD203">
        <v>0</v>
      </c>
      <c r="AE203">
        <v>0</v>
      </c>
      <c r="AF203">
        <v>0</v>
      </c>
      <c r="AG203">
        <v>180</v>
      </c>
      <c r="AI203">
        <v>0.69730000000000003</v>
      </c>
      <c r="AJ203">
        <v>0.98509820000000003</v>
      </c>
      <c r="AK203">
        <v>0.98509820000000003</v>
      </c>
      <c r="AL203">
        <v>3.0000000000000001E-6</v>
      </c>
      <c r="AM203">
        <v>3.0000000000000001E-6</v>
      </c>
      <c r="AN203">
        <v>1.48988E-2</v>
      </c>
      <c r="AO203">
        <v>1.48988E-2</v>
      </c>
      <c r="AP203">
        <v>-95.051199999999994</v>
      </c>
      <c r="AQ203">
        <v>-95.051199999999994</v>
      </c>
      <c r="AR203">
        <v>-141.49549999999999</v>
      </c>
      <c r="AS203">
        <v>-141.49549999999999</v>
      </c>
      <c r="AT203">
        <v>0</v>
      </c>
      <c r="AU203">
        <v>0</v>
      </c>
      <c r="AV203">
        <v>0</v>
      </c>
      <c r="AW203">
        <v>180</v>
      </c>
      <c r="AY203">
        <v>0.69730000000000003</v>
      </c>
      <c r="AZ203">
        <v>5.4218000000000001E-3</v>
      </c>
      <c r="BA203">
        <v>5.4218000000000001E-3</v>
      </c>
      <c r="BB203">
        <v>0.99397029999999997</v>
      </c>
      <c r="BC203">
        <v>0.99397029999999997</v>
      </c>
      <c r="BD203">
        <v>6.0789999999999998E-4</v>
      </c>
      <c r="BE203">
        <v>6.0789999999999998E-4</v>
      </c>
      <c r="BF203">
        <v>28.178000000000001</v>
      </c>
      <c r="BG203">
        <v>28.178000000000001</v>
      </c>
      <c r="BH203">
        <v>163.73009999999999</v>
      </c>
      <c r="BI203">
        <v>163.73009999999999</v>
      </c>
      <c r="BJ203">
        <v>0</v>
      </c>
      <c r="BK203">
        <v>0</v>
      </c>
      <c r="BL203">
        <v>0</v>
      </c>
      <c r="BM203">
        <v>180</v>
      </c>
      <c r="BP203">
        <v>0.69730000000000003</v>
      </c>
      <c r="BQ203">
        <v>0.88929519999999995</v>
      </c>
      <c r="BR203">
        <v>0.88929519999999995</v>
      </c>
      <c r="BS203">
        <v>0</v>
      </c>
      <c r="BT203">
        <v>0</v>
      </c>
      <c r="BU203">
        <v>0.11070480000000001</v>
      </c>
      <c r="BV203">
        <v>0.11070480000000001</v>
      </c>
      <c r="BW203">
        <v>-59.646599999999999</v>
      </c>
      <c r="BX203">
        <v>-59.646599999999999</v>
      </c>
      <c r="BY203">
        <v>164.47630000000001</v>
      </c>
      <c r="BZ203">
        <v>164.47630000000001</v>
      </c>
      <c r="CA203">
        <v>0</v>
      </c>
      <c r="CB203">
        <v>0</v>
      </c>
      <c r="CC203">
        <v>0</v>
      </c>
      <c r="CD203">
        <v>180</v>
      </c>
    </row>
    <row r="204" spans="19:82">
      <c r="S204">
        <v>0.69864999999999999</v>
      </c>
      <c r="T204">
        <v>0.98689490000000002</v>
      </c>
      <c r="U204">
        <v>0.98689490000000002</v>
      </c>
      <c r="V204">
        <v>1.9999999999999999E-6</v>
      </c>
      <c r="W204">
        <v>1.9999999999999999E-6</v>
      </c>
      <c r="X204">
        <v>1.3103099999999999E-2</v>
      </c>
      <c r="Y204">
        <v>1.3103099999999999E-2</v>
      </c>
      <c r="Z204">
        <v>-104.7218</v>
      </c>
      <c r="AA204">
        <v>-104.7218</v>
      </c>
      <c r="AB204">
        <v>-158.6344</v>
      </c>
      <c r="AC204">
        <v>-158.6344</v>
      </c>
      <c r="AD204">
        <v>0</v>
      </c>
      <c r="AE204">
        <v>0</v>
      </c>
      <c r="AF204">
        <v>0</v>
      </c>
      <c r="AG204">
        <v>180</v>
      </c>
      <c r="AI204">
        <v>0.69864999999999999</v>
      </c>
      <c r="AJ204">
        <v>0.98508320000000005</v>
      </c>
      <c r="AK204">
        <v>0.98508320000000005</v>
      </c>
      <c r="AL204">
        <v>3.0000000000000001E-6</v>
      </c>
      <c r="AM204">
        <v>3.0000000000000001E-6</v>
      </c>
      <c r="AN204">
        <v>1.4913900000000001E-2</v>
      </c>
      <c r="AO204">
        <v>1.4913900000000001E-2</v>
      </c>
      <c r="AP204">
        <v>-94.836100000000002</v>
      </c>
      <c r="AQ204">
        <v>-94.836100000000002</v>
      </c>
      <c r="AR204">
        <v>-141.15209999999999</v>
      </c>
      <c r="AS204">
        <v>-141.15209999999999</v>
      </c>
      <c r="AT204">
        <v>0</v>
      </c>
      <c r="AU204">
        <v>0</v>
      </c>
      <c r="AV204">
        <v>0</v>
      </c>
      <c r="AW204">
        <v>180</v>
      </c>
      <c r="AY204">
        <v>0.69864999999999999</v>
      </c>
      <c r="AZ204">
        <v>5.4469999999999996E-3</v>
      </c>
      <c r="BA204">
        <v>5.4469999999999996E-3</v>
      </c>
      <c r="BB204">
        <v>0.99395060000000002</v>
      </c>
      <c r="BC204">
        <v>0.99395060000000002</v>
      </c>
      <c r="BD204">
        <v>6.0240000000000001E-4</v>
      </c>
      <c r="BE204">
        <v>6.0240000000000001E-4</v>
      </c>
      <c r="BF204">
        <v>28.867999999999999</v>
      </c>
      <c r="BG204">
        <v>28.867999999999999</v>
      </c>
      <c r="BH204">
        <v>163.75839999999999</v>
      </c>
      <c r="BI204">
        <v>163.75839999999999</v>
      </c>
      <c r="BJ204">
        <v>0</v>
      </c>
      <c r="BK204">
        <v>0</v>
      </c>
      <c r="BL204">
        <v>0</v>
      </c>
      <c r="BM204">
        <v>180</v>
      </c>
      <c r="BP204">
        <v>0.69864999999999999</v>
      </c>
      <c r="BQ204">
        <v>0.88879419999999998</v>
      </c>
      <c r="BR204">
        <v>0.88879419999999998</v>
      </c>
      <c r="BS204">
        <v>0</v>
      </c>
      <c r="BT204">
        <v>0</v>
      </c>
      <c r="BU204">
        <v>0.11120579999999999</v>
      </c>
      <c r="BV204">
        <v>0.11120579999999999</v>
      </c>
      <c r="BW204">
        <v>-59.9925</v>
      </c>
      <c r="BX204">
        <v>-59.9925</v>
      </c>
      <c r="BY204">
        <v>164.47640000000001</v>
      </c>
      <c r="BZ204">
        <v>164.47640000000001</v>
      </c>
      <c r="CA204">
        <v>0</v>
      </c>
      <c r="CB204">
        <v>0</v>
      </c>
      <c r="CC204">
        <v>0</v>
      </c>
      <c r="CD204">
        <v>180</v>
      </c>
    </row>
    <row r="205" spans="19:82">
      <c r="S205">
        <v>0.7</v>
      </c>
      <c r="T205">
        <v>0.9869021</v>
      </c>
      <c r="U205">
        <v>0.9869021</v>
      </c>
      <c r="V205">
        <v>1.9999999999999999E-6</v>
      </c>
      <c r="W205">
        <v>1.9999999999999999E-6</v>
      </c>
      <c r="X205">
        <v>1.3095900000000001E-2</v>
      </c>
      <c r="Y205">
        <v>1.3095900000000001E-2</v>
      </c>
      <c r="Z205">
        <v>-104.5232</v>
      </c>
      <c r="AA205">
        <v>-104.5232</v>
      </c>
      <c r="AB205">
        <v>-158.32849999999999</v>
      </c>
      <c r="AC205">
        <v>-158.32849999999999</v>
      </c>
      <c r="AD205">
        <v>0</v>
      </c>
      <c r="AE205">
        <v>0</v>
      </c>
      <c r="AF205">
        <v>0</v>
      </c>
      <c r="AG205">
        <v>180</v>
      </c>
      <c r="AI205">
        <v>0.7</v>
      </c>
      <c r="AJ205">
        <v>0.98506769999999999</v>
      </c>
      <c r="AK205">
        <v>0.98506769999999999</v>
      </c>
      <c r="AL205">
        <v>2.9000000000000002E-6</v>
      </c>
      <c r="AM205">
        <v>2.9000000000000002E-6</v>
      </c>
      <c r="AN205">
        <v>1.4929400000000001E-2</v>
      </c>
      <c r="AO205">
        <v>1.4929400000000001E-2</v>
      </c>
      <c r="AP205">
        <v>-94.621099999999998</v>
      </c>
      <c r="AQ205">
        <v>-94.621099999999998</v>
      </c>
      <c r="AR205">
        <v>-140.80860000000001</v>
      </c>
      <c r="AS205">
        <v>-140.80860000000001</v>
      </c>
      <c r="AT205">
        <v>0</v>
      </c>
      <c r="AU205">
        <v>0</v>
      </c>
      <c r="AV205">
        <v>0</v>
      </c>
      <c r="AW205">
        <v>180</v>
      </c>
      <c r="AY205">
        <v>0.7</v>
      </c>
      <c r="AZ205">
        <v>5.4708999999999999E-3</v>
      </c>
      <c r="BA205">
        <v>5.4708999999999999E-3</v>
      </c>
      <c r="BB205">
        <v>0.99393209999999999</v>
      </c>
      <c r="BC205">
        <v>0.99393209999999999</v>
      </c>
      <c r="BD205">
        <v>5.9699999999999998E-4</v>
      </c>
      <c r="BE205">
        <v>5.9699999999999998E-4</v>
      </c>
      <c r="BF205">
        <v>29.555299999999999</v>
      </c>
      <c r="BG205">
        <v>29.555299999999999</v>
      </c>
      <c r="BH205">
        <v>163.7936</v>
      </c>
      <c r="BI205">
        <v>163.7936</v>
      </c>
      <c r="BJ205">
        <v>0</v>
      </c>
      <c r="BK205">
        <v>0</v>
      </c>
      <c r="BL205">
        <v>0</v>
      </c>
      <c r="BM205">
        <v>180</v>
      </c>
      <c r="BP205">
        <v>0.7</v>
      </c>
      <c r="BQ205">
        <v>0.88829329999999995</v>
      </c>
      <c r="BR205">
        <v>0.88829329999999995</v>
      </c>
      <c r="BS205">
        <v>0</v>
      </c>
      <c r="BT205">
        <v>0</v>
      </c>
      <c r="BU205">
        <v>0.11170670000000001</v>
      </c>
      <c r="BV205">
        <v>0.11170670000000001</v>
      </c>
      <c r="BW205">
        <v>-60.337200000000003</v>
      </c>
      <c r="BX205">
        <v>-60.337200000000003</v>
      </c>
      <c r="BY205">
        <v>164.47659999999999</v>
      </c>
      <c r="BZ205">
        <v>164.47659999999999</v>
      </c>
      <c r="CA205">
        <v>0</v>
      </c>
      <c r="CB205">
        <v>0</v>
      </c>
      <c r="CC205">
        <v>0</v>
      </c>
      <c r="CD205">
        <v>180</v>
      </c>
    </row>
    <row r="206" spans="19:82">
      <c r="S206">
        <v>0.70135000000000003</v>
      </c>
      <c r="T206">
        <v>0.98691110000000004</v>
      </c>
      <c r="U206">
        <v>0.98691110000000004</v>
      </c>
      <c r="V206">
        <v>1.9999999999999999E-6</v>
      </c>
      <c r="W206">
        <v>1.9999999999999999E-6</v>
      </c>
      <c r="X206">
        <v>1.30869E-2</v>
      </c>
      <c r="Y206">
        <v>1.30869E-2</v>
      </c>
      <c r="Z206">
        <v>-104.32340000000001</v>
      </c>
      <c r="AA206">
        <v>-104.32340000000001</v>
      </c>
      <c r="AB206">
        <v>-158.02260000000001</v>
      </c>
      <c r="AC206">
        <v>-158.02260000000001</v>
      </c>
      <c r="AD206">
        <v>0</v>
      </c>
      <c r="AE206">
        <v>0</v>
      </c>
      <c r="AF206">
        <v>0</v>
      </c>
      <c r="AG206">
        <v>180</v>
      </c>
      <c r="AI206">
        <v>0.70135000000000003</v>
      </c>
      <c r="AJ206">
        <v>0.98505410000000004</v>
      </c>
      <c r="AK206">
        <v>0.98505410000000004</v>
      </c>
      <c r="AL206">
        <v>2.9000000000000002E-6</v>
      </c>
      <c r="AM206">
        <v>2.9000000000000002E-6</v>
      </c>
      <c r="AN206">
        <v>1.4943E-2</v>
      </c>
      <c r="AO206">
        <v>1.4943E-2</v>
      </c>
      <c r="AP206">
        <v>-94.404700000000005</v>
      </c>
      <c r="AQ206">
        <v>-94.404700000000005</v>
      </c>
      <c r="AR206">
        <v>-140.46369999999999</v>
      </c>
      <c r="AS206">
        <v>-140.46369999999999</v>
      </c>
      <c r="AT206">
        <v>0</v>
      </c>
      <c r="AU206">
        <v>0</v>
      </c>
      <c r="AV206">
        <v>0</v>
      </c>
      <c r="AW206">
        <v>180</v>
      </c>
      <c r="AY206">
        <v>0.70135000000000003</v>
      </c>
      <c r="AZ206">
        <v>5.4942000000000003E-3</v>
      </c>
      <c r="BA206">
        <v>5.4942000000000003E-3</v>
      </c>
      <c r="BB206">
        <v>0.99391419999999997</v>
      </c>
      <c r="BC206">
        <v>0.99391419999999997</v>
      </c>
      <c r="BD206">
        <v>5.9159999999999996E-4</v>
      </c>
      <c r="BE206">
        <v>5.9159999999999996E-4</v>
      </c>
      <c r="BF206">
        <v>30.239000000000001</v>
      </c>
      <c r="BG206">
        <v>30.239000000000001</v>
      </c>
      <c r="BH206">
        <v>163.83699999999999</v>
      </c>
      <c r="BI206">
        <v>163.83699999999999</v>
      </c>
      <c r="BJ206">
        <v>0</v>
      </c>
      <c r="BK206">
        <v>0</v>
      </c>
      <c r="BL206">
        <v>0</v>
      </c>
      <c r="BM206">
        <v>180</v>
      </c>
      <c r="BP206">
        <v>0.70135000000000003</v>
      </c>
      <c r="BQ206">
        <v>0.88796799999999998</v>
      </c>
      <c r="BR206">
        <v>0.88796799999999998</v>
      </c>
      <c r="BS206">
        <v>0</v>
      </c>
      <c r="BT206">
        <v>0</v>
      </c>
      <c r="BU206">
        <v>0.11203200000000001</v>
      </c>
      <c r="BV206">
        <v>0.11203200000000001</v>
      </c>
      <c r="BW206">
        <v>-60.656700000000001</v>
      </c>
      <c r="BX206">
        <v>-60.656700000000001</v>
      </c>
      <c r="BY206">
        <v>164.48920000000001</v>
      </c>
      <c r="BZ206">
        <v>164.48920000000001</v>
      </c>
      <c r="CA206">
        <v>0</v>
      </c>
      <c r="CB206">
        <v>0</v>
      </c>
      <c r="CC206">
        <v>0</v>
      </c>
      <c r="CD206">
        <v>180</v>
      </c>
    </row>
    <row r="207" spans="19:82">
      <c r="S207">
        <v>0.70269999999999999</v>
      </c>
      <c r="T207">
        <v>0.98692040000000003</v>
      </c>
      <c r="U207">
        <v>0.98692040000000003</v>
      </c>
      <c r="V207">
        <v>1.9E-6</v>
      </c>
      <c r="W207">
        <v>1.9E-6</v>
      </c>
      <c r="X207">
        <v>1.30776E-2</v>
      </c>
      <c r="Y207">
        <v>1.30776E-2</v>
      </c>
      <c r="Z207">
        <v>-104.12390000000001</v>
      </c>
      <c r="AA207">
        <v>-104.12390000000001</v>
      </c>
      <c r="AB207">
        <v>-157.71700000000001</v>
      </c>
      <c r="AC207">
        <v>-157.71700000000001</v>
      </c>
      <c r="AD207">
        <v>0</v>
      </c>
      <c r="AE207">
        <v>0</v>
      </c>
      <c r="AF207">
        <v>0</v>
      </c>
      <c r="AG207">
        <v>180</v>
      </c>
      <c r="AI207">
        <v>0.70269999999999999</v>
      </c>
      <c r="AJ207">
        <v>0.98504049999999999</v>
      </c>
      <c r="AK207">
        <v>0.98504049999999999</v>
      </c>
      <c r="AL207">
        <v>2.9000000000000002E-6</v>
      </c>
      <c r="AM207">
        <v>2.9000000000000002E-6</v>
      </c>
      <c r="AN207">
        <v>1.49566E-2</v>
      </c>
      <c r="AO207">
        <v>1.49566E-2</v>
      </c>
      <c r="AP207">
        <v>-94.188299999999998</v>
      </c>
      <c r="AQ207">
        <v>-94.188299999999998</v>
      </c>
      <c r="AR207">
        <v>-140.11869999999999</v>
      </c>
      <c r="AS207">
        <v>-140.11869999999999</v>
      </c>
      <c r="AT207">
        <v>0</v>
      </c>
      <c r="AU207">
        <v>0</v>
      </c>
      <c r="AV207">
        <v>0</v>
      </c>
      <c r="AW207">
        <v>180</v>
      </c>
      <c r="AY207">
        <v>0.70269999999999999</v>
      </c>
      <c r="AZ207">
        <v>5.5161999999999997E-3</v>
      </c>
      <c r="BA207">
        <v>5.5161999999999997E-3</v>
      </c>
      <c r="BB207">
        <v>0.99389760000000005</v>
      </c>
      <c r="BC207">
        <v>0.99389760000000005</v>
      </c>
      <c r="BD207">
        <v>5.8620000000000005E-4</v>
      </c>
      <c r="BE207">
        <v>5.8620000000000005E-4</v>
      </c>
      <c r="BF207">
        <v>30.92</v>
      </c>
      <c r="BG207">
        <v>30.92</v>
      </c>
      <c r="BH207">
        <v>163.887</v>
      </c>
      <c r="BI207">
        <v>163.887</v>
      </c>
      <c r="BJ207">
        <v>0</v>
      </c>
      <c r="BK207">
        <v>0</v>
      </c>
      <c r="BL207">
        <v>0</v>
      </c>
      <c r="BM207">
        <v>180</v>
      </c>
      <c r="BP207">
        <v>0.70269999999999999</v>
      </c>
      <c r="BQ207">
        <v>0.88764390000000004</v>
      </c>
      <c r="BR207">
        <v>0.88764390000000004</v>
      </c>
      <c r="BS207">
        <v>0</v>
      </c>
      <c r="BT207">
        <v>0</v>
      </c>
      <c r="BU207">
        <v>0.1123561</v>
      </c>
      <c r="BV207">
        <v>0.1123561</v>
      </c>
      <c r="BW207">
        <v>-60.975099999999998</v>
      </c>
      <c r="BX207">
        <v>-60.975099999999998</v>
      </c>
      <c r="BY207">
        <v>164.5018</v>
      </c>
      <c r="BZ207">
        <v>164.5018</v>
      </c>
      <c r="CA207">
        <v>0</v>
      </c>
      <c r="CB207">
        <v>0</v>
      </c>
      <c r="CC207">
        <v>0</v>
      </c>
      <c r="CD207">
        <v>180</v>
      </c>
    </row>
    <row r="208" spans="19:82">
      <c r="S208">
        <v>0.70404999999999995</v>
      </c>
      <c r="T208">
        <v>0.98692919999999995</v>
      </c>
      <c r="U208">
        <v>0.98692919999999995</v>
      </c>
      <c r="V208">
        <v>1.9E-6</v>
      </c>
      <c r="W208">
        <v>1.9E-6</v>
      </c>
      <c r="X208">
        <v>1.30689E-2</v>
      </c>
      <c r="Y208">
        <v>1.30689E-2</v>
      </c>
      <c r="Z208">
        <v>-103.9247</v>
      </c>
      <c r="AA208">
        <v>-103.9247</v>
      </c>
      <c r="AB208">
        <v>-157.4117</v>
      </c>
      <c r="AC208">
        <v>-157.4117</v>
      </c>
      <c r="AD208">
        <v>0</v>
      </c>
      <c r="AE208">
        <v>0</v>
      </c>
      <c r="AF208">
        <v>0</v>
      </c>
      <c r="AG208">
        <v>180</v>
      </c>
      <c r="AI208">
        <v>0.70404999999999995</v>
      </c>
      <c r="AJ208">
        <v>0.98502650000000003</v>
      </c>
      <c r="AK208">
        <v>0.98502650000000003</v>
      </c>
      <c r="AL208">
        <v>2.9000000000000002E-6</v>
      </c>
      <c r="AM208">
        <v>2.9000000000000002E-6</v>
      </c>
      <c r="AN208">
        <v>1.4970600000000001E-2</v>
      </c>
      <c r="AO208">
        <v>1.4970600000000001E-2</v>
      </c>
      <c r="AP208">
        <v>-93.972099999999998</v>
      </c>
      <c r="AQ208">
        <v>-93.972099999999998</v>
      </c>
      <c r="AR208">
        <v>-139.77350000000001</v>
      </c>
      <c r="AS208">
        <v>-139.77350000000001</v>
      </c>
      <c r="AT208">
        <v>0</v>
      </c>
      <c r="AU208">
        <v>0</v>
      </c>
      <c r="AV208">
        <v>0</v>
      </c>
      <c r="AW208">
        <v>180</v>
      </c>
      <c r="AY208">
        <v>0.70404999999999995</v>
      </c>
      <c r="AZ208">
        <v>5.5370000000000003E-3</v>
      </c>
      <c r="BA208">
        <v>5.5370000000000003E-3</v>
      </c>
      <c r="BB208">
        <v>0.99388220000000005</v>
      </c>
      <c r="BC208">
        <v>0.99388220000000005</v>
      </c>
      <c r="BD208">
        <v>5.8089999999999997E-4</v>
      </c>
      <c r="BE208">
        <v>5.8089999999999997E-4</v>
      </c>
      <c r="BF208">
        <v>31.598400000000002</v>
      </c>
      <c r="BG208">
        <v>31.598400000000002</v>
      </c>
      <c r="BH208">
        <v>163.94309999999999</v>
      </c>
      <c r="BI208">
        <v>163.94309999999999</v>
      </c>
      <c r="BJ208">
        <v>0</v>
      </c>
      <c r="BK208">
        <v>0</v>
      </c>
      <c r="BL208">
        <v>0</v>
      </c>
      <c r="BM208">
        <v>180</v>
      </c>
      <c r="BP208">
        <v>0.70404999999999995</v>
      </c>
      <c r="BQ208">
        <v>0.88732089999999997</v>
      </c>
      <c r="BR208">
        <v>0.88732089999999997</v>
      </c>
      <c r="BS208">
        <v>0</v>
      </c>
      <c r="BT208">
        <v>0</v>
      </c>
      <c r="BU208">
        <v>0.1126791</v>
      </c>
      <c r="BV208">
        <v>0.1126791</v>
      </c>
      <c r="BW208">
        <v>-61.292299999999997</v>
      </c>
      <c r="BX208">
        <v>-61.292299999999997</v>
      </c>
      <c r="BY208">
        <v>164.51439999999999</v>
      </c>
      <c r="BZ208">
        <v>164.51439999999999</v>
      </c>
      <c r="CA208">
        <v>0</v>
      </c>
      <c r="CB208">
        <v>0</v>
      </c>
      <c r="CC208">
        <v>0</v>
      </c>
      <c r="CD208">
        <v>180</v>
      </c>
    </row>
    <row r="209" spans="19:82">
      <c r="S209">
        <v>0.70540000000000003</v>
      </c>
      <c r="T209">
        <v>0.98693750000000002</v>
      </c>
      <c r="U209">
        <v>0.98693750000000002</v>
      </c>
      <c r="V209">
        <v>1.9E-6</v>
      </c>
      <c r="W209">
        <v>1.9E-6</v>
      </c>
      <c r="X209">
        <v>1.30606E-2</v>
      </c>
      <c r="Y209">
        <v>1.30606E-2</v>
      </c>
      <c r="Z209">
        <v>-103.7259</v>
      </c>
      <c r="AA209">
        <v>-103.7259</v>
      </c>
      <c r="AB209">
        <v>-157.10669999999999</v>
      </c>
      <c r="AC209">
        <v>-157.10669999999999</v>
      </c>
      <c r="AD209">
        <v>0</v>
      </c>
      <c r="AE209">
        <v>0</v>
      </c>
      <c r="AF209">
        <v>0</v>
      </c>
      <c r="AG209">
        <v>180</v>
      </c>
      <c r="AI209">
        <v>0.70540000000000003</v>
      </c>
      <c r="AJ209">
        <v>0.98501209999999995</v>
      </c>
      <c r="AK209">
        <v>0.98501209999999995</v>
      </c>
      <c r="AL209">
        <v>2.9000000000000002E-6</v>
      </c>
      <c r="AM209">
        <v>2.9000000000000002E-6</v>
      </c>
      <c r="AN209">
        <v>1.4985E-2</v>
      </c>
      <c r="AO209">
        <v>1.4985E-2</v>
      </c>
      <c r="AP209">
        <v>-93.755899999999997</v>
      </c>
      <c r="AQ209">
        <v>-93.755899999999997</v>
      </c>
      <c r="AR209">
        <v>-139.4281</v>
      </c>
      <c r="AS209">
        <v>-139.4281</v>
      </c>
      <c r="AT209">
        <v>0</v>
      </c>
      <c r="AU209">
        <v>0</v>
      </c>
      <c r="AV209">
        <v>0</v>
      </c>
      <c r="AW209">
        <v>180</v>
      </c>
      <c r="AY209">
        <v>0.70540000000000003</v>
      </c>
      <c r="AZ209">
        <v>5.5564000000000004E-3</v>
      </c>
      <c r="BA209">
        <v>5.5564000000000004E-3</v>
      </c>
      <c r="BB209">
        <v>0.99386810000000003</v>
      </c>
      <c r="BC209">
        <v>0.99386810000000003</v>
      </c>
      <c r="BD209">
        <v>5.7549999999999995E-4</v>
      </c>
      <c r="BE209">
        <v>5.7549999999999995E-4</v>
      </c>
      <c r="BF209">
        <v>32.2742</v>
      </c>
      <c r="BG209">
        <v>32.2742</v>
      </c>
      <c r="BH209">
        <v>164.0052</v>
      </c>
      <c r="BI209">
        <v>164.0052</v>
      </c>
      <c r="BJ209">
        <v>0</v>
      </c>
      <c r="BK209">
        <v>0</v>
      </c>
      <c r="BL209">
        <v>0</v>
      </c>
      <c r="BM209">
        <v>180</v>
      </c>
      <c r="BP209">
        <v>0.70540000000000003</v>
      </c>
      <c r="BQ209">
        <v>0.88699910000000004</v>
      </c>
      <c r="BR209">
        <v>0.88699910000000004</v>
      </c>
      <c r="BS209">
        <v>0</v>
      </c>
      <c r="BT209">
        <v>0</v>
      </c>
      <c r="BU209">
        <v>0.1130009</v>
      </c>
      <c r="BV209">
        <v>0.1130009</v>
      </c>
      <c r="BW209">
        <v>-61.6083</v>
      </c>
      <c r="BX209">
        <v>-61.6083</v>
      </c>
      <c r="BY209">
        <v>164.52699999999999</v>
      </c>
      <c r="BZ209">
        <v>164.52699999999999</v>
      </c>
      <c r="CA209">
        <v>0</v>
      </c>
      <c r="CB209">
        <v>0</v>
      </c>
      <c r="CC209">
        <v>0</v>
      </c>
      <c r="CD209">
        <v>180</v>
      </c>
    </row>
    <row r="210" spans="19:82">
      <c r="S210">
        <v>0.70674999999999999</v>
      </c>
      <c r="T210">
        <v>0.98694530000000003</v>
      </c>
      <c r="U210">
        <v>0.98694530000000003</v>
      </c>
      <c r="V210">
        <v>1.9E-6</v>
      </c>
      <c r="W210">
        <v>1.9E-6</v>
      </c>
      <c r="X210">
        <v>1.30528E-2</v>
      </c>
      <c r="Y210">
        <v>1.30528E-2</v>
      </c>
      <c r="Z210">
        <v>-103.5275</v>
      </c>
      <c r="AA210">
        <v>-103.5275</v>
      </c>
      <c r="AB210">
        <v>-156.80189999999999</v>
      </c>
      <c r="AC210">
        <v>-156.80189999999999</v>
      </c>
      <c r="AD210">
        <v>0</v>
      </c>
      <c r="AE210">
        <v>0</v>
      </c>
      <c r="AF210">
        <v>0</v>
      </c>
      <c r="AG210">
        <v>180</v>
      </c>
      <c r="AI210">
        <v>0.70674999999999999</v>
      </c>
      <c r="AJ210">
        <v>0.98499729999999996</v>
      </c>
      <c r="AK210">
        <v>0.98499729999999996</v>
      </c>
      <c r="AL210">
        <v>2.7999999999999999E-6</v>
      </c>
      <c r="AM210">
        <v>2.7999999999999999E-6</v>
      </c>
      <c r="AN210">
        <v>1.49999E-2</v>
      </c>
      <c r="AO210">
        <v>1.49999E-2</v>
      </c>
      <c r="AP210">
        <v>-93.539900000000003</v>
      </c>
      <c r="AQ210">
        <v>-93.539900000000003</v>
      </c>
      <c r="AR210">
        <v>-139.08250000000001</v>
      </c>
      <c r="AS210">
        <v>-139.08250000000001</v>
      </c>
      <c r="AT210">
        <v>0</v>
      </c>
      <c r="AU210">
        <v>0</v>
      </c>
      <c r="AV210">
        <v>0</v>
      </c>
      <c r="AW210">
        <v>180</v>
      </c>
      <c r="AY210">
        <v>0.70674999999999999</v>
      </c>
      <c r="AZ210">
        <v>5.5744000000000002E-3</v>
      </c>
      <c r="BA210">
        <v>5.5744000000000002E-3</v>
      </c>
      <c r="BB210">
        <v>0.99385540000000006</v>
      </c>
      <c r="BC210">
        <v>0.99385540000000006</v>
      </c>
      <c r="BD210">
        <v>5.7019999999999998E-4</v>
      </c>
      <c r="BE210">
        <v>5.7019999999999998E-4</v>
      </c>
      <c r="BF210">
        <v>32.947299999999998</v>
      </c>
      <c r="BG210">
        <v>32.947299999999998</v>
      </c>
      <c r="BH210">
        <v>164.07310000000001</v>
      </c>
      <c r="BI210">
        <v>164.07310000000001</v>
      </c>
      <c r="BJ210">
        <v>0</v>
      </c>
      <c r="BK210">
        <v>0</v>
      </c>
      <c r="BL210">
        <v>0</v>
      </c>
      <c r="BM210">
        <v>180</v>
      </c>
      <c r="BP210">
        <v>0.70674999999999999</v>
      </c>
      <c r="BQ210">
        <v>0.88667839999999998</v>
      </c>
      <c r="BR210">
        <v>0.88667839999999998</v>
      </c>
      <c r="BS210">
        <v>0</v>
      </c>
      <c r="BT210">
        <v>0</v>
      </c>
      <c r="BU210">
        <v>0.11332159999999999</v>
      </c>
      <c r="BV210">
        <v>0.11332159999999999</v>
      </c>
      <c r="BW210">
        <v>-61.923200000000001</v>
      </c>
      <c r="BX210">
        <v>-61.923200000000001</v>
      </c>
      <c r="BY210">
        <v>164.53960000000001</v>
      </c>
      <c r="BZ210">
        <v>164.53960000000001</v>
      </c>
      <c r="CA210">
        <v>0</v>
      </c>
      <c r="CB210">
        <v>0</v>
      </c>
      <c r="CC210">
        <v>0</v>
      </c>
      <c r="CD210">
        <v>180</v>
      </c>
    </row>
    <row r="211" spans="19:82">
      <c r="S211">
        <v>0.70809999999999995</v>
      </c>
      <c r="T211">
        <v>0.98695259999999996</v>
      </c>
      <c r="U211">
        <v>0.98695259999999996</v>
      </c>
      <c r="V211">
        <v>1.9E-6</v>
      </c>
      <c r="W211">
        <v>1.9E-6</v>
      </c>
      <c r="X211">
        <v>1.30455E-2</v>
      </c>
      <c r="Y211">
        <v>1.30455E-2</v>
      </c>
      <c r="Z211">
        <v>-103.3295</v>
      </c>
      <c r="AA211">
        <v>-103.3295</v>
      </c>
      <c r="AB211">
        <v>-156.4975</v>
      </c>
      <c r="AC211">
        <v>-156.4975</v>
      </c>
      <c r="AD211">
        <v>0</v>
      </c>
      <c r="AE211">
        <v>0</v>
      </c>
      <c r="AF211">
        <v>0</v>
      </c>
      <c r="AG211">
        <v>180</v>
      </c>
      <c r="AI211">
        <v>0.70809999999999995</v>
      </c>
      <c r="AJ211">
        <v>0.98498189999999997</v>
      </c>
      <c r="AK211">
        <v>0.98498189999999997</v>
      </c>
      <c r="AL211">
        <v>2.7999999999999999E-6</v>
      </c>
      <c r="AM211">
        <v>2.7999999999999999E-6</v>
      </c>
      <c r="AN211">
        <v>1.5015199999999999E-2</v>
      </c>
      <c r="AO211">
        <v>1.5015199999999999E-2</v>
      </c>
      <c r="AP211">
        <v>-93.324200000000005</v>
      </c>
      <c r="AQ211">
        <v>-93.324200000000005</v>
      </c>
      <c r="AR211">
        <v>-138.73699999999999</v>
      </c>
      <c r="AS211">
        <v>-138.73699999999999</v>
      </c>
      <c r="AT211">
        <v>0</v>
      </c>
      <c r="AU211">
        <v>0</v>
      </c>
      <c r="AV211">
        <v>0</v>
      </c>
      <c r="AW211">
        <v>180</v>
      </c>
      <c r="AY211">
        <v>0.70809999999999995</v>
      </c>
      <c r="AZ211">
        <v>5.5910999999999999E-3</v>
      </c>
      <c r="BA211">
        <v>5.5910999999999999E-3</v>
      </c>
      <c r="BB211">
        <v>0.99384399999999995</v>
      </c>
      <c r="BC211">
        <v>0.99384399999999995</v>
      </c>
      <c r="BD211">
        <v>5.6490000000000002E-4</v>
      </c>
      <c r="BE211">
        <v>5.6490000000000002E-4</v>
      </c>
      <c r="BF211">
        <v>33.617899999999999</v>
      </c>
      <c r="BG211">
        <v>33.617899999999999</v>
      </c>
      <c r="BH211">
        <v>164.1465</v>
      </c>
      <c r="BI211">
        <v>164.1465</v>
      </c>
      <c r="BJ211">
        <v>0</v>
      </c>
      <c r="BK211">
        <v>0</v>
      </c>
      <c r="BL211">
        <v>0</v>
      </c>
      <c r="BM211">
        <v>180</v>
      </c>
      <c r="BP211">
        <v>0.70809999999999995</v>
      </c>
      <c r="BQ211">
        <v>0.8863588</v>
      </c>
      <c r="BR211">
        <v>0.8863588</v>
      </c>
      <c r="BS211">
        <v>0</v>
      </c>
      <c r="BT211">
        <v>0</v>
      </c>
      <c r="BU211">
        <v>0.1136412</v>
      </c>
      <c r="BV211">
        <v>0.1136412</v>
      </c>
      <c r="BW211">
        <v>-62.237000000000002</v>
      </c>
      <c r="BX211">
        <v>-62.237000000000002</v>
      </c>
      <c r="BY211">
        <v>164.5522</v>
      </c>
      <c r="BZ211">
        <v>164.5522</v>
      </c>
      <c r="CA211">
        <v>0</v>
      </c>
      <c r="CB211">
        <v>0</v>
      </c>
      <c r="CC211">
        <v>0</v>
      </c>
      <c r="CD211">
        <v>180</v>
      </c>
    </row>
    <row r="212" spans="19:82">
      <c r="S212">
        <v>0.70945000000000003</v>
      </c>
      <c r="T212">
        <v>0.98695940000000004</v>
      </c>
      <c r="U212">
        <v>0.98695940000000004</v>
      </c>
      <c r="V212">
        <v>1.9E-6</v>
      </c>
      <c r="W212">
        <v>1.9E-6</v>
      </c>
      <c r="X212">
        <v>1.30387E-2</v>
      </c>
      <c r="Y212">
        <v>1.30387E-2</v>
      </c>
      <c r="Z212">
        <v>-103.1318</v>
      </c>
      <c r="AA212">
        <v>-103.1318</v>
      </c>
      <c r="AB212">
        <v>-156.19329999999999</v>
      </c>
      <c r="AC212">
        <v>-156.19329999999999</v>
      </c>
      <c r="AD212">
        <v>0</v>
      </c>
      <c r="AE212">
        <v>0</v>
      </c>
      <c r="AF212">
        <v>0</v>
      </c>
      <c r="AG212">
        <v>180</v>
      </c>
      <c r="AI212">
        <v>0.70945000000000003</v>
      </c>
      <c r="AJ212">
        <v>0.98496620000000001</v>
      </c>
      <c r="AK212">
        <v>0.98496620000000001</v>
      </c>
      <c r="AL212">
        <v>2.7999999999999999E-6</v>
      </c>
      <c r="AM212">
        <v>2.7999999999999999E-6</v>
      </c>
      <c r="AN212">
        <v>1.5030999999999999E-2</v>
      </c>
      <c r="AO212">
        <v>1.5030999999999999E-2</v>
      </c>
      <c r="AP212">
        <v>-93.108599999999996</v>
      </c>
      <c r="AQ212">
        <v>-93.108599999999996</v>
      </c>
      <c r="AR212">
        <v>-138.3913</v>
      </c>
      <c r="AS212">
        <v>-138.3913</v>
      </c>
      <c r="AT212">
        <v>0</v>
      </c>
      <c r="AU212">
        <v>0</v>
      </c>
      <c r="AV212">
        <v>0</v>
      </c>
      <c r="AW212">
        <v>180</v>
      </c>
      <c r="AY212">
        <v>0.70945000000000003</v>
      </c>
      <c r="AZ212">
        <v>5.6062999999999998E-3</v>
      </c>
      <c r="BA212">
        <v>5.6062999999999998E-3</v>
      </c>
      <c r="BB212">
        <v>0.99383410000000005</v>
      </c>
      <c r="BC212">
        <v>0.99383410000000005</v>
      </c>
      <c r="BD212">
        <v>5.5960000000000005E-4</v>
      </c>
      <c r="BE212">
        <v>5.5960000000000005E-4</v>
      </c>
      <c r="BF212">
        <v>34.285899999999998</v>
      </c>
      <c r="BG212">
        <v>34.285899999999998</v>
      </c>
      <c r="BH212">
        <v>164.2252</v>
      </c>
      <c r="BI212">
        <v>164.2252</v>
      </c>
      <c r="BJ212">
        <v>0</v>
      </c>
      <c r="BK212">
        <v>0</v>
      </c>
      <c r="BL212">
        <v>0</v>
      </c>
      <c r="BM212">
        <v>180</v>
      </c>
      <c r="BP212">
        <v>0.70945000000000003</v>
      </c>
      <c r="BQ212">
        <v>0.88604039999999995</v>
      </c>
      <c r="BR212">
        <v>0.88604039999999995</v>
      </c>
      <c r="BS212">
        <v>0</v>
      </c>
      <c r="BT212">
        <v>0</v>
      </c>
      <c r="BU212">
        <v>0.11395959999999999</v>
      </c>
      <c r="BV212">
        <v>0.11395959999999999</v>
      </c>
      <c r="BW212">
        <v>-62.549700000000001</v>
      </c>
      <c r="BX212">
        <v>-62.549700000000001</v>
      </c>
      <c r="BY212">
        <v>164.56479999999999</v>
      </c>
      <c r="BZ212">
        <v>164.56479999999999</v>
      </c>
      <c r="CA212">
        <v>0</v>
      </c>
      <c r="CB212">
        <v>0</v>
      </c>
      <c r="CC212">
        <v>0</v>
      </c>
      <c r="CD212">
        <v>180</v>
      </c>
    </row>
    <row r="213" spans="19:82">
      <c r="S213">
        <v>0.71079999999999999</v>
      </c>
      <c r="T213">
        <v>0.9869658</v>
      </c>
      <c r="U213">
        <v>0.9869658</v>
      </c>
      <c r="V213">
        <v>1.9E-6</v>
      </c>
      <c r="W213">
        <v>1.9E-6</v>
      </c>
      <c r="X213">
        <v>1.30324E-2</v>
      </c>
      <c r="Y213">
        <v>1.30324E-2</v>
      </c>
      <c r="Z213">
        <v>-102.9345</v>
      </c>
      <c r="AA213">
        <v>-102.9345</v>
      </c>
      <c r="AB213">
        <v>-155.88939999999999</v>
      </c>
      <c r="AC213">
        <v>-155.88939999999999</v>
      </c>
      <c r="AD213">
        <v>0</v>
      </c>
      <c r="AE213">
        <v>0</v>
      </c>
      <c r="AF213">
        <v>0</v>
      </c>
      <c r="AG213">
        <v>180</v>
      </c>
      <c r="AI213">
        <v>0.71079999999999999</v>
      </c>
      <c r="AJ213">
        <v>0.98495010000000005</v>
      </c>
      <c r="AK213">
        <v>0.98495010000000005</v>
      </c>
      <c r="AL213">
        <v>2.7999999999999999E-6</v>
      </c>
      <c r="AM213">
        <v>2.7999999999999999E-6</v>
      </c>
      <c r="AN213">
        <v>1.50472E-2</v>
      </c>
      <c r="AO213">
        <v>1.50472E-2</v>
      </c>
      <c r="AP213">
        <v>-92.893000000000001</v>
      </c>
      <c r="AQ213">
        <v>-92.893000000000001</v>
      </c>
      <c r="AR213">
        <v>-138.0453</v>
      </c>
      <c r="AS213">
        <v>-138.0453</v>
      </c>
      <c r="AT213">
        <v>0</v>
      </c>
      <c r="AU213">
        <v>0</v>
      </c>
      <c r="AV213">
        <v>0</v>
      </c>
      <c r="AW213">
        <v>180</v>
      </c>
      <c r="AY213">
        <v>0.71079999999999999</v>
      </c>
      <c r="AZ213">
        <v>5.62E-3</v>
      </c>
      <c r="BA213">
        <v>5.62E-3</v>
      </c>
      <c r="BB213">
        <v>0.99382570000000003</v>
      </c>
      <c r="BC213">
        <v>0.99382570000000003</v>
      </c>
      <c r="BD213">
        <v>5.5440000000000003E-4</v>
      </c>
      <c r="BE213">
        <v>5.5440000000000003E-4</v>
      </c>
      <c r="BF213">
        <v>34.9514</v>
      </c>
      <c r="BG213">
        <v>34.9514</v>
      </c>
      <c r="BH213">
        <v>164.309</v>
      </c>
      <c r="BI213">
        <v>164.309</v>
      </c>
      <c r="BJ213">
        <v>0</v>
      </c>
      <c r="BK213">
        <v>0</v>
      </c>
      <c r="BL213">
        <v>0</v>
      </c>
      <c r="BM213">
        <v>180</v>
      </c>
      <c r="BP213">
        <v>0.71079999999999999</v>
      </c>
      <c r="BQ213">
        <v>0.88572320000000004</v>
      </c>
      <c r="BR213">
        <v>0.88572320000000004</v>
      </c>
      <c r="BS213">
        <v>0</v>
      </c>
      <c r="BT213">
        <v>0</v>
      </c>
      <c r="BU213">
        <v>0.1142768</v>
      </c>
      <c r="BV213">
        <v>0.1142768</v>
      </c>
      <c r="BW213">
        <v>-62.8613</v>
      </c>
      <c r="BX213">
        <v>-62.8613</v>
      </c>
      <c r="BY213">
        <v>164.57740000000001</v>
      </c>
      <c r="BZ213">
        <v>164.57740000000001</v>
      </c>
      <c r="CA213">
        <v>0</v>
      </c>
      <c r="CB213">
        <v>0</v>
      </c>
      <c r="CC213">
        <v>0</v>
      </c>
      <c r="CD213">
        <v>180</v>
      </c>
    </row>
    <row r="214" spans="19:82">
      <c r="S214">
        <v>0.71214999999999995</v>
      </c>
      <c r="T214">
        <v>0.98697170000000001</v>
      </c>
      <c r="U214">
        <v>0.98697170000000001</v>
      </c>
      <c r="V214">
        <v>1.7999999999999999E-6</v>
      </c>
      <c r="W214">
        <v>1.7999999999999999E-6</v>
      </c>
      <c r="X214">
        <v>1.30265E-2</v>
      </c>
      <c r="Y214">
        <v>1.30265E-2</v>
      </c>
      <c r="Z214">
        <v>-102.7375</v>
      </c>
      <c r="AA214">
        <v>-102.7375</v>
      </c>
      <c r="AB214">
        <v>-155.5857</v>
      </c>
      <c r="AC214">
        <v>-155.5857</v>
      </c>
      <c r="AD214">
        <v>0</v>
      </c>
      <c r="AE214">
        <v>0</v>
      </c>
      <c r="AF214">
        <v>0</v>
      </c>
      <c r="AG214">
        <v>180</v>
      </c>
      <c r="AI214">
        <v>0.71214999999999995</v>
      </c>
      <c r="AJ214">
        <v>0.98493350000000002</v>
      </c>
      <c r="AK214">
        <v>0.98493350000000002</v>
      </c>
      <c r="AL214">
        <v>2.7999999999999999E-6</v>
      </c>
      <c r="AM214">
        <v>2.7999999999999999E-6</v>
      </c>
      <c r="AN214">
        <v>1.50638E-2</v>
      </c>
      <c r="AO214">
        <v>1.50638E-2</v>
      </c>
      <c r="AP214">
        <v>-92.677599999999998</v>
      </c>
      <c r="AQ214">
        <v>-92.677599999999998</v>
      </c>
      <c r="AR214">
        <v>-137.69909999999999</v>
      </c>
      <c r="AS214">
        <v>-137.69909999999999</v>
      </c>
      <c r="AT214">
        <v>0</v>
      </c>
      <c r="AU214">
        <v>0</v>
      </c>
      <c r="AV214">
        <v>0</v>
      </c>
      <c r="AW214">
        <v>180</v>
      </c>
      <c r="AY214">
        <v>0.71214999999999995</v>
      </c>
      <c r="AZ214">
        <v>5.6321000000000001E-3</v>
      </c>
      <c r="BA214">
        <v>5.6321000000000001E-3</v>
      </c>
      <c r="BB214">
        <v>0.99381870000000005</v>
      </c>
      <c r="BC214">
        <v>0.99381870000000005</v>
      </c>
      <c r="BD214">
        <v>5.4909999999999996E-4</v>
      </c>
      <c r="BE214">
        <v>5.4909999999999996E-4</v>
      </c>
      <c r="BF214">
        <v>35.6143</v>
      </c>
      <c r="BG214">
        <v>35.6143</v>
      </c>
      <c r="BH214">
        <v>164.39769999999999</v>
      </c>
      <c r="BI214">
        <v>164.39769999999999</v>
      </c>
      <c r="BJ214">
        <v>0</v>
      </c>
      <c r="BK214">
        <v>0</v>
      </c>
      <c r="BL214">
        <v>0</v>
      </c>
      <c r="BM214">
        <v>180</v>
      </c>
      <c r="BP214">
        <v>0.71214999999999995</v>
      </c>
      <c r="BQ214">
        <v>0.8854071</v>
      </c>
      <c r="BR214">
        <v>0.8854071</v>
      </c>
      <c r="BS214">
        <v>0</v>
      </c>
      <c r="BT214">
        <v>0</v>
      </c>
      <c r="BU214">
        <v>0.1145929</v>
      </c>
      <c r="BV214">
        <v>0.1145929</v>
      </c>
      <c r="BW214">
        <v>-63.171700000000001</v>
      </c>
      <c r="BX214">
        <v>-63.171700000000001</v>
      </c>
      <c r="BY214">
        <v>164.59</v>
      </c>
      <c r="BZ214">
        <v>164.59</v>
      </c>
      <c r="CA214">
        <v>0</v>
      </c>
      <c r="CB214">
        <v>0</v>
      </c>
      <c r="CC214">
        <v>0</v>
      </c>
      <c r="CD214">
        <v>180</v>
      </c>
    </row>
    <row r="215" spans="19:82">
      <c r="S215">
        <v>0.71350000000000002</v>
      </c>
      <c r="T215">
        <v>0.98697710000000005</v>
      </c>
      <c r="U215">
        <v>0.98697710000000005</v>
      </c>
      <c r="V215">
        <v>1.7999999999999999E-6</v>
      </c>
      <c r="W215">
        <v>1.7999999999999999E-6</v>
      </c>
      <c r="X215">
        <v>1.3021E-2</v>
      </c>
      <c r="Y215">
        <v>1.3021E-2</v>
      </c>
      <c r="Z215">
        <v>-102.5408</v>
      </c>
      <c r="AA215">
        <v>-102.5408</v>
      </c>
      <c r="AB215">
        <v>-155.28229999999999</v>
      </c>
      <c r="AC215">
        <v>-155.28229999999999</v>
      </c>
      <c r="AD215">
        <v>0</v>
      </c>
      <c r="AE215">
        <v>0</v>
      </c>
      <c r="AF215">
        <v>0</v>
      </c>
      <c r="AG215">
        <v>180</v>
      </c>
      <c r="AI215">
        <v>0.71350000000000002</v>
      </c>
      <c r="AJ215">
        <v>0.98491649999999997</v>
      </c>
      <c r="AK215">
        <v>0.98491649999999997</v>
      </c>
      <c r="AL215">
        <v>2.7E-6</v>
      </c>
      <c r="AM215">
        <v>2.7E-6</v>
      </c>
      <c r="AN215">
        <v>1.50808E-2</v>
      </c>
      <c r="AO215">
        <v>1.50808E-2</v>
      </c>
      <c r="AP215">
        <v>-92.462199999999996</v>
      </c>
      <c r="AQ215">
        <v>-92.462199999999996</v>
      </c>
      <c r="AR215">
        <v>-137.3526</v>
      </c>
      <c r="AS215">
        <v>-137.3526</v>
      </c>
      <c r="AT215">
        <v>0</v>
      </c>
      <c r="AU215">
        <v>0</v>
      </c>
      <c r="AV215">
        <v>0</v>
      </c>
      <c r="AW215">
        <v>180</v>
      </c>
      <c r="AY215">
        <v>0.71350000000000002</v>
      </c>
      <c r="AZ215">
        <v>5.6427999999999999E-3</v>
      </c>
      <c r="BA215">
        <v>5.6427999999999999E-3</v>
      </c>
      <c r="BB215">
        <v>0.99381330000000001</v>
      </c>
      <c r="BC215">
        <v>0.99381330000000001</v>
      </c>
      <c r="BD215">
        <v>5.4390000000000005E-4</v>
      </c>
      <c r="BE215">
        <v>5.4390000000000005E-4</v>
      </c>
      <c r="BF215">
        <v>36.2746</v>
      </c>
      <c r="BG215">
        <v>36.2746</v>
      </c>
      <c r="BH215">
        <v>164.49109999999999</v>
      </c>
      <c r="BI215">
        <v>164.49109999999999</v>
      </c>
      <c r="BJ215">
        <v>0</v>
      </c>
      <c r="BK215">
        <v>0</v>
      </c>
      <c r="BL215">
        <v>0</v>
      </c>
      <c r="BM215">
        <v>180</v>
      </c>
      <c r="BP215">
        <v>0.71350000000000002</v>
      </c>
      <c r="BQ215">
        <v>0.88509210000000005</v>
      </c>
      <c r="BR215">
        <v>0.88509210000000005</v>
      </c>
      <c r="BS215">
        <v>0</v>
      </c>
      <c r="BT215">
        <v>0</v>
      </c>
      <c r="BU215">
        <v>0.11490789999999999</v>
      </c>
      <c r="BV215">
        <v>0.11490789999999999</v>
      </c>
      <c r="BW215">
        <v>-63.481000000000002</v>
      </c>
      <c r="BX215">
        <v>-63.481000000000002</v>
      </c>
      <c r="BY215">
        <v>164.6026</v>
      </c>
      <c r="BZ215">
        <v>164.6026</v>
      </c>
      <c r="CA215">
        <v>0</v>
      </c>
      <c r="CB215">
        <v>0</v>
      </c>
      <c r="CC215">
        <v>0</v>
      </c>
      <c r="CD215">
        <v>180</v>
      </c>
    </row>
    <row r="216" spans="19:82">
      <c r="S216">
        <v>0.71484999999999999</v>
      </c>
      <c r="T216">
        <v>0.98698209999999997</v>
      </c>
      <c r="U216">
        <v>0.98698209999999997</v>
      </c>
      <c r="V216">
        <v>1.7999999999999999E-6</v>
      </c>
      <c r="W216">
        <v>1.7999999999999999E-6</v>
      </c>
      <c r="X216">
        <v>1.3016099999999999E-2</v>
      </c>
      <c r="Y216">
        <v>1.3016099999999999E-2</v>
      </c>
      <c r="Z216">
        <v>-102.3445</v>
      </c>
      <c r="AA216">
        <v>-102.3445</v>
      </c>
      <c r="AB216">
        <v>-154.97909999999999</v>
      </c>
      <c r="AC216">
        <v>-154.97909999999999</v>
      </c>
      <c r="AD216">
        <v>0</v>
      </c>
      <c r="AE216">
        <v>0</v>
      </c>
      <c r="AF216">
        <v>0</v>
      </c>
      <c r="AG216">
        <v>180</v>
      </c>
      <c r="AI216">
        <v>0.71484999999999999</v>
      </c>
      <c r="AJ216">
        <v>0.98489910000000003</v>
      </c>
      <c r="AK216">
        <v>0.98489910000000003</v>
      </c>
      <c r="AL216">
        <v>2.7E-6</v>
      </c>
      <c r="AM216">
        <v>2.7E-6</v>
      </c>
      <c r="AN216">
        <v>1.5098200000000001E-2</v>
      </c>
      <c r="AO216">
        <v>1.5098200000000001E-2</v>
      </c>
      <c r="AP216">
        <v>-92.246799999999993</v>
      </c>
      <c r="AQ216">
        <v>-92.246799999999993</v>
      </c>
      <c r="AR216">
        <v>-137.0059</v>
      </c>
      <c r="AS216">
        <v>-137.0059</v>
      </c>
      <c r="AT216">
        <v>0</v>
      </c>
      <c r="AU216">
        <v>0</v>
      </c>
      <c r="AV216">
        <v>0</v>
      </c>
      <c r="AW216">
        <v>180</v>
      </c>
      <c r="AY216">
        <v>0.71484999999999999</v>
      </c>
      <c r="AZ216">
        <v>5.6518999999999996E-3</v>
      </c>
      <c r="BA216">
        <v>5.6518999999999996E-3</v>
      </c>
      <c r="BB216">
        <v>0.99380939999999995</v>
      </c>
      <c r="BC216">
        <v>0.99380939999999995</v>
      </c>
      <c r="BD216">
        <v>5.3870000000000003E-4</v>
      </c>
      <c r="BE216">
        <v>5.3870000000000003E-4</v>
      </c>
      <c r="BF216">
        <v>36.932499999999997</v>
      </c>
      <c r="BG216">
        <v>36.932499999999997</v>
      </c>
      <c r="BH216">
        <v>164.5889</v>
      </c>
      <c r="BI216">
        <v>164.5889</v>
      </c>
      <c r="BJ216">
        <v>0</v>
      </c>
      <c r="BK216">
        <v>0</v>
      </c>
      <c r="BL216">
        <v>0</v>
      </c>
      <c r="BM216">
        <v>180</v>
      </c>
      <c r="BP216">
        <v>0.71484999999999999</v>
      </c>
      <c r="BQ216">
        <v>0.88477819999999996</v>
      </c>
      <c r="BR216">
        <v>0.88477819999999996</v>
      </c>
      <c r="BS216">
        <v>0</v>
      </c>
      <c r="BT216">
        <v>0</v>
      </c>
      <c r="BU216">
        <v>0.1152217</v>
      </c>
      <c r="BV216">
        <v>0.1152217</v>
      </c>
      <c r="BW216">
        <v>-63.789299999999997</v>
      </c>
      <c r="BX216">
        <v>-63.789299999999997</v>
      </c>
      <c r="BY216">
        <v>164.61519999999999</v>
      </c>
      <c r="BZ216">
        <v>164.61519999999999</v>
      </c>
      <c r="CA216">
        <v>0</v>
      </c>
      <c r="CB216">
        <v>0</v>
      </c>
      <c r="CC216">
        <v>0</v>
      </c>
      <c r="CD216">
        <v>180</v>
      </c>
    </row>
    <row r="217" spans="19:82">
      <c r="S217">
        <v>0.71619999999999995</v>
      </c>
      <c r="T217">
        <v>0.98698669999999999</v>
      </c>
      <c r="U217">
        <v>0.98698669999999999</v>
      </c>
      <c r="V217">
        <v>1.7999999999999999E-6</v>
      </c>
      <c r="W217">
        <v>1.7999999999999999E-6</v>
      </c>
      <c r="X217">
        <v>1.30115E-2</v>
      </c>
      <c r="Y217">
        <v>1.30115E-2</v>
      </c>
      <c r="Z217">
        <v>-102.1484</v>
      </c>
      <c r="AA217">
        <v>-102.1484</v>
      </c>
      <c r="AB217">
        <v>-154.67609999999999</v>
      </c>
      <c r="AC217">
        <v>-154.67609999999999</v>
      </c>
      <c r="AD217">
        <v>0</v>
      </c>
      <c r="AE217">
        <v>0</v>
      </c>
      <c r="AF217">
        <v>0</v>
      </c>
      <c r="AG217">
        <v>180</v>
      </c>
      <c r="AI217">
        <v>0.71619999999999995</v>
      </c>
      <c r="AJ217">
        <v>0.98488359999999997</v>
      </c>
      <c r="AK217">
        <v>0.98488359999999997</v>
      </c>
      <c r="AL217">
        <v>2.7E-6</v>
      </c>
      <c r="AM217">
        <v>2.7E-6</v>
      </c>
      <c r="AN217">
        <v>1.5113700000000001E-2</v>
      </c>
      <c r="AO217">
        <v>1.5113700000000001E-2</v>
      </c>
      <c r="AP217">
        <v>-92.036199999999994</v>
      </c>
      <c r="AQ217">
        <v>-92.036199999999994</v>
      </c>
      <c r="AR217">
        <v>-136.66810000000001</v>
      </c>
      <c r="AS217">
        <v>-136.66810000000001</v>
      </c>
      <c r="AT217">
        <v>0</v>
      </c>
      <c r="AU217">
        <v>0</v>
      </c>
      <c r="AV217">
        <v>0</v>
      </c>
      <c r="AW217">
        <v>180</v>
      </c>
      <c r="AY217">
        <v>0.71619999999999995</v>
      </c>
      <c r="AZ217">
        <v>5.6592999999999999E-3</v>
      </c>
      <c r="BA217">
        <v>5.6592999999999999E-3</v>
      </c>
      <c r="BB217">
        <v>0.99380710000000005</v>
      </c>
      <c r="BC217">
        <v>0.99380710000000005</v>
      </c>
      <c r="BD217">
        <v>5.3350000000000001E-4</v>
      </c>
      <c r="BE217">
        <v>5.3350000000000001E-4</v>
      </c>
      <c r="BF217">
        <v>37.587899999999998</v>
      </c>
      <c r="BG217">
        <v>37.587899999999998</v>
      </c>
      <c r="BH217">
        <v>164.691</v>
      </c>
      <c r="BI217">
        <v>164.691</v>
      </c>
      <c r="BJ217">
        <v>0</v>
      </c>
      <c r="BK217">
        <v>0</v>
      </c>
      <c r="BL217">
        <v>0</v>
      </c>
      <c r="BM217">
        <v>180</v>
      </c>
      <c r="BP217">
        <v>0.71619999999999995</v>
      </c>
      <c r="BQ217">
        <v>0.88446550000000002</v>
      </c>
      <c r="BR217">
        <v>0.88446550000000002</v>
      </c>
      <c r="BS217">
        <v>0</v>
      </c>
      <c r="BT217">
        <v>0</v>
      </c>
      <c r="BU217">
        <v>0.1155345</v>
      </c>
      <c r="BV217">
        <v>0.1155345</v>
      </c>
      <c r="BW217">
        <v>-64.096400000000003</v>
      </c>
      <c r="BX217">
        <v>-64.096400000000003</v>
      </c>
      <c r="BY217">
        <v>164.62780000000001</v>
      </c>
      <c r="BZ217">
        <v>164.62780000000001</v>
      </c>
      <c r="CA217">
        <v>0</v>
      </c>
      <c r="CB217">
        <v>0</v>
      </c>
      <c r="CC217">
        <v>0</v>
      </c>
      <c r="CD217">
        <v>180</v>
      </c>
    </row>
    <row r="218" spans="19:82">
      <c r="S218">
        <v>0.71755000000000002</v>
      </c>
      <c r="T218">
        <v>0.98699079999999995</v>
      </c>
      <c r="U218">
        <v>0.98699079999999995</v>
      </c>
      <c r="V218">
        <v>1.7999999999999999E-6</v>
      </c>
      <c r="W218">
        <v>1.7999999999999999E-6</v>
      </c>
      <c r="X218">
        <v>1.3007400000000001E-2</v>
      </c>
      <c r="Y218">
        <v>1.3007400000000001E-2</v>
      </c>
      <c r="Z218">
        <v>-101.95269999999999</v>
      </c>
      <c r="AA218">
        <v>-101.95269999999999</v>
      </c>
      <c r="AB218">
        <v>-154.3734</v>
      </c>
      <c r="AC218">
        <v>-154.3734</v>
      </c>
      <c r="AD218">
        <v>0</v>
      </c>
      <c r="AE218">
        <v>0</v>
      </c>
      <c r="AF218">
        <v>0</v>
      </c>
      <c r="AG218">
        <v>180</v>
      </c>
      <c r="AI218">
        <v>0.71755000000000002</v>
      </c>
      <c r="AJ218">
        <v>0.98486810000000002</v>
      </c>
      <c r="AK218">
        <v>0.98486810000000002</v>
      </c>
      <c r="AL218">
        <v>2.7E-6</v>
      </c>
      <c r="AM218">
        <v>2.7E-6</v>
      </c>
      <c r="AN218">
        <v>1.5129200000000001E-2</v>
      </c>
      <c r="AO218">
        <v>1.5129200000000001E-2</v>
      </c>
      <c r="AP218">
        <v>-91.826300000000003</v>
      </c>
      <c r="AQ218">
        <v>-91.826300000000003</v>
      </c>
      <c r="AR218">
        <v>-136.33150000000001</v>
      </c>
      <c r="AS218">
        <v>-136.33150000000001</v>
      </c>
      <c r="AT218">
        <v>0</v>
      </c>
      <c r="AU218">
        <v>0</v>
      </c>
      <c r="AV218">
        <v>0</v>
      </c>
      <c r="AW218">
        <v>180</v>
      </c>
      <c r="AY218">
        <v>0.71755000000000002</v>
      </c>
      <c r="AZ218">
        <v>5.6651999999999996E-3</v>
      </c>
      <c r="BA218">
        <v>5.6651999999999996E-3</v>
      </c>
      <c r="BB218">
        <v>0.99380639999999998</v>
      </c>
      <c r="BC218">
        <v>0.99380639999999998</v>
      </c>
      <c r="BD218">
        <v>5.2840000000000005E-4</v>
      </c>
      <c r="BE218">
        <v>5.2840000000000005E-4</v>
      </c>
      <c r="BF218">
        <v>38.2408</v>
      </c>
      <c r="BG218">
        <v>38.2408</v>
      </c>
      <c r="BH218">
        <v>164.7971</v>
      </c>
      <c r="BI218">
        <v>164.7971</v>
      </c>
      <c r="BJ218">
        <v>0</v>
      </c>
      <c r="BK218">
        <v>0</v>
      </c>
      <c r="BL218">
        <v>0</v>
      </c>
      <c r="BM218">
        <v>180</v>
      </c>
      <c r="BP218">
        <v>0.71755000000000002</v>
      </c>
      <c r="BQ218">
        <v>0.88415390000000005</v>
      </c>
      <c r="BR218">
        <v>0.88415390000000005</v>
      </c>
      <c r="BS218">
        <v>0</v>
      </c>
      <c r="BT218">
        <v>0</v>
      </c>
      <c r="BU218">
        <v>0.11584609999999999</v>
      </c>
      <c r="BV218">
        <v>0.11584609999999999</v>
      </c>
      <c r="BW218">
        <v>-64.4024</v>
      </c>
      <c r="BX218">
        <v>-64.4024</v>
      </c>
      <c r="BY218">
        <v>164.6404</v>
      </c>
      <c r="BZ218">
        <v>164.6404</v>
      </c>
      <c r="CA218">
        <v>0</v>
      </c>
      <c r="CB218">
        <v>0</v>
      </c>
      <c r="CC218">
        <v>0</v>
      </c>
      <c r="CD218">
        <v>180</v>
      </c>
    </row>
    <row r="219" spans="19:82">
      <c r="S219">
        <v>0.71889999999999998</v>
      </c>
      <c r="T219">
        <v>0.98699440000000005</v>
      </c>
      <c r="U219">
        <v>0.98699440000000005</v>
      </c>
      <c r="V219">
        <v>1.7999999999999999E-6</v>
      </c>
      <c r="W219">
        <v>1.7999999999999999E-6</v>
      </c>
      <c r="X219">
        <v>1.3003799999999999E-2</v>
      </c>
      <c r="Y219">
        <v>1.3003799999999999E-2</v>
      </c>
      <c r="Z219">
        <v>-101.7573</v>
      </c>
      <c r="AA219">
        <v>-101.7573</v>
      </c>
      <c r="AB219">
        <v>-154.07079999999999</v>
      </c>
      <c r="AC219">
        <v>-154.07079999999999</v>
      </c>
      <c r="AD219">
        <v>0</v>
      </c>
      <c r="AE219">
        <v>0</v>
      </c>
      <c r="AF219">
        <v>0</v>
      </c>
      <c r="AG219">
        <v>180</v>
      </c>
      <c r="AI219">
        <v>0.71889999999999998</v>
      </c>
      <c r="AJ219">
        <v>0.98485210000000001</v>
      </c>
      <c r="AK219">
        <v>0.98485210000000001</v>
      </c>
      <c r="AL219">
        <v>2.7E-6</v>
      </c>
      <c r="AM219">
        <v>2.7E-6</v>
      </c>
      <c r="AN219">
        <v>1.5145199999999999E-2</v>
      </c>
      <c r="AO219">
        <v>1.5145199999999999E-2</v>
      </c>
      <c r="AP219">
        <v>-91.616500000000002</v>
      </c>
      <c r="AQ219">
        <v>-91.616500000000002</v>
      </c>
      <c r="AR219">
        <v>-135.99469999999999</v>
      </c>
      <c r="AS219">
        <v>-135.99469999999999</v>
      </c>
      <c r="AT219">
        <v>0</v>
      </c>
      <c r="AU219">
        <v>0</v>
      </c>
      <c r="AV219">
        <v>0</v>
      </c>
      <c r="AW219">
        <v>180</v>
      </c>
      <c r="AY219">
        <v>0.71889999999999998</v>
      </c>
      <c r="AZ219">
        <v>5.6693999999999998E-3</v>
      </c>
      <c r="BA219">
        <v>5.6693999999999998E-3</v>
      </c>
      <c r="BB219">
        <v>0.99380740000000001</v>
      </c>
      <c r="BC219">
        <v>0.99380740000000001</v>
      </c>
      <c r="BD219">
        <v>5.2329999999999998E-4</v>
      </c>
      <c r="BE219">
        <v>5.2329999999999998E-4</v>
      </c>
      <c r="BF219">
        <v>38.891300000000001</v>
      </c>
      <c r="BG219">
        <v>38.891300000000001</v>
      </c>
      <c r="BH219">
        <v>164.90700000000001</v>
      </c>
      <c r="BI219">
        <v>164.90700000000001</v>
      </c>
      <c r="BJ219">
        <v>0</v>
      </c>
      <c r="BK219">
        <v>0</v>
      </c>
      <c r="BL219">
        <v>0</v>
      </c>
      <c r="BM219">
        <v>180</v>
      </c>
      <c r="BP219">
        <v>0.71889999999999998</v>
      </c>
      <c r="BQ219">
        <v>0.8838435</v>
      </c>
      <c r="BR219">
        <v>0.8838435</v>
      </c>
      <c r="BS219">
        <v>0</v>
      </c>
      <c r="BT219">
        <v>0</v>
      </c>
      <c r="BU219">
        <v>0.1161565</v>
      </c>
      <c r="BV219">
        <v>0.1161565</v>
      </c>
      <c r="BW219">
        <v>-64.707300000000004</v>
      </c>
      <c r="BX219">
        <v>-64.707300000000004</v>
      </c>
      <c r="BY219">
        <v>164.65299999999999</v>
      </c>
      <c r="BZ219">
        <v>164.65299999999999</v>
      </c>
      <c r="CA219">
        <v>0</v>
      </c>
      <c r="CB219">
        <v>0</v>
      </c>
      <c r="CC219">
        <v>0</v>
      </c>
      <c r="CD219">
        <v>180</v>
      </c>
    </row>
    <row r="220" spans="19:82">
      <c r="S220">
        <v>0.72024999999999995</v>
      </c>
      <c r="T220">
        <v>0.98699769999999998</v>
      </c>
      <c r="U220">
        <v>0.98699769999999998</v>
      </c>
      <c r="V220">
        <v>1.7999999999999999E-6</v>
      </c>
      <c r="W220">
        <v>1.7999999999999999E-6</v>
      </c>
      <c r="X220">
        <v>1.3000599999999999E-2</v>
      </c>
      <c r="Y220">
        <v>1.3000599999999999E-2</v>
      </c>
      <c r="Z220">
        <v>-101.5621</v>
      </c>
      <c r="AA220">
        <v>-101.5621</v>
      </c>
      <c r="AB220">
        <v>-153.76840000000001</v>
      </c>
      <c r="AC220">
        <v>-153.76840000000001</v>
      </c>
      <c r="AD220">
        <v>0</v>
      </c>
      <c r="AE220">
        <v>0</v>
      </c>
      <c r="AF220">
        <v>0</v>
      </c>
      <c r="AG220">
        <v>180</v>
      </c>
      <c r="AI220">
        <v>0.72024999999999995</v>
      </c>
      <c r="AJ220">
        <v>0.98483580000000004</v>
      </c>
      <c r="AK220">
        <v>0.98483580000000004</v>
      </c>
      <c r="AL220">
        <v>2.7E-6</v>
      </c>
      <c r="AM220">
        <v>2.7E-6</v>
      </c>
      <c r="AN220">
        <v>1.51615E-2</v>
      </c>
      <c r="AO220">
        <v>1.51615E-2</v>
      </c>
      <c r="AP220">
        <v>-91.406800000000004</v>
      </c>
      <c r="AQ220">
        <v>-91.406800000000004</v>
      </c>
      <c r="AR220">
        <v>-135.6576</v>
      </c>
      <c r="AS220">
        <v>-135.6576</v>
      </c>
      <c r="AT220">
        <v>0</v>
      </c>
      <c r="AU220">
        <v>0</v>
      </c>
      <c r="AV220">
        <v>0</v>
      </c>
      <c r="AW220">
        <v>180</v>
      </c>
      <c r="AY220">
        <v>0.72024999999999995</v>
      </c>
      <c r="AZ220">
        <v>5.6718999999999997E-3</v>
      </c>
      <c r="BA220">
        <v>5.6718999999999997E-3</v>
      </c>
      <c r="BB220">
        <v>0.99380990000000002</v>
      </c>
      <c r="BC220">
        <v>0.99380990000000002</v>
      </c>
      <c r="BD220">
        <v>5.1820000000000002E-4</v>
      </c>
      <c r="BE220">
        <v>5.1820000000000002E-4</v>
      </c>
      <c r="BF220">
        <v>39.539299999999997</v>
      </c>
      <c r="BG220">
        <v>39.539299999999997</v>
      </c>
      <c r="BH220">
        <v>165.0206</v>
      </c>
      <c r="BI220">
        <v>165.0206</v>
      </c>
      <c r="BJ220">
        <v>0</v>
      </c>
      <c r="BK220">
        <v>0</v>
      </c>
      <c r="BL220">
        <v>0</v>
      </c>
      <c r="BM220">
        <v>180</v>
      </c>
      <c r="BP220">
        <v>0.72024999999999995</v>
      </c>
      <c r="BQ220">
        <v>0.88353409999999999</v>
      </c>
      <c r="BR220">
        <v>0.88353409999999999</v>
      </c>
      <c r="BS220">
        <v>0</v>
      </c>
      <c r="BT220">
        <v>0</v>
      </c>
      <c r="BU220">
        <v>0.1164659</v>
      </c>
      <c r="BV220">
        <v>0.1164659</v>
      </c>
      <c r="BW220">
        <v>-65.011200000000002</v>
      </c>
      <c r="BX220">
        <v>-65.011200000000002</v>
      </c>
      <c r="BY220">
        <v>164.66560000000001</v>
      </c>
      <c r="BZ220">
        <v>164.66560000000001</v>
      </c>
      <c r="CA220">
        <v>0</v>
      </c>
      <c r="CB220">
        <v>0</v>
      </c>
      <c r="CC220">
        <v>0</v>
      </c>
      <c r="CD220">
        <v>180</v>
      </c>
    </row>
    <row r="221" spans="19:82">
      <c r="S221">
        <v>0.72160000000000002</v>
      </c>
      <c r="T221">
        <v>0.98700049999999995</v>
      </c>
      <c r="U221">
        <v>0.98700049999999995</v>
      </c>
      <c r="V221">
        <v>1.7E-6</v>
      </c>
      <c r="W221">
        <v>1.7E-6</v>
      </c>
      <c r="X221">
        <v>1.29978E-2</v>
      </c>
      <c r="Y221">
        <v>1.29978E-2</v>
      </c>
      <c r="Z221">
        <v>-101.3673</v>
      </c>
      <c r="AA221">
        <v>-101.3673</v>
      </c>
      <c r="AB221">
        <v>-153.46619999999999</v>
      </c>
      <c r="AC221">
        <v>-153.46619999999999</v>
      </c>
      <c r="AD221">
        <v>0</v>
      </c>
      <c r="AE221">
        <v>0</v>
      </c>
      <c r="AF221">
        <v>0</v>
      </c>
      <c r="AG221">
        <v>180</v>
      </c>
      <c r="AI221">
        <v>0.72160000000000002</v>
      </c>
      <c r="AJ221">
        <v>0.98481920000000001</v>
      </c>
      <c r="AK221">
        <v>0.98481920000000001</v>
      </c>
      <c r="AL221">
        <v>2.6000000000000001E-6</v>
      </c>
      <c r="AM221">
        <v>2.6000000000000001E-6</v>
      </c>
      <c r="AN221">
        <v>1.5178199999999999E-2</v>
      </c>
      <c r="AO221">
        <v>1.5178199999999999E-2</v>
      </c>
      <c r="AP221">
        <v>-91.197199999999995</v>
      </c>
      <c r="AQ221">
        <v>-91.197199999999995</v>
      </c>
      <c r="AR221">
        <v>-135.32040000000001</v>
      </c>
      <c r="AS221">
        <v>-135.32040000000001</v>
      </c>
      <c r="AT221">
        <v>0</v>
      </c>
      <c r="AU221">
        <v>0</v>
      </c>
      <c r="AV221">
        <v>0</v>
      </c>
      <c r="AW221">
        <v>180</v>
      </c>
      <c r="AY221">
        <v>0.72160000000000002</v>
      </c>
      <c r="AZ221">
        <v>5.6728000000000004E-3</v>
      </c>
      <c r="BA221">
        <v>5.6728000000000004E-3</v>
      </c>
      <c r="BB221">
        <v>0.99381419999999998</v>
      </c>
      <c r="BC221">
        <v>0.99381419999999998</v>
      </c>
      <c r="BD221">
        <v>5.1309999999999995E-4</v>
      </c>
      <c r="BE221">
        <v>5.1309999999999995E-4</v>
      </c>
      <c r="BF221">
        <v>40.184800000000003</v>
      </c>
      <c r="BG221">
        <v>40.184800000000003</v>
      </c>
      <c r="BH221">
        <v>165.13759999999999</v>
      </c>
      <c r="BI221">
        <v>165.13759999999999</v>
      </c>
      <c r="BJ221">
        <v>0</v>
      </c>
      <c r="BK221">
        <v>0</v>
      </c>
      <c r="BL221">
        <v>0</v>
      </c>
      <c r="BM221">
        <v>180</v>
      </c>
      <c r="BP221">
        <v>0.72160000000000002</v>
      </c>
      <c r="BQ221">
        <v>0.88322590000000001</v>
      </c>
      <c r="BR221">
        <v>0.88322590000000001</v>
      </c>
      <c r="BS221">
        <v>0</v>
      </c>
      <c r="BT221">
        <v>0</v>
      </c>
      <c r="BU221">
        <v>0.11677410000000001</v>
      </c>
      <c r="BV221">
        <v>0.11677410000000001</v>
      </c>
      <c r="BW221">
        <v>-65.313999999999993</v>
      </c>
      <c r="BX221">
        <v>-65.313999999999993</v>
      </c>
      <c r="BY221">
        <v>164.6782</v>
      </c>
      <c r="BZ221">
        <v>164.6782</v>
      </c>
      <c r="CA221">
        <v>0</v>
      </c>
      <c r="CB221">
        <v>0</v>
      </c>
      <c r="CC221">
        <v>0</v>
      </c>
      <c r="CD221">
        <v>180</v>
      </c>
    </row>
    <row r="222" spans="19:82">
      <c r="S222">
        <v>0.72294999999999998</v>
      </c>
      <c r="T222">
        <v>0.98700279999999996</v>
      </c>
      <c r="U222">
        <v>0.98700279999999996</v>
      </c>
      <c r="V222">
        <v>1.7E-6</v>
      </c>
      <c r="W222">
        <v>1.7E-6</v>
      </c>
      <c r="X222">
        <v>1.2995400000000001E-2</v>
      </c>
      <c r="Y222">
        <v>1.2995400000000001E-2</v>
      </c>
      <c r="Z222">
        <v>-101.17270000000001</v>
      </c>
      <c r="AA222">
        <v>-101.17270000000001</v>
      </c>
      <c r="AB222">
        <v>-153.16419999999999</v>
      </c>
      <c r="AC222">
        <v>-153.16419999999999</v>
      </c>
      <c r="AD222">
        <v>0</v>
      </c>
      <c r="AE222">
        <v>0</v>
      </c>
      <c r="AF222">
        <v>0</v>
      </c>
      <c r="AG222">
        <v>180</v>
      </c>
      <c r="AI222">
        <v>0.72294999999999998</v>
      </c>
      <c r="AJ222">
        <v>0.98480210000000001</v>
      </c>
      <c r="AK222">
        <v>0.98480210000000001</v>
      </c>
      <c r="AL222">
        <v>2.6000000000000001E-6</v>
      </c>
      <c r="AM222">
        <v>2.6000000000000001E-6</v>
      </c>
      <c r="AN222">
        <v>1.51953E-2</v>
      </c>
      <c r="AO222">
        <v>1.51953E-2</v>
      </c>
      <c r="AP222">
        <v>-90.987700000000004</v>
      </c>
      <c r="AQ222">
        <v>-90.987700000000004</v>
      </c>
      <c r="AR222">
        <v>-134.983</v>
      </c>
      <c r="AS222">
        <v>-134.983</v>
      </c>
      <c r="AT222">
        <v>0</v>
      </c>
      <c r="AU222">
        <v>0</v>
      </c>
      <c r="AV222">
        <v>0</v>
      </c>
      <c r="AW222">
        <v>180</v>
      </c>
      <c r="AY222">
        <v>0.72294999999999998</v>
      </c>
      <c r="AZ222">
        <v>5.6718999999999997E-3</v>
      </c>
      <c r="BA222">
        <v>5.6718999999999997E-3</v>
      </c>
      <c r="BB222">
        <v>0.99382009999999998</v>
      </c>
      <c r="BC222">
        <v>0.99382009999999998</v>
      </c>
      <c r="BD222">
        <v>5.0799999999999999E-4</v>
      </c>
      <c r="BE222">
        <v>5.0799999999999999E-4</v>
      </c>
      <c r="BF222">
        <v>40.828000000000003</v>
      </c>
      <c r="BG222">
        <v>40.828000000000003</v>
      </c>
      <c r="BH222">
        <v>165.25790000000001</v>
      </c>
      <c r="BI222">
        <v>165.25790000000001</v>
      </c>
      <c r="BJ222">
        <v>0</v>
      </c>
      <c r="BK222">
        <v>0</v>
      </c>
      <c r="BL222">
        <v>0</v>
      </c>
      <c r="BM222">
        <v>180</v>
      </c>
      <c r="BP222">
        <v>0.72294999999999998</v>
      </c>
      <c r="BQ222">
        <v>0.8829188</v>
      </c>
      <c r="BR222">
        <v>0.8829188</v>
      </c>
      <c r="BS222">
        <v>0</v>
      </c>
      <c r="BT222">
        <v>0</v>
      </c>
      <c r="BU222">
        <v>0.1170812</v>
      </c>
      <c r="BV222">
        <v>0.1170812</v>
      </c>
      <c r="BW222">
        <v>-65.615700000000004</v>
      </c>
      <c r="BX222">
        <v>-65.615700000000004</v>
      </c>
      <c r="BY222">
        <v>164.6908</v>
      </c>
      <c r="BZ222">
        <v>164.6908</v>
      </c>
      <c r="CA222">
        <v>0</v>
      </c>
      <c r="CB222">
        <v>0</v>
      </c>
      <c r="CC222">
        <v>0</v>
      </c>
      <c r="CD222">
        <v>180</v>
      </c>
    </row>
    <row r="223" spans="19:82">
      <c r="S223">
        <v>0.72430000000000005</v>
      </c>
      <c r="T223">
        <v>0.98700480000000002</v>
      </c>
      <c r="U223">
        <v>0.98700480000000002</v>
      </c>
      <c r="V223">
        <v>1.7E-6</v>
      </c>
      <c r="W223">
        <v>1.7E-6</v>
      </c>
      <c r="X223">
        <v>1.29935E-2</v>
      </c>
      <c r="Y223">
        <v>1.29935E-2</v>
      </c>
      <c r="Z223">
        <v>-100.9785</v>
      </c>
      <c r="AA223">
        <v>-100.9785</v>
      </c>
      <c r="AB223">
        <v>-152.86240000000001</v>
      </c>
      <c r="AC223">
        <v>-152.86240000000001</v>
      </c>
      <c r="AD223">
        <v>0</v>
      </c>
      <c r="AE223">
        <v>0</v>
      </c>
      <c r="AF223">
        <v>0</v>
      </c>
      <c r="AG223">
        <v>180</v>
      </c>
      <c r="AI223">
        <v>0.72430000000000005</v>
      </c>
      <c r="AJ223">
        <v>0.98478469999999996</v>
      </c>
      <c r="AK223">
        <v>0.98478469999999996</v>
      </c>
      <c r="AL223">
        <v>2.6000000000000001E-6</v>
      </c>
      <c r="AM223">
        <v>2.6000000000000001E-6</v>
      </c>
      <c r="AN223">
        <v>1.5212699999999999E-2</v>
      </c>
      <c r="AO223">
        <v>1.5212699999999999E-2</v>
      </c>
      <c r="AP223">
        <v>-90.778300000000002</v>
      </c>
      <c r="AQ223">
        <v>-90.778300000000002</v>
      </c>
      <c r="AR223">
        <v>-134.6454</v>
      </c>
      <c r="AS223">
        <v>-134.6454</v>
      </c>
      <c r="AT223">
        <v>0</v>
      </c>
      <c r="AU223">
        <v>0</v>
      </c>
      <c r="AV223">
        <v>0</v>
      </c>
      <c r="AW223">
        <v>180</v>
      </c>
      <c r="AY223">
        <v>0.72430000000000005</v>
      </c>
      <c r="AZ223">
        <v>5.6693000000000004E-3</v>
      </c>
      <c r="BA223">
        <v>5.6693000000000004E-3</v>
      </c>
      <c r="BB223">
        <v>0.99382769999999998</v>
      </c>
      <c r="BC223">
        <v>0.99382769999999998</v>
      </c>
      <c r="BD223">
        <v>5.0290000000000003E-4</v>
      </c>
      <c r="BE223">
        <v>5.0290000000000003E-4</v>
      </c>
      <c r="BF223">
        <v>41.468800000000002</v>
      </c>
      <c r="BG223">
        <v>41.468800000000002</v>
      </c>
      <c r="BH223">
        <v>165.38120000000001</v>
      </c>
      <c r="BI223">
        <v>165.38120000000001</v>
      </c>
      <c r="BJ223">
        <v>0</v>
      </c>
      <c r="BK223">
        <v>0</v>
      </c>
      <c r="BL223">
        <v>0</v>
      </c>
      <c r="BM223">
        <v>180</v>
      </c>
      <c r="BP223">
        <v>0.72430000000000005</v>
      </c>
      <c r="BQ223">
        <v>0.88261279999999998</v>
      </c>
      <c r="BR223">
        <v>0.88261279999999998</v>
      </c>
      <c r="BS223">
        <v>0</v>
      </c>
      <c r="BT223">
        <v>0</v>
      </c>
      <c r="BU223">
        <v>0.1173872</v>
      </c>
      <c r="BV223">
        <v>0.1173872</v>
      </c>
      <c r="BW223">
        <v>-65.916300000000007</v>
      </c>
      <c r="BX223">
        <v>-65.916300000000007</v>
      </c>
      <c r="BY223">
        <v>164.70339999999999</v>
      </c>
      <c r="BZ223">
        <v>164.70339999999999</v>
      </c>
      <c r="CA223">
        <v>0</v>
      </c>
      <c r="CB223">
        <v>0</v>
      </c>
      <c r="CC223">
        <v>0</v>
      </c>
      <c r="CD223">
        <v>180</v>
      </c>
    </row>
    <row r="224" spans="19:82">
      <c r="S224">
        <v>0.72565000000000002</v>
      </c>
      <c r="T224">
        <v>0.9870063</v>
      </c>
      <c r="U224">
        <v>0.9870063</v>
      </c>
      <c r="V224">
        <v>1.7E-6</v>
      </c>
      <c r="W224">
        <v>1.7E-6</v>
      </c>
      <c r="X224">
        <v>1.2991900000000001E-2</v>
      </c>
      <c r="Y224">
        <v>1.2991900000000001E-2</v>
      </c>
      <c r="Z224">
        <v>-100.78449999999999</v>
      </c>
      <c r="AA224">
        <v>-100.78449999999999</v>
      </c>
      <c r="AB224">
        <v>-152.5607</v>
      </c>
      <c r="AC224">
        <v>-152.5607</v>
      </c>
      <c r="AD224">
        <v>0</v>
      </c>
      <c r="AE224">
        <v>0</v>
      </c>
      <c r="AF224">
        <v>0</v>
      </c>
      <c r="AG224">
        <v>180</v>
      </c>
      <c r="AI224">
        <v>0.72565000000000002</v>
      </c>
      <c r="AJ224">
        <v>0.9847669</v>
      </c>
      <c r="AK224">
        <v>0.9847669</v>
      </c>
      <c r="AL224">
        <v>2.6000000000000001E-6</v>
      </c>
      <c r="AM224">
        <v>2.6000000000000001E-6</v>
      </c>
      <c r="AN224">
        <v>1.5230499999999999E-2</v>
      </c>
      <c r="AO224">
        <v>1.5230499999999999E-2</v>
      </c>
      <c r="AP224">
        <v>-90.568899999999999</v>
      </c>
      <c r="AQ224">
        <v>-90.568899999999999</v>
      </c>
      <c r="AR224">
        <v>-134.30760000000001</v>
      </c>
      <c r="AS224">
        <v>-134.30760000000001</v>
      </c>
      <c r="AT224">
        <v>0</v>
      </c>
      <c r="AU224">
        <v>0</v>
      </c>
      <c r="AV224">
        <v>0</v>
      </c>
      <c r="AW224">
        <v>180</v>
      </c>
      <c r="AY224">
        <v>0.72565000000000002</v>
      </c>
      <c r="AZ224">
        <v>5.6651000000000002E-3</v>
      </c>
      <c r="BA224">
        <v>5.6651000000000002E-3</v>
      </c>
      <c r="BB224">
        <v>0.99383699999999997</v>
      </c>
      <c r="BC224">
        <v>0.99383699999999997</v>
      </c>
      <c r="BD224">
        <v>4.9790000000000001E-4</v>
      </c>
      <c r="BE224">
        <v>4.9790000000000001E-4</v>
      </c>
      <c r="BF224">
        <v>42.107100000000003</v>
      </c>
      <c r="BG224">
        <v>42.107100000000003</v>
      </c>
      <c r="BH224">
        <v>165.50739999999999</v>
      </c>
      <c r="BI224">
        <v>165.50739999999999</v>
      </c>
      <c r="BJ224">
        <v>0</v>
      </c>
      <c r="BK224">
        <v>0</v>
      </c>
      <c r="BL224">
        <v>0</v>
      </c>
      <c r="BM224">
        <v>180</v>
      </c>
      <c r="BP224">
        <v>0.72565000000000002</v>
      </c>
      <c r="BQ224">
        <v>0.88230790000000003</v>
      </c>
      <c r="BR224">
        <v>0.88230790000000003</v>
      </c>
      <c r="BS224">
        <v>0</v>
      </c>
      <c r="BT224">
        <v>0</v>
      </c>
      <c r="BU224">
        <v>0.11769209999999999</v>
      </c>
      <c r="BV224">
        <v>0.11769209999999999</v>
      </c>
      <c r="BW224">
        <v>-66.215900000000005</v>
      </c>
      <c r="BX224">
        <v>-66.215900000000005</v>
      </c>
      <c r="BY224">
        <v>164.71600000000001</v>
      </c>
      <c r="BZ224">
        <v>164.71600000000001</v>
      </c>
      <c r="CA224">
        <v>0</v>
      </c>
      <c r="CB224">
        <v>0</v>
      </c>
      <c r="CC224">
        <v>0</v>
      </c>
      <c r="CD224">
        <v>180</v>
      </c>
    </row>
    <row r="225" spans="19:82">
      <c r="S225">
        <v>0.72699999999999998</v>
      </c>
      <c r="T225">
        <v>0.98700750000000004</v>
      </c>
      <c r="U225">
        <v>0.98700750000000004</v>
      </c>
      <c r="V225">
        <v>1.7E-6</v>
      </c>
      <c r="W225">
        <v>1.7E-6</v>
      </c>
      <c r="X225">
        <v>1.29908E-2</v>
      </c>
      <c r="Y225">
        <v>1.29908E-2</v>
      </c>
      <c r="Z225">
        <v>-100.5907</v>
      </c>
      <c r="AA225">
        <v>-100.5907</v>
      </c>
      <c r="AB225">
        <v>-152.25909999999999</v>
      </c>
      <c r="AC225">
        <v>-152.25909999999999</v>
      </c>
      <c r="AD225">
        <v>0</v>
      </c>
      <c r="AE225">
        <v>0</v>
      </c>
      <c r="AF225">
        <v>0</v>
      </c>
      <c r="AG225">
        <v>180</v>
      </c>
      <c r="AI225">
        <v>0.72699999999999998</v>
      </c>
      <c r="AJ225">
        <v>0.98474879999999998</v>
      </c>
      <c r="AK225">
        <v>0.98474879999999998</v>
      </c>
      <c r="AL225">
        <v>2.6000000000000001E-6</v>
      </c>
      <c r="AM225">
        <v>2.6000000000000001E-6</v>
      </c>
      <c r="AN225">
        <v>1.5248599999999999E-2</v>
      </c>
      <c r="AO225">
        <v>1.5248599999999999E-2</v>
      </c>
      <c r="AP225">
        <v>-90.3596</v>
      </c>
      <c r="AQ225">
        <v>-90.3596</v>
      </c>
      <c r="AR225">
        <v>-133.96950000000001</v>
      </c>
      <c r="AS225">
        <v>-133.96950000000001</v>
      </c>
      <c r="AT225">
        <v>0</v>
      </c>
      <c r="AU225">
        <v>0</v>
      </c>
      <c r="AV225">
        <v>0</v>
      </c>
      <c r="AW225">
        <v>180</v>
      </c>
      <c r="AY225">
        <v>0.72699999999999998</v>
      </c>
      <c r="AZ225">
        <v>5.6594999999999996E-3</v>
      </c>
      <c r="BA225">
        <v>5.6594999999999996E-3</v>
      </c>
      <c r="BB225">
        <v>0.9938515</v>
      </c>
      <c r="BC225">
        <v>0.9938515</v>
      </c>
      <c r="BD225">
        <v>4.8899999999999996E-4</v>
      </c>
      <c r="BE225">
        <v>4.8899999999999996E-4</v>
      </c>
      <c r="BF225">
        <v>42.767699999999998</v>
      </c>
      <c r="BG225">
        <v>42.767699999999998</v>
      </c>
      <c r="BH225">
        <v>165.69030000000001</v>
      </c>
      <c r="BI225">
        <v>165.69030000000001</v>
      </c>
      <c r="BJ225">
        <v>0</v>
      </c>
      <c r="BK225">
        <v>0</v>
      </c>
      <c r="BL225">
        <v>0</v>
      </c>
      <c r="BM225">
        <v>180</v>
      </c>
      <c r="BP225">
        <v>0.72699999999999998</v>
      </c>
      <c r="BQ225">
        <v>0.88200409999999996</v>
      </c>
      <c r="BR225">
        <v>0.88200409999999996</v>
      </c>
      <c r="BS225">
        <v>0</v>
      </c>
      <c r="BT225">
        <v>0</v>
      </c>
      <c r="BU225">
        <v>0.1179959</v>
      </c>
      <c r="BV225">
        <v>0.1179959</v>
      </c>
      <c r="BW225">
        <v>-66.514399999999995</v>
      </c>
      <c r="BX225">
        <v>-66.514399999999995</v>
      </c>
      <c r="BY225">
        <v>164.7286</v>
      </c>
      <c r="BZ225">
        <v>164.7286</v>
      </c>
      <c r="CA225">
        <v>0</v>
      </c>
      <c r="CB225">
        <v>0</v>
      </c>
      <c r="CC225">
        <v>0</v>
      </c>
      <c r="CD225">
        <v>180</v>
      </c>
    </row>
    <row r="226" spans="19:82">
      <c r="S226">
        <v>0.72835000000000005</v>
      </c>
      <c r="T226">
        <v>0.9870082</v>
      </c>
      <c r="U226">
        <v>0.9870082</v>
      </c>
      <c r="V226">
        <v>1.7E-6</v>
      </c>
      <c r="W226">
        <v>1.7E-6</v>
      </c>
      <c r="X226">
        <v>1.2990099999999999E-2</v>
      </c>
      <c r="Y226">
        <v>1.2990099999999999E-2</v>
      </c>
      <c r="Z226">
        <v>-100.3972</v>
      </c>
      <c r="AA226">
        <v>-100.3972</v>
      </c>
      <c r="AB226">
        <v>-151.95769999999999</v>
      </c>
      <c r="AC226">
        <v>-151.95769999999999</v>
      </c>
      <c r="AD226">
        <v>0</v>
      </c>
      <c r="AE226">
        <v>0</v>
      </c>
      <c r="AF226">
        <v>0</v>
      </c>
      <c r="AG226">
        <v>180</v>
      </c>
      <c r="AI226">
        <v>0.72835000000000005</v>
      </c>
      <c r="AJ226">
        <v>0.98473029999999995</v>
      </c>
      <c r="AK226">
        <v>0.98473029999999995</v>
      </c>
      <c r="AL226">
        <v>2.6000000000000001E-6</v>
      </c>
      <c r="AM226">
        <v>2.6000000000000001E-6</v>
      </c>
      <c r="AN226">
        <v>1.52671E-2</v>
      </c>
      <c r="AO226">
        <v>1.52671E-2</v>
      </c>
      <c r="AP226">
        <v>-90.150400000000005</v>
      </c>
      <c r="AQ226">
        <v>-90.150400000000005</v>
      </c>
      <c r="AR226">
        <v>-133.63120000000001</v>
      </c>
      <c r="AS226">
        <v>-133.63120000000001</v>
      </c>
      <c r="AT226">
        <v>0</v>
      </c>
      <c r="AU226">
        <v>0</v>
      </c>
      <c r="AV226">
        <v>0</v>
      </c>
      <c r="AW226">
        <v>180</v>
      </c>
      <c r="AY226">
        <v>0.72835000000000005</v>
      </c>
      <c r="AZ226">
        <v>5.6519999999999999E-3</v>
      </c>
      <c r="BA226">
        <v>5.6519999999999999E-3</v>
      </c>
      <c r="BB226">
        <v>0.99386929999999996</v>
      </c>
      <c r="BC226">
        <v>0.99386929999999996</v>
      </c>
      <c r="BD226">
        <v>4.7869999999999998E-4</v>
      </c>
      <c r="BE226">
        <v>4.7869999999999998E-4</v>
      </c>
      <c r="BF226">
        <v>43.434399999999997</v>
      </c>
      <c r="BG226">
        <v>43.434399999999997</v>
      </c>
      <c r="BH226">
        <v>165.8947</v>
      </c>
      <c r="BI226">
        <v>165.8947</v>
      </c>
      <c r="BJ226">
        <v>0</v>
      </c>
      <c r="BK226">
        <v>0</v>
      </c>
      <c r="BL226">
        <v>0</v>
      </c>
      <c r="BM226">
        <v>180</v>
      </c>
      <c r="BP226">
        <v>0.72835000000000005</v>
      </c>
      <c r="BQ226">
        <v>0.88170139999999997</v>
      </c>
      <c r="BR226">
        <v>0.88170139999999997</v>
      </c>
      <c r="BS226">
        <v>0</v>
      </c>
      <c r="BT226">
        <v>0</v>
      </c>
      <c r="BU226">
        <v>0.1182986</v>
      </c>
      <c r="BV226">
        <v>0.1182986</v>
      </c>
      <c r="BW226">
        <v>-66.811899999999994</v>
      </c>
      <c r="BX226">
        <v>-66.811899999999994</v>
      </c>
      <c r="BY226">
        <v>164.74119999999999</v>
      </c>
      <c r="BZ226">
        <v>164.74119999999999</v>
      </c>
      <c r="CA226">
        <v>0</v>
      </c>
      <c r="CB226">
        <v>0</v>
      </c>
      <c r="CC226">
        <v>0</v>
      </c>
      <c r="CD226">
        <v>180</v>
      </c>
    </row>
    <row r="227" spans="19:82">
      <c r="S227">
        <v>0.72970000000000002</v>
      </c>
      <c r="T227">
        <v>0.98700849999999996</v>
      </c>
      <c r="U227">
        <v>0.98700849999999996</v>
      </c>
      <c r="V227">
        <v>1.7E-6</v>
      </c>
      <c r="W227">
        <v>1.7E-6</v>
      </c>
      <c r="X227">
        <v>1.2989799999999999E-2</v>
      </c>
      <c r="Y227">
        <v>1.2989799999999999E-2</v>
      </c>
      <c r="Z227">
        <v>-100.20399999999999</v>
      </c>
      <c r="AA227">
        <v>-100.20399999999999</v>
      </c>
      <c r="AB227">
        <v>-151.65639999999999</v>
      </c>
      <c r="AC227">
        <v>-151.65639999999999</v>
      </c>
      <c r="AD227">
        <v>0</v>
      </c>
      <c r="AE227">
        <v>0</v>
      </c>
      <c r="AF227">
        <v>0</v>
      </c>
      <c r="AG227">
        <v>180</v>
      </c>
      <c r="AI227">
        <v>0.72970000000000002</v>
      </c>
      <c r="AJ227">
        <v>0.98471149999999996</v>
      </c>
      <c r="AK227">
        <v>0.98471149999999996</v>
      </c>
      <c r="AL227">
        <v>2.5000000000000002E-6</v>
      </c>
      <c r="AM227">
        <v>2.5000000000000002E-6</v>
      </c>
      <c r="AN227">
        <v>1.5285999999999999E-2</v>
      </c>
      <c r="AO227">
        <v>1.5285999999999999E-2</v>
      </c>
      <c r="AP227">
        <v>-89.941299999999998</v>
      </c>
      <c r="AQ227">
        <v>-89.941299999999998</v>
      </c>
      <c r="AR227">
        <v>-133.2927</v>
      </c>
      <c r="AS227">
        <v>-133.2927</v>
      </c>
      <c r="AT227">
        <v>0</v>
      </c>
      <c r="AU227">
        <v>0</v>
      </c>
      <c r="AV227">
        <v>0</v>
      </c>
      <c r="AW227">
        <v>180</v>
      </c>
      <c r="AY227">
        <v>0.72970000000000002</v>
      </c>
      <c r="AZ227">
        <v>5.6423999999999997E-3</v>
      </c>
      <c r="BA227">
        <v>5.6423999999999997E-3</v>
      </c>
      <c r="BB227">
        <v>0.99388909999999997</v>
      </c>
      <c r="BC227">
        <v>0.99388909999999997</v>
      </c>
      <c r="BD227">
        <v>4.685E-4</v>
      </c>
      <c r="BE227">
        <v>4.685E-4</v>
      </c>
      <c r="BF227">
        <v>44.098500000000001</v>
      </c>
      <c r="BG227">
        <v>44.098500000000001</v>
      </c>
      <c r="BH227">
        <v>166.10140000000001</v>
      </c>
      <c r="BI227">
        <v>166.10140000000001</v>
      </c>
      <c r="BJ227">
        <v>0</v>
      </c>
      <c r="BK227">
        <v>0</v>
      </c>
      <c r="BL227">
        <v>0</v>
      </c>
      <c r="BM227">
        <v>180</v>
      </c>
      <c r="BP227">
        <v>0.72970000000000002</v>
      </c>
      <c r="BQ227">
        <v>0.88139979999999996</v>
      </c>
      <c r="BR227">
        <v>0.88139979999999996</v>
      </c>
      <c r="BS227">
        <v>0</v>
      </c>
      <c r="BT227">
        <v>0</v>
      </c>
      <c r="BU227">
        <v>0.1186002</v>
      </c>
      <c r="BV227">
        <v>0.1186002</v>
      </c>
      <c r="BW227">
        <v>-67.1083</v>
      </c>
      <c r="BX227">
        <v>-67.1083</v>
      </c>
      <c r="BY227">
        <v>164.75380000000001</v>
      </c>
      <c r="BZ227">
        <v>164.75380000000001</v>
      </c>
      <c r="CA227">
        <v>0</v>
      </c>
      <c r="CB227">
        <v>0</v>
      </c>
      <c r="CC227">
        <v>0</v>
      </c>
      <c r="CD227">
        <v>180</v>
      </c>
    </row>
    <row r="228" spans="19:82">
      <c r="S228">
        <v>0.73104999999999998</v>
      </c>
      <c r="T228">
        <v>0.98700849999999996</v>
      </c>
      <c r="U228">
        <v>0.98700849999999996</v>
      </c>
      <c r="V228">
        <v>1.7E-6</v>
      </c>
      <c r="W228">
        <v>1.7E-6</v>
      </c>
      <c r="X228">
        <v>1.29899E-2</v>
      </c>
      <c r="Y228">
        <v>1.29899E-2</v>
      </c>
      <c r="Z228">
        <v>-100.011</v>
      </c>
      <c r="AA228">
        <v>-100.011</v>
      </c>
      <c r="AB228">
        <v>-151.3553</v>
      </c>
      <c r="AC228">
        <v>-151.3553</v>
      </c>
      <c r="AD228">
        <v>0</v>
      </c>
      <c r="AE228">
        <v>0</v>
      </c>
      <c r="AF228">
        <v>0</v>
      </c>
      <c r="AG228">
        <v>180</v>
      </c>
      <c r="AI228">
        <v>0.73104999999999998</v>
      </c>
      <c r="AJ228">
        <v>0.98469229999999996</v>
      </c>
      <c r="AK228">
        <v>0.98469229999999996</v>
      </c>
      <c r="AL228">
        <v>2.5000000000000002E-6</v>
      </c>
      <c r="AM228">
        <v>2.5000000000000002E-6</v>
      </c>
      <c r="AN228">
        <v>1.53051E-2</v>
      </c>
      <c r="AO228">
        <v>1.53051E-2</v>
      </c>
      <c r="AP228">
        <v>-89.732200000000006</v>
      </c>
      <c r="AQ228">
        <v>-89.732200000000006</v>
      </c>
      <c r="AR228">
        <v>-132.95400000000001</v>
      </c>
      <c r="AS228">
        <v>-132.95400000000001</v>
      </c>
      <c r="AT228">
        <v>0</v>
      </c>
      <c r="AU228">
        <v>0</v>
      </c>
      <c r="AV228">
        <v>0</v>
      </c>
      <c r="AW228">
        <v>180</v>
      </c>
      <c r="AY228">
        <v>0.73104999999999998</v>
      </c>
      <c r="AZ228">
        <v>5.6306999999999998E-3</v>
      </c>
      <c r="BA228">
        <v>5.6306999999999998E-3</v>
      </c>
      <c r="BB228">
        <v>0.99391110000000005</v>
      </c>
      <c r="BC228">
        <v>0.99391110000000005</v>
      </c>
      <c r="BD228">
        <v>4.5830000000000003E-4</v>
      </c>
      <c r="BE228">
        <v>4.5830000000000003E-4</v>
      </c>
      <c r="BF228">
        <v>44.760300000000001</v>
      </c>
      <c r="BG228">
        <v>44.760300000000001</v>
      </c>
      <c r="BH228">
        <v>166.31010000000001</v>
      </c>
      <c r="BI228">
        <v>166.31010000000001</v>
      </c>
      <c r="BJ228">
        <v>0</v>
      </c>
      <c r="BK228">
        <v>0</v>
      </c>
      <c r="BL228">
        <v>0</v>
      </c>
      <c r="BM228">
        <v>180</v>
      </c>
      <c r="BP228">
        <v>0.73104999999999998</v>
      </c>
      <c r="BQ228">
        <v>0.88109930000000003</v>
      </c>
      <c r="BR228">
        <v>0.88109930000000003</v>
      </c>
      <c r="BS228">
        <v>0</v>
      </c>
      <c r="BT228">
        <v>0</v>
      </c>
      <c r="BU228">
        <v>0.1189007</v>
      </c>
      <c r="BV228">
        <v>0.1189007</v>
      </c>
      <c r="BW228">
        <v>-67.403700000000001</v>
      </c>
      <c r="BX228">
        <v>-67.403700000000001</v>
      </c>
      <c r="BY228">
        <v>164.7664</v>
      </c>
      <c r="BZ228">
        <v>164.7664</v>
      </c>
      <c r="CA228">
        <v>0</v>
      </c>
      <c r="CB228">
        <v>0</v>
      </c>
      <c r="CC228">
        <v>0</v>
      </c>
      <c r="CD228">
        <v>180</v>
      </c>
    </row>
    <row r="229" spans="19:82">
      <c r="S229">
        <v>0.73240000000000005</v>
      </c>
      <c r="T229">
        <v>0.987008</v>
      </c>
      <c r="U229">
        <v>0.987008</v>
      </c>
      <c r="V229">
        <v>1.7E-6</v>
      </c>
      <c r="W229">
        <v>1.7E-6</v>
      </c>
      <c r="X229">
        <v>1.29903E-2</v>
      </c>
      <c r="Y229">
        <v>1.29903E-2</v>
      </c>
      <c r="Z229">
        <v>-99.818299999999994</v>
      </c>
      <c r="AA229">
        <v>-99.818299999999994</v>
      </c>
      <c r="AB229">
        <v>-151.05430000000001</v>
      </c>
      <c r="AC229">
        <v>-151.05430000000001</v>
      </c>
      <c r="AD229">
        <v>0</v>
      </c>
      <c r="AE229">
        <v>0</v>
      </c>
      <c r="AF229">
        <v>0</v>
      </c>
      <c r="AG229">
        <v>180</v>
      </c>
      <c r="AI229">
        <v>0.73240000000000005</v>
      </c>
      <c r="AJ229">
        <v>0.98467280000000001</v>
      </c>
      <c r="AK229">
        <v>0.98467280000000001</v>
      </c>
      <c r="AL229">
        <v>2.5000000000000002E-6</v>
      </c>
      <c r="AM229">
        <v>2.5000000000000002E-6</v>
      </c>
      <c r="AN229">
        <v>1.53247E-2</v>
      </c>
      <c r="AO229">
        <v>1.53247E-2</v>
      </c>
      <c r="AP229">
        <v>-89.523099999999999</v>
      </c>
      <c r="AQ229">
        <v>-89.523099999999999</v>
      </c>
      <c r="AR229">
        <v>-132.61500000000001</v>
      </c>
      <c r="AS229">
        <v>-132.61500000000001</v>
      </c>
      <c r="AT229">
        <v>0</v>
      </c>
      <c r="AU229">
        <v>0</v>
      </c>
      <c r="AV229">
        <v>0</v>
      </c>
      <c r="AW229">
        <v>180</v>
      </c>
      <c r="AY229">
        <v>0.73240000000000005</v>
      </c>
      <c r="AZ229">
        <v>5.6167999999999999E-3</v>
      </c>
      <c r="BA229">
        <v>5.6167999999999999E-3</v>
      </c>
      <c r="BB229">
        <v>0.99393509999999996</v>
      </c>
      <c r="BC229">
        <v>0.99393509999999996</v>
      </c>
      <c r="BD229">
        <v>4.481E-4</v>
      </c>
      <c r="BE229">
        <v>4.481E-4</v>
      </c>
      <c r="BF229">
        <v>45.419600000000003</v>
      </c>
      <c r="BG229">
        <v>45.419600000000003</v>
      </c>
      <c r="BH229">
        <v>166.52070000000001</v>
      </c>
      <c r="BI229">
        <v>166.52070000000001</v>
      </c>
      <c r="BJ229">
        <v>0</v>
      </c>
      <c r="BK229">
        <v>0</v>
      </c>
      <c r="BL229">
        <v>0</v>
      </c>
      <c r="BM229">
        <v>180</v>
      </c>
      <c r="BP229">
        <v>0.73240000000000005</v>
      </c>
      <c r="BQ229">
        <v>0.88079989999999997</v>
      </c>
      <c r="BR229">
        <v>0.88079989999999997</v>
      </c>
      <c r="BS229">
        <v>0</v>
      </c>
      <c r="BT229">
        <v>0</v>
      </c>
      <c r="BU229">
        <v>0.1192001</v>
      </c>
      <c r="BV229">
        <v>0.1192001</v>
      </c>
      <c r="BW229">
        <v>-67.698099999999997</v>
      </c>
      <c r="BX229">
        <v>-67.698099999999997</v>
      </c>
      <c r="BY229">
        <v>164.779</v>
      </c>
      <c r="BZ229">
        <v>164.779</v>
      </c>
      <c r="CA229">
        <v>0</v>
      </c>
      <c r="CB229">
        <v>0</v>
      </c>
      <c r="CC229">
        <v>0</v>
      </c>
      <c r="CD229">
        <v>180</v>
      </c>
    </row>
    <row r="230" spans="19:82">
      <c r="S230">
        <v>0.73375000000000001</v>
      </c>
      <c r="T230">
        <v>0.98700719999999997</v>
      </c>
      <c r="U230">
        <v>0.98700719999999997</v>
      </c>
      <c r="V230">
        <v>1.5999999999999999E-6</v>
      </c>
      <c r="W230">
        <v>1.5999999999999999E-6</v>
      </c>
      <c r="X230">
        <v>1.29912E-2</v>
      </c>
      <c r="Y230">
        <v>1.29912E-2</v>
      </c>
      <c r="Z230">
        <v>-99.625799999999998</v>
      </c>
      <c r="AA230">
        <v>-99.625799999999998</v>
      </c>
      <c r="AB230">
        <v>-150.7534</v>
      </c>
      <c r="AC230">
        <v>-150.7534</v>
      </c>
      <c r="AD230">
        <v>0</v>
      </c>
      <c r="AE230">
        <v>0</v>
      </c>
      <c r="AF230">
        <v>0</v>
      </c>
      <c r="AG230">
        <v>180</v>
      </c>
      <c r="AI230">
        <v>0.73375000000000001</v>
      </c>
      <c r="AJ230">
        <v>0.98465290000000005</v>
      </c>
      <c r="AK230">
        <v>0.98465290000000005</v>
      </c>
      <c r="AL230">
        <v>2.5000000000000002E-6</v>
      </c>
      <c r="AM230">
        <v>2.5000000000000002E-6</v>
      </c>
      <c r="AN230">
        <v>1.53446E-2</v>
      </c>
      <c r="AO230">
        <v>1.53446E-2</v>
      </c>
      <c r="AP230">
        <v>-89.314099999999996</v>
      </c>
      <c r="AQ230">
        <v>-89.314099999999996</v>
      </c>
      <c r="AR230">
        <v>-132.2757</v>
      </c>
      <c r="AS230">
        <v>-132.2757</v>
      </c>
      <c r="AT230">
        <v>0</v>
      </c>
      <c r="AU230">
        <v>0</v>
      </c>
      <c r="AV230">
        <v>0</v>
      </c>
      <c r="AW230">
        <v>180</v>
      </c>
      <c r="AY230">
        <v>0.73375000000000001</v>
      </c>
      <c r="AZ230">
        <v>5.6008000000000004E-3</v>
      </c>
      <c r="BA230">
        <v>5.6008000000000004E-3</v>
      </c>
      <c r="BB230">
        <v>0.99396119999999999</v>
      </c>
      <c r="BC230">
        <v>0.99396119999999999</v>
      </c>
      <c r="BD230">
        <v>4.3800000000000002E-4</v>
      </c>
      <c r="BE230">
        <v>4.3800000000000002E-4</v>
      </c>
      <c r="BF230">
        <v>46.076500000000003</v>
      </c>
      <c r="BG230">
        <v>46.076500000000003</v>
      </c>
      <c r="BH230">
        <v>166.7329</v>
      </c>
      <c r="BI230">
        <v>166.7329</v>
      </c>
      <c r="BJ230">
        <v>0</v>
      </c>
      <c r="BK230">
        <v>0</v>
      </c>
      <c r="BL230">
        <v>0</v>
      </c>
      <c r="BM230">
        <v>180</v>
      </c>
      <c r="BP230">
        <v>0.73375000000000001</v>
      </c>
      <c r="BQ230">
        <v>0.8805016</v>
      </c>
      <c r="BR230">
        <v>0.8805016</v>
      </c>
      <c r="BS230">
        <v>0</v>
      </c>
      <c r="BT230">
        <v>0</v>
      </c>
      <c r="BU230">
        <v>0.1194984</v>
      </c>
      <c r="BV230">
        <v>0.1194984</v>
      </c>
      <c r="BW230">
        <v>-67.991399999999999</v>
      </c>
      <c r="BX230">
        <v>-67.991399999999999</v>
      </c>
      <c r="BY230">
        <v>164.79159999999999</v>
      </c>
      <c r="BZ230">
        <v>164.79159999999999</v>
      </c>
      <c r="CA230">
        <v>0</v>
      </c>
      <c r="CB230">
        <v>0</v>
      </c>
      <c r="CC230">
        <v>0</v>
      </c>
      <c r="CD230">
        <v>180</v>
      </c>
    </row>
    <row r="231" spans="19:82">
      <c r="S231">
        <v>0.73509999999999998</v>
      </c>
      <c r="T231">
        <v>0.98700600000000005</v>
      </c>
      <c r="U231">
        <v>0.98700600000000005</v>
      </c>
      <c r="V231">
        <v>1.5999999999999999E-6</v>
      </c>
      <c r="W231">
        <v>1.5999999999999999E-6</v>
      </c>
      <c r="X231">
        <v>1.2992399999999999E-2</v>
      </c>
      <c r="Y231">
        <v>1.2992399999999999E-2</v>
      </c>
      <c r="Z231">
        <v>-99.433599999999998</v>
      </c>
      <c r="AA231">
        <v>-99.433599999999998</v>
      </c>
      <c r="AB231">
        <v>-150.45249999999999</v>
      </c>
      <c r="AC231">
        <v>-150.45249999999999</v>
      </c>
      <c r="AD231">
        <v>0</v>
      </c>
      <c r="AE231">
        <v>0</v>
      </c>
      <c r="AF231">
        <v>0</v>
      </c>
      <c r="AG231">
        <v>180</v>
      </c>
      <c r="AI231">
        <v>0.73509999999999998</v>
      </c>
      <c r="AJ231">
        <v>0.98463270000000003</v>
      </c>
      <c r="AK231">
        <v>0.98463270000000003</v>
      </c>
      <c r="AL231">
        <v>2.5000000000000002E-6</v>
      </c>
      <c r="AM231">
        <v>2.5000000000000002E-6</v>
      </c>
      <c r="AN231">
        <v>1.53648E-2</v>
      </c>
      <c r="AO231">
        <v>1.53648E-2</v>
      </c>
      <c r="AP231">
        <v>-89.105199999999996</v>
      </c>
      <c r="AQ231">
        <v>-89.105199999999996</v>
      </c>
      <c r="AR231">
        <v>-131.93620000000001</v>
      </c>
      <c r="AS231">
        <v>-131.93620000000001</v>
      </c>
      <c r="AT231">
        <v>0</v>
      </c>
      <c r="AU231">
        <v>0</v>
      </c>
      <c r="AV231">
        <v>0</v>
      </c>
      <c r="AW231">
        <v>180</v>
      </c>
      <c r="AY231">
        <v>0.73509999999999998</v>
      </c>
      <c r="AZ231">
        <v>5.5827000000000003E-3</v>
      </c>
      <c r="BA231">
        <v>5.5827000000000003E-3</v>
      </c>
      <c r="BB231">
        <v>0.99398929999999996</v>
      </c>
      <c r="BC231">
        <v>0.99398929999999996</v>
      </c>
      <c r="BD231">
        <v>4.28E-4</v>
      </c>
      <c r="BE231">
        <v>4.28E-4</v>
      </c>
      <c r="BF231">
        <v>46.730899999999998</v>
      </c>
      <c r="BG231">
        <v>46.730899999999998</v>
      </c>
      <c r="BH231">
        <v>166.94659999999999</v>
      </c>
      <c r="BI231">
        <v>166.94659999999999</v>
      </c>
      <c r="BJ231">
        <v>0</v>
      </c>
      <c r="BK231">
        <v>0</v>
      </c>
      <c r="BL231">
        <v>0</v>
      </c>
      <c r="BM231">
        <v>180</v>
      </c>
      <c r="BP231">
        <v>0.73509999999999998</v>
      </c>
      <c r="BQ231">
        <v>0.8802044</v>
      </c>
      <c r="BR231">
        <v>0.8802044</v>
      </c>
      <c r="BS231">
        <v>0</v>
      </c>
      <c r="BT231">
        <v>0</v>
      </c>
      <c r="BU231">
        <v>0.1197956</v>
      </c>
      <c r="BV231">
        <v>0.1197956</v>
      </c>
      <c r="BW231">
        <v>-68.283699999999996</v>
      </c>
      <c r="BX231">
        <v>-68.283699999999996</v>
      </c>
      <c r="BY231">
        <v>164.80420000000001</v>
      </c>
      <c r="BZ231">
        <v>164.80420000000001</v>
      </c>
      <c r="CA231">
        <v>0</v>
      </c>
      <c r="CB231">
        <v>0</v>
      </c>
      <c r="CC231">
        <v>0</v>
      </c>
      <c r="CD231">
        <v>180</v>
      </c>
    </row>
    <row r="232" spans="19:82">
      <c r="S232">
        <v>0.73645000000000005</v>
      </c>
      <c r="T232">
        <v>0.98700429999999995</v>
      </c>
      <c r="U232">
        <v>0.98700429999999995</v>
      </c>
      <c r="V232">
        <v>1.5999999999999999E-6</v>
      </c>
      <c r="W232">
        <v>1.5999999999999999E-6</v>
      </c>
      <c r="X232">
        <v>1.2994E-2</v>
      </c>
      <c r="Y232">
        <v>1.2994E-2</v>
      </c>
      <c r="Z232">
        <v>-99.241600000000005</v>
      </c>
      <c r="AA232">
        <v>-99.241600000000005</v>
      </c>
      <c r="AB232">
        <v>-150.15180000000001</v>
      </c>
      <c r="AC232">
        <v>-150.15180000000001</v>
      </c>
      <c r="AD232">
        <v>0</v>
      </c>
      <c r="AE232">
        <v>0</v>
      </c>
      <c r="AF232">
        <v>0</v>
      </c>
      <c r="AG232">
        <v>180</v>
      </c>
      <c r="AI232">
        <v>0.73645000000000005</v>
      </c>
      <c r="AJ232">
        <v>0.98461220000000005</v>
      </c>
      <c r="AK232">
        <v>0.98461220000000005</v>
      </c>
      <c r="AL232">
        <v>2.5000000000000002E-6</v>
      </c>
      <c r="AM232">
        <v>2.5000000000000002E-6</v>
      </c>
      <c r="AN232">
        <v>1.5385299999999999E-2</v>
      </c>
      <c r="AO232">
        <v>1.5385299999999999E-2</v>
      </c>
      <c r="AP232">
        <v>-88.896299999999997</v>
      </c>
      <c r="AQ232">
        <v>-88.896299999999997</v>
      </c>
      <c r="AR232">
        <v>-131.59639999999999</v>
      </c>
      <c r="AS232">
        <v>-131.59639999999999</v>
      </c>
      <c r="AT232">
        <v>0</v>
      </c>
      <c r="AU232">
        <v>0</v>
      </c>
      <c r="AV232">
        <v>0</v>
      </c>
      <c r="AW232">
        <v>180</v>
      </c>
      <c r="AY232">
        <v>0.73645000000000005</v>
      </c>
      <c r="AZ232">
        <v>5.5624999999999997E-3</v>
      </c>
      <c r="BA232">
        <v>5.5624999999999997E-3</v>
      </c>
      <c r="BB232">
        <v>0.9940196</v>
      </c>
      <c r="BC232">
        <v>0.9940196</v>
      </c>
      <c r="BD232">
        <v>4.1790000000000002E-4</v>
      </c>
      <c r="BE232">
        <v>4.1790000000000002E-4</v>
      </c>
      <c r="BF232">
        <v>47.383000000000003</v>
      </c>
      <c r="BG232">
        <v>47.383000000000003</v>
      </c>
      <c r="BH232">
        <v>167.16149999999999</v>
      </c>
      <c r="BI232">
        <v>167.16149999999999</v>
      </c>
      <c r="BJ232">
        <v>0</v>
      </c>
      <c r="BK232">
        <v>0</v>
      </c>
      <c r="BL232">
        <v>0</v>
      </c>
      <c r="BM232">
        <v>180</v>
      </c>
      <c r="BP232">
        <v>0.73645000000000005</v>
      </c>
      <c r="BQ232">
        <v>0.87990829999999998</v>
      </c>
      <c r="BR232">
        <v>0.87990829999999998</v>
      </c>
      <c r="BS232">
        <v>0</v>
      </c>
      <c r="BT232">
        <v>0</v>
      </c>
      <c r="BU232">
        <v>0.1200917</v>
      </c>
      <c r="BV232">
        <v>0.1200917</v>
      </c>
      <c r="BW232">
        <v>-68.575000000000003</v>
      </c>
      <c r="BX232">
        <v>-68.575000000000003</v>
      </c>
      <c r="BY232">
        <v>164.8168</v>
      </c>
      <c r="BZ232">
        <v>164.8168</v>
      </c>
      <c r="CA232">
        <v>0</v>
      </c>
      <c r="CB232">
        <v>0</v>
      </c>
      <c r="CC232">
        <v>0</v>
      </c>
      <c r="CD232">
        <v>180</v>
      </c>
    </row>
    <row r="233" spans="19:82">
      <c r="S233">
        <v>0.73780000000000001</v>
      </c>
      <c r="T233">
        <v>0.98700239999999995</v>
      </c>
      <c r="U233">
        <v>0.98700239999999995</v>
      </c>
      <c r="V233">
        <v>1.5999999999999999E-6</v>
      </c>
      <c r="W233">
        <v>1.5999999999999999E-6</v>
      </c>
      <c r="X233">
        <v>1.2996000000000001E-2</v>
      </c>
      <c r="Y233">
        <v>1.2996000000000001E-2</v>
      </c>
      <c r="Z233">
        <v>-99.049800000000005</v>
      </c>
      <c r="AA233">
        <v>-99.049800000000005</v>
      </c>
      <c r="AB233">
        <v>-149.85120000000001</v>
      </c>
      <c r="AC233">
        <v>-149.85120000000001</v>
      </c>
      <c r="AD233">
        <v>0</v>
      </c>
      <c r="AE233">
        <v>0</v>
      </c>
      <c r="AF233">
        <v>0</v>
      </c>
      <c r="AG233">
        <v>180</v>
      </c>
      <c r="AI233">
        <v>0.73780000000000001</v>
      </c>
      <c r="AJ233">
        <v>0.98459129999999995</v>
      </c>
      <c r="AK233">
        <v>0.98459129999999995</v>
      </c>
      <c r="AL233">
        <v>2.5000000000000002E-6</v>
      </c>
      <c r="AM233">
        <v>2.5000000000000002E-6</v>
      </c>
      <c r="AN233">
        <v>1.54062E-2</v>
      </c>
      <c r="AO233">
        <v>1.54062E-2</v>
      </c>
      <c r="AP233">
        <v>-88.6875</v>
      </c>
      <c r="AQ233">
        <v>-88.6875</v>
      </c>
      <c r="AR233">
        <v>-131.25640000000001</v>
      </c>
      <c r="AS233">
        <v>-131.25640000000001</v>
      </c>
      <c r="AT233">
        <v>0</v>
      </c>
      <c r="AU233">
        <v>0</v>
      </c>
      <c r="AV233">
        <v>0</v>
      </c>
      <c r="AW233">
        <v>180</v>
      </c>
      <c r="AY233">
        <v>0.73780000000000001</v>
      </c>
      <c r="AZ233">
        <v>5.5402000000000003E-3</v>
      </c>
      <c r="BA233">
        <v>5.5402000000000003E-3</v>
      </c>
      <c r="BB233">
        <v>0.99405189999999999</v>
      </c>
      <c r="BC233">
        <v>0.99405189999999999</v>
      </c>
      <c r="BD233">
        <v>4.08E-4</v>
      </c>
      <c r="BE233">
        <v>4.08E-4</v>
      </c>
      <c r="BF233">
        <v>48.032699999999998</v>
      </c>
      <c r="BG233">
        <v>48.032699999999998</v>
      </c>
      <c r="BH233">
        <v>167.3775</v>
      </c>
      <c r="BI233">
        <v>167.3775</v>
      </c>
      <c r="BJ233">
        <v>0</v>
      </c>
      <c r="BK233">
        <v>0</v>
      </c>
      <c r="BL233">
        <v>0</v>
      </c>
      <c r="BM233">
        <v>180</v>
      </c>
      <c r="BP233">
        <v>0.73780000000000001</v>
      </c>
      <c r="BQ233">
        <v>0.87961319999999998</v>
      </c>
      <c r="BR233">
        <v>0.87961319999999998</v>
      </c>
      <c r="BS233">
        <v>0</v>
      </c>
      <c r="BT233">
        <v>0</v>
      </c>
      <c r="BU233">
        <v>0.1203868</v>
      </c>
      <c r="BV233">
        <v>0.1203868</v>
      </c>
      <c r="BW233">
        <v>-68.865300000000005</v>
      </c>
      <c r="BX233">
        <v>-68.865300000000005</v>
      </c>
      <c r="BY233">
        <v>164.82939999999999</v>
      </c>
      <c r="BZ233">
        <v>164.82939999999999</v>
      </c>
      <c r="CA233">
        <v>0</v>
      </c>
      <c r="CB233">
        <v>0</v>
      </c>
      <c r="CC233">
        <v>0</v>
      </c>
      <c r="CD233">
        <v>180</v>
      </c>
    </row>
    <row r="234" spans="19:82">
      <c r="S234">
        <v>0.73914999999999997</v>
      </c>
      <c r="T234">
        <v>0.98699999999999999</v>
      </c>
      <c r="U234">
        <v>0.98699999999999999</v>
      </c>
      <c r="V234">
        <v>1.5999999999999999E-6</v>
      </c>
      <c r="W234">
        <v>1.5999999999999999E-6</v>
      </c>
      <c r="X234">
        <v>1.29984E-2</v>
      </c>
      <c r="Y234">
        <v>1.29984E-2</v>
      </c>
      <c r="Z234">
        <v>-98.858199999999997</v>
      </c>
      <c r="AA234">
        <v>-98.858199999999997</v>
      </c>
      <c r="AB234">
        <v>-149.5506</v>
      </c>
      <c r="AC234">
        <v>-149.5506</v>
      </c>
      <c r="AD234">
        <v>0</v>
      </c>
      <c r="AE234">
        <v>0</v>
      </c>
      <c r="AF234">
        <v>0</v>
      </c>
      <c r="AG234">
        <v>180</v>
      </c>
      <c r="AI234">
        <v>0.73914999999999997</v>
      </c>
      <c r="AJ234">
        <v>0.98457019999999995</v>
      </c>
      <c r="AK234">
        <v>0.98457019999999995</v>
      </c>
      <c r="AL234">
        <v>2.3999999999999999E-6</v>
      </c>
      <c r="AM234">
        <v>2.3999999999999999E-6</v>
      </c>
      <c r="AN234">
        <v>1.5427400000000001E-2</v>
      </c>
      <c r="AO234">
        <v>1.5427400000000001E-2</v>
      </c>
      <c r="AP234">
        <v>-88.4786</v>
      </c>
      <c r="AQ234">
        <v>-88.4786</v>
      </c>
      <c r="AR234">
        <v>-130.9161</v>
      </c>
      <c r="AS234">
        <v>-130.9161</v>
      </c>
      <c r="AT234">
        <v>0</v>
      </c>
      <c r="AU234">
        <v>0</v>
      </c>
      <c r="AV234">
        <v>0</v>
      </c>
      <c r="AW234">
        <v>180</v>
      </c>
      <c r="AY234">
        <v>0.73914999999999997</v>
      </c>
      <c r="AZ234">
        <v>5.5158000000000004E-3</v>
      </c>
      <c r="BA234">
        <v>5.5158000000000004E-3</v>
      </c>
      <c r="BB234">
        <v>0.99408620000000003</v>
      </c>
      <c r="BC234">
        <v>0.99408620000000003</v>
      </c>
      <c r="BD234">
        <v>3.9800000000000002E-4</v>
      </c>
      <c r="BE234">
        <v>3.9800000000000002E-4</v>
      </c>
      <c r="BF234">
        <v>48.68</v>
      </c>
      <c r="BG234">
        <v>48.68</v>
      </c>
      <c r="BH234">
        <v>167.59440000000001</v>
      </c>
      <c r="BI234">
        <v>167.59440000000001</v>
      </c>
      <c r="BJ234">
        <v>0</v>
      </c>
      <c r="BK234">
        <v>0</v>
      </c>
      <c r="BL234">
        <v>0</v>
      </c>
      <c r="BM234">
        <v>180</v>
      </c>
      <c r="BP234">
        <v>0.73914999999999997</v>
      </c>
      <c r="BQ234">
        <v>0.87931930000000003</v>
      </c>
      <c r="BR234">
        <v>0.87931930000000003</v>
      </c>
      <c r="BS234">
        <v>0</v>
      </c>
      <c r="BT234">
        <v>0</v>
      </c>
      <c r="BU234">
        <v>0.1206807</v>
      </c>
      <c r="BV234">
        <v>0.1206807</v>
      </c>
      <c r="BW234">
        <v>-69.154600000000002</v>
      </c>
      <c r="BX234">
        <v>-69.154600000000002</v>
      </c>
      <c r="BY234">
        <v>164.84200000000001</v>
      </c>
      <c r="BZ234">
        <v>164.84200000000001</v>
      </c>
      <c r="CA234">
        <v>0</v>
      </c>
      <c r="CB234">
        <v>0</v>
      </c>
      <c r="CC234">
        <v>0</v>
      </c>
      <c r="CD234">
        <v>180</v>
      </c>
    </row>
    <row r="235" spans="19:82">
      <c r="S235">
        <v>0.74050000000000005</v>
      </c>
      <c r="T235">
        <v>0.98699729999999997</v>
      </c>
      <c r="U235">
        <v>0.98699729999999997</v>
      </c>
      <c r="V235">
        <v>1.5999999999999999E-6</v>
      </c>
      <c r="W235">
        <v>1.5999999999999999E-6</v>
      </c>
      <c r="X235">
        <v>1.30011E-2</v>
      </c>
      <c r="Y235">
        <v>1.30011E-2</v>
      </c>
      <c r="Z235">
        <v>-98.666899999999998</v>
      </c>
      <c r="AA235">
        <v>-98.666899999999998</v>
      </c>
      <c r="AB235">
        <v>-149.2501</v>
      </c>
      <c r="AC235">
        <v>-149.2501</v>
      </c>
      <c r="AD235">
        <v>0</v>
      </c>
      <c r="AE235">
        <v>0</v>
      </c>
      <c r="AF235">
        <v>0</v>
      </c>
      <c r="AG235">
        <v>180</v>
      </c>
      <c r="AI235">
        <v>0.74050000000000005</v>
      </c>
      <c r="AJ235">
        <v>0.9845486</v>
      </c>
      <c r="AK235">
        <v>0.9845486</v>
      </c>
      <c r="AL235">
        <v>2.3999999999999999E-6</v>
      </c>
      <c r="AM235">
        <v>2.3999999999999999E-6</v>
      </c>
      <c r="AN235">
        <v>1.54489E-2</v>
      </c>
      <c r="AO235">
        <v>1.54489E-2</v>
      </c>
      <c r="AP235">
        <v>-88.269900000000007</v>
      </c>
      <c r="AQ235">
        <v>-88.269900000000007</v>
      </c>
      <c r="AR235">
        <v>-130.57550000000001</v>
      </c>
      <c r="AS235">
        <v>-130.57550000000001</v>
      </c>
      <c r="AT235">
        <v>0</v>
      </c>
      <c r="AU235">
        <v>0</v>
      </c>
      <c r="AV235">
        <v>0</v>
      </c>
      <c r="AW235">
        <v>180</v>
      </c>
      <c r="AY235">
        <v>0.74050000000000005</v>
      </c>
      <c r="AZ235">
        <v>5.4892999999999999E-3</v>
      </c>
      <c r="BA235">
        <v>5.4892999999999999E-3</v>
      </c>
      <c r="BB235">
        <v>0.99412259999999997</v>
      </c>
      <c r="BC235">
        <v>0.99412259999999997</v>
      </c>
      <c r="BD235">
        <v>3.881E-4</v>
      </c>
      <c r="BE235">
        <v>3.881E-4</v>
      </c>
      <c r="BF235">
        <v>49.325000000000003</v>
      </c>
      <c r="BG235">
        <v>49.325000000000003</v>
      </c>
      <c r="BH235">
        <v>167.81190000000001</v>
      </c>
      <c r="BI235">
        <v>167.81190000000001</v>
      </c>
      <c r="BJ235">
        <v>0</v>
      </c>
      <c r="BK235">
        <v>0</v>
      </c>
      <c r="BL235">
        <v>0</v>
      </c>
      <c r="BM235">
        <v>180</v>
      </c>
      <c r="BP235">
        <v>0.74050000000000005</v>
      </c>
      <c r="BQ235">
        <v>0.87902639999999999</v>
      </c>
      <c r="BR235">
        <v>0.87902639999999999</v>
      </c>
      <c r="BS235">
        <v>0</v>
      </c>
      <c r="BT235">
        <v>0</v>
      </c>
      <c r="BU235">
        <v>0.1209736</v>
      </c>
      <c r="BV235">
        <v>0.1209736</v>
      </c>
      <c r="BW235">
        <v>-69.442899999999995</v>
      </c>
      <c r="BX235">
        <v>-69.442899999999995</v>
      </c>
      <c r="BY235">
        <v>164.8546</v>
      </c>
      <c r="BZ235">
        <v>164.8546</v>
      </c>
      <c r="CA235">
        <v>0</v>
      </c>
      <c r="CB235">
        <v>0</v>
      </c>
      <c r="CC235">
        <v>0</v>
      </c>
      <c r="CD235">
        <v>180</v>
      </c>
    </row>
    <row r="236" spans="19:82">
      <c r="S236">
        <v>0.74185000000000001</v>
      </c>
      <c r="T236">
        <v>0.98699420000000004</v>
      </c>
      <c r="U236">
        <v>0.98699420000000004</v>
      </c>
      <c r="V236">
        <v>1.5999999999999999E-6</v>
      </c>
      <c r="W236">
        <v>1.5999999999999999E-6</v>
      </c>
      <c r="X236">
        <v>1.30042E-2</v>
      </c>
      <c r="Y236">
        <v>1.30042E-2</v>
      </c>
      <c r="Z236">
        <v>-98.475800000000007</v>
      </c>
      <c r="AA236">
        <v>-98.475800000000007</v>
      </c>
      <c r="AB236">
        <v>-148.94970000000001</v>
      </c>
      <c r="AC236">
        <v>-148.94970000000001</v>
      </c>
      <c r="AD236">
        <v>0</v>
      </c>
      <c r="AE236">
        <v>0</v>
      </c>
      <c r="AF236">
        <v>0</v>
      </c>
      <c r="AG236">
        <v>180</v>
      </c>
      <c r="AI236">
        <v>0.74185000000000001</v>
      </c>
      <c r="AJ236">
        <v>0.98452680000000004</v>
      </c>
      <c r="AK236">
        <v>0.98452680000000004</v>
      </c>
      <c r="AL236">
        <v>2.3999999999999999E-6</v>
      </c>
      <c r="AM236">
        <v>2.3999999999999999E-6</v>
      </c>
      <c r="AN236">
        <v>1.54708E-2</v>
      </c>
      <c r="AO236">
        <v>1.54708E-2</v>
      </c>
      <c r="AP236">
        <v>-88.061099999999996</v>
      </c>
      <c r="AQ236">
        <v>-88.061099999999996</v>
      </c>
      <c r="AR236">
        <v>-130.2346</v>
      </c>
      <c r="AS236">
        <v>-130.2346</v>
      </c>
      <c r="AT236">
        <v>0</v>
      </c>
      <c r="AU236">
        <v>0</v>
      </c>
      <c r="AV236">
        <v>0</v>
      </c>
      <c r="AW236">
        <v>180</v>
      </c>
      <c r="AY236">
        <v>0.74185000000000001</v>
      </c>
      <c r="AZ236">
        <v>5.4608E-3</v>
      </c>
      <c r="BA236">
        <v>5.4608E-3</v>
      </c>
      <c r="BB236">
        <v>0.99416090000000001</v>
      </c>
      <c r="BC236">
        <v>0.99416090000000001</v>
      </c>
      <c r="BD236">
        <v>3.7819999999999998E-4</v>
      </c>
      <c r="BE236">
        <v>3.7819999999999998E-4</v>
      </c>
      <c r="BF236">
        <v>49.967700000000001</v>
      </c>
      <c r="BG236">
        <v>49.967700000000001</v>
      </c>
      <c r="BH236">
        <v>168.0299</v>
      </c>
      <c r="BI236">
        <v>168.0299</v>
      </c>
      <c r="BJ236">
        <v>0</v>
      </c>
      <c r="BK236">
        <v>0</v>
      </c>
      <c r="BL236">
        <v>0</v>
      </c>
      <c r="BM236">
        <v>180</v>
      </c>
      <c r="BP236">
        <v>0.74185000000000001</v>
      </c>
      <c r="BQ236">
        <v>0.87873449999999997</v>
      </c>
      <c r="BR236">
        <v>0.87873449999999997</v>
      </c>
      <c r="BS236">
        <v>0</v>
      </c>
      <c r="BT236">
        <v>0</v>
      </c>
      <c r="BU236">
        <v>0.1212655</v>
      </c>
      <c r="BV236">
        <v>0.1212655</v>
      </c>
      <c r="BW236">
        <v>-69.730199999999996</v>
      </c>
      <c r="BX236">
        <v>-69.730199999999996</v>
      </c>
      <c r="BY236">
        <v>164.8672</v>
      </c>
      <c r="BZ236">
        <v>164.8672</v>
      </c>
      <c r="CA236">
        <v>0</v>
      </c>
      <c r="CB236">
        <v>0</v>
      </c>
      <c r="CC236">
        <v>0</v>
      </c>
      <c r="CD236">
        <v>180</v>
      </c>
    </row>
    <row r="237" spans="19:82">
      <c r="S237">
        <v>0.74319999999999997</v>
      </c>
      <c r="T237">
        <v>0.98699079999999995</v>
      </c>
      <c r="U237">
        <v>0.98699079999999995</v>
      </c>
      <c r="V237">
        <v>1.5999999999999999E-6</v>
      </c>
      <c r="W237">
        <v>1.5999999999999999E-6</v>
      </c>
      <c r="X237">
        <v>1.3007700000000001E-2</v>
      </c>
      <c r="Y237">
        <v>1.3007700000000001E-2</v>
      </c>
      <c r="Z237">
        <v>-98.284800000000004</v>
      </c>
      <c r="AA237">
        <v>-98.284800000000004</v>
      </c>
      <c r="AB237">
        <v>-148.64930000000001</v>
      </c>
      <c r="AC237">
        <v>-148.64930000000001</v>
      </c>
      <c r="AD237">
        <v>0</v>
      </c>
      <c r="AE237">
        <v>0</v>
      </c>
      <c r="AF237">
        <v>0</v>
      </c>
      <c r="AG237">
        <v>180</v>
      </c>
      <c r="AI237">
        <v>0.74319999999999997</v>
      </c>
      <c r="AJ237">
        <v>0.98450470000000001</v>
      </c>
      <c r="AK237">
        <v>0.98450470000000001</v>
      </c>
      <c r="AL237">
        <v>2.3999999999999999E-6</v>
      </c>
      <c r="AM237">
        <v>2.3999999999999999E-6</v>
      </c>
      <c r="AN237">
        <v>1.54929E-2</v>
      </c>
      <c r="AO237">
        <v>1.54929E-2</v>
      </c>
      <c r="AP237">
        <v>-87.852400000000003</v>
      </c>
      <c r="AQ237">
        <v>-87.852400000000003</v>
      </c>
      <c r="AR237">
        <v>-129.89340000000001</v>
      </c>
      <c r="AS237">
        <v>-129.89340000000001</v>
      </c>
      <c r="AT237">
        <v>0</v>
      </c>
      <c r="AU237">
        <v>0</v>
      </c>
      <c r="AV237">
        <v>0</v>
      </c>
      <c r="AW237">
        <v>180</v>
      </c>
      <c r="AY237">
        <v>0.74319999999999997</v>
      </c>
      <c r="AZ237">
        <v>5.4302999999999999E-3</v>
      </c>
      <c r="BA237">
        <v>5.4302999999999999E-3</v>
      </c>
      <c r="BB237">
        <v>0.99420129999999995</v>
      </c>
      <c r="BC237">
        <v>0.99420129999999995</v>
      </c>
      <c r="BD237">
        <v>3.6840000000000001E-4</v>
      </c>
      <c r="BE237">
        <v>3.6840000000000001E-4</v>
      </c>
      <c r="BF237">
        <v>50.607999999999997</v>
      </c>
      <c r="BG237">
        <v>50.607999999999997</v>
      </c>
      <c r="BH237">
        <v>168.2482</v>
      </c>
      <c r="BI237">
        <v>168.2482</v>
      </c>
      <c r="BJ237">
        <v>0</v>
      </c>
      <c r="BK237">
        <v>0</v>
      </c>
      <c r="BL237">
        <v>0</v>
      </c>
      <c r="BM237">
        <v>180</v>
      </c>
      <c r="BP237">
        <v>0.74319999999999997</v>
      </c>
      <c r="BQ237">
        <v>0.8784438</v>
      </c>
      <c r="BR237">
        <v>0.8784438</v>
      </c>
      <c r="BS237">
        <v>0</v>
      </c>
      <c r="BT237">
        <v>0</v>
      </c>
      <c r="BU237">
        <v>0.1215562</v>
      </c>
      <c r="BV237">
        <v>0.1215562</v>
      </c>
      <c r="BW237">
        <v>-70.016499999999994</v>
      </c>
      <c r="BX237">
        <v>-70.016499999999994</v>
      </c>
      <c r="BY237">
        <v>164.87979999999999</v>
      </c>
      <c r="BZ237">
        <v>164.87979999999999</v>
      </c>
      <c r="CA237">
        <v>0</v>
      </c>
      <c r="CB237">
        <v>0</v>
      </c>
      <c r="CC237">
        <v>0</v>
      </c>
      <c r="CD237">
        <v>180</v>
      </c>
    </row>
    <row r="238" spans="19:82">
      <c r="S238">
        <v>0.74455000000000005</v>
      </c>
      <c r="T238">
        <v>0.98698699999999995</v>
      </c>
      <c r="U238">
        <v>0.98698699999999995</v>
      </c>
      <c r="V238">
        <v>1.5999999999999999E-6</v>
      </c>
      <c r="W238">
        <v>1.5999999999999999E-6</v>
      </c>
      <c r="X238">
        <v>1.30115E-2</v>
      </c>
      <c r="Y238">
        <v>1.30115E-2</v>
      </c>
      <c r="Z238">
        <v>-98.094099999999997</v>
      </c>
      <c r="AA238">
        <v>-98.094099999999997</v>
      </c>
      <c r="AB238">
        <v>-148.34899999999999</v>
      </c>
      <c r="AC238">
        <v>-148.34899999999999</v>
      </c>
      <c r="AD238">
        <v>0</v>
      </c>
      <c r="AE238">
        <v>0</v>
      </c>
      <c r="AF238">
        <v>0</v>
      </c>
      <c r="AG238">
        <v>180</v>
      </c>
      <c r="AI238">
        <v>0.74455000000000005</v>
      </c>
      <c r="AJ238">
        <v>0.98448219999999997</v>
      </c>
      <c r="AK238">
        <v>0.98448219999999997</v>
      </c>
      <c r="AL238">
        <v>2.3999999999999999E-6</v>
      </c>
      <c r="AM238">
        <v>2.3999999999999999E-6</v>
      </c>
      <c r="AN238">
        <v>1.55154E-2</v>
      </c>
      <c r="AO238">
        <v>1.55154E-2</v>
      </c>
      <c r="AP238">
        <v>-87.643600000000006</v>
      </c>
      <c r="AQ238">
        <v>-87.643600000000006</v>
      </c>
      <c r="AR238">
        <v>-129.55199999999999</v>
      </c>
      <c r="AS238">
        <v>-129.55199999999999</v>
      </c>
      <c r="AT238">
        <v>0</v>
      </c>
      <c r="AU238">
        <v>0</v>
      </c>
      <c r="AV238">
        <v>0</v>
      </c>
      <c r="AW238">
        <v>180</v>
      </c>
      <c r="AY238">
        <v>0.74455000000000005</v>
      </c>
      <c r="AZ238">
        <v>5.3978000000000003E-3</v>
      </c>
      <c r="BA238">
        <v>5.3978000000000003E-3</v>
      </c>
      <c r="BB238">
        <v>0.99424360000000001</v>
      </c>
      <c r="BC238">
        <v>0.99424360000000001</v>
      </c>
      <c r="BD238">
        <v>3.5859999999999999E-4</v>
      </c>
      <c r="BE238">
        <v>3.5859999999999999E-4</v>
      </c>
      <c r="BF238">
        <v>51.246099999999998</v>
      </c>
      <c r="BG238">
        <v>51.246099999999998</v>
      </c>
      <c r="BH238">
        <v>168.4665</v>
      </c>
      <c r="BI238">
        <v>168.4665</v>
      </c>
      <c r="BJ238">
        <v>0</v>
      </c>
      <c r="BK238">
        <v>0</v>
      </c>
      <c r="BL238">
        <v>0</v>
      </c>
      <c r="BM238">
        <v>180</v>
      </c>
      <c r="BP238">
        <v>0.74455000000000005</v>
      </c>
      <c r="BQ238">
        <v>0.87815410000000005</v>
      </c>
      <c r="BR238">
        <v>0.87815410000000005</v>
      </c>
      <c r="BS238">
        <v>0</v>
      </c>
      <c r="BT238">
        <v>0</v>
      </c>
      <c r="BU238">
        <v>0.12184589999999999</v>
      </c>
      <c r="BV238">
        <v>0.12184589999999999</v>
      </c>
      <c r="BW238">
        <v>-70.301900000000003</v>
      </c>
      <c r="BX238">
        <v>-70.301900000000003</v>
      </c>
      <c r="BY238">
        <v>164.89240000000001</v>
      </c>
      <c r="BZ238">
        <v>164.89240000000001</v>
      </c>
      <c r="CA238">
        <v>0</v>
      </c>
      <c r="CB238">
        <v>0</v>
      </c>
      <c r="CC238">
        <v>0</v>
      </c>
      <c r="CD238">
        <v>180</v>
      </c>
    </row>
    <row r="239" spans="19:82">
      <c r="S239">
        <v>0.74590000000000001</v>
      </c>
      <c r="T239">
        <v>0.98698280000000005</v>
      </c>
      <c r="U239">
        <v>0.98698280000000005</v>
      </c>
      <c r="V239">
        <v>1.5E-6</v>
      </c>
      <c r="W239">
        <v>1.5E-6</v>
      </c>
      <c r="X239">
        <v>1.30156E-2</v>
      </c>
      <c r="Y239">
        <v>1.30156E-2</v>
      </c>
      <c r="Z239">
        <v>-97.903599999999997</v>
      </c>
      <c r="AA239">
        <v>-97.903599999999997</v>
      </c>
      <c r="AB239">
        <v>-148.0488</v>
      </c>
      <c r="AC239">
        <v>-148.0488</v>
      </c>
      <c r="AD239">
        <v>0</v>
      </c>
      <c r="AE239">
        <v>0</v>
      </c>
      <c r="AF239">
        <v>0</v>
      </c>
      <c r="AG239">
        <v>180</v>
      </c>
      <c r="AI239">
        <v>0.74590000000000001</v>
      </c>
      <c r="AJ239">
        <v>0.98445939999999998</v>
      </c>
      <c r="AK239">
        <v>0.98445939999999998</v>
      </c>
      <c r="AL239">
        <v>2.3999999999999999E-6</v>
      </c>
      <c r="AM239">
        <v>2.3999999999999999E-6</v>
      </c>
      <c r="AN239">
        <v>1.55382E-2</v>
      </c>
      <c r="AO239">
        <v>1.55382E-2</v>
      </c>
      <c r="AP239">
        <v>-87.434899999999999</v>
      </c>
      <c r="AQ239">
        <v>-87.434899999999999</v>
      </c>
      <c r="AR239">
        <v>-129.21019999999999</v>
      </c>
      <c r="AS239">
        <v>-129.21019999999999</v>
      </c>
      <c r="AT239">
        <v>0</v>
      </c>
      <c r="AU239">
        <v>0</v>
      </c>
      <c r="AV239">
        <v>0</v>
      </c>
      <c r="AW239">
        <v>180</v>
      </c>
      <c r="AY239">
        <v>0.74590000000000001</v>
      </c>
      <c r="AZ239">
        <v>5.3632999999999997E-3</v>
      </c>
      <c r="BA239">
        <v>5.3632999999999997E-3</v>
      </c>
      <c r="BB239">
        <v>0.9942879</v>
      </c>
      <c r="BC239">
        <v>0.9942879</v>
      </c>
      <c r="BD239">
        <v>3.4890000000000002E-4</v>
      </c>
      <c r="BE239">
        <v>3.4890000000000002E-4</v>
      </c>
      <c r="BF239">
        <v>51.881799999999998</v>
      </c>
      <c r="BG239">
        <v>51.881799999999998</v>
      </c>
      <c r="BH239">
        <v>168.6848</v>
      </c>
      <c r="BI239">
        <v>168.6848</v>
      </c>
      <c r="BJ239">
        <v>0</v>
      </c>
      <c r="BK239">
        <v>0</v>
      </c>
      <c r="BL239">
        <v>0</v>
      </c>
      <c r="BM239">
        <v>180</v>
      </c>
      <c r="BP239">
        <v>0.74590000000000001</v>
      </c>
      <c r="BQ239">
        <v>0.87786549999999997</v>
      </c>
      <c r="BR239">
        <v>0.87786549999999997</v>
      </c>
      <c r="BS239">
        <v>0</v>
      </c>
      <c r="BT239">
        <v>0</v>
      </c>
      <c r="BU239">
        <v>0.12213449999999999</v>
      </c>
      <c r="BV239">
        <v>0.12213449999999999</v>
      </c>
      <c r="BW239">
        <v>-70.586200000000005</v>
      </c>
      <c r="BX239">
        <v>-70.586200000000005</v>
      </c>
      <c r="BY239">
        <v>164.905</v>
      </c>
      <c r="BZ239">
        <v>164.905</v>
      </c>
      <c r="CA239">
        <v>0</v>
      </c>
      <c r="CB239">
        <v>0</v>
      </c>
      <c r="CC239">
        <v>0</v>
      </c>
      <c r="CD239">
        <v>180</v>
      </c>
    </row>
    <row r="240" spans="19:82">
      <c r="S240">
        <v>0.74724999999999997</v>
      </c>
      <c r="T240">
        <v>0.98697829999999998</v>
      </c>
      <c r="U240">
        <v>0.98697829999999998</v>
      </c>
      <c r="V240">
        <v>1.5E-6</v>
      </c>
      <c r="W240">
        <v>1.5E-6</v>
      </c>
      <c r="X240">
        <v>1.30201E-2</v>
      </c>
      <c r="Y240">
        <v>1.30201E-2</v>
      </c>
      <c r="Z240">
        <v>-97.713200000000001</v>
      </c>
      <c r="AA240">
        <v>-97.713200000000001</v>
      </c>
      <c r="AB240">
        <v>-147.74850000000001</v>
      </c>
      <c r="AC240">
        <v>-147.74850000000001</v>
      </c>
      <c r="AD240">
        <v>0</v>
      </c>
      <c r="AE240">
        <v>0</v>
      </c>
      <c r="AF240">
        <v>0</v>
      </c>
      <c r="AG240">
        <v>180</v>
      </c>
      <c r="AI240">
        <v>0.74724999999999997</v>
      </c>
      <c r="AJ240">
        <v>0.98443630000000004</v>
      </c>
      <c r="AK240">
        <v>0.98443630000000004</v>
      </c>
      <c r="AL240">
        <v>2.3999999999999999E-6</v>
      </c>
      <c r="AM240">
        <v>2.3999999999999999E-6</v>
      </c>
      <c r="AN240">
        <v>1.55613E-2</v>
      </c>
      <c r="AO240">
        <v>1.55613E-2</v>
      </c>
      <c r="AP240">
        <v>-87.226299999999995</v>
      </c>
      <c r="AQ240">
        <v>-87.226299999999995</v>
      </c>
      <c r="AR240">
        <v>-128.8681</v>
      </c>
      <c r="AS240">
        <v>-128.8681</v>
      </c>
      <c r="AT240">
        <v>0</v>
      </c>
      <c r="AU240">
        <v>0</v>
      </c>
      <c r="AV240">
        <v>0</v>
      </c>
      <c r="AW240">
        <v>180</v>
      </c>
      <c r="AY240">
        <v>0.74724999999999997</v>
      </c>
      <c r="AZ240">
        <v>5.3267999999999996E-3</v>
      </c>
      <c r="BA240">
        <v>5.3267999999999996E-3</v>
      </c>
      <c r="BB240">
        <v>0.9943341</v>
      </c>
      <c r="BC240">
        <v>0.9943341</v>
      </c>
      <c r="BD240">
        <v>3.392E-4</v>
      </c>
      <c r="BE240">
        <v>3.392E-4</v>
      </c>
      <c r="BF240">
        <v>52.515300000000003</v>
      </c>
      <c r="BG240">
        <v>52.515300000000003</v>
      </c>
      <c r="BH240">
        <v>168.90280000000001</v>
      </c>
      <c r="BI240">
        <v>168.90280000000001</v>
      </c>
      <c r="BJ240">
        <v>0</v>
      </c>
      <c r="BK240">
        <v>0</v>
      </c>
      <c r="BL240">
        <v>0</v>
      </c>
      <c r="BM240">
        <v>180</v>
      </c>
      <c r="BP240">
        <v>0.74724999999999997</v>
      </c>
      <c r="BQ240">
        <v>0.87757790000000002</v>
      </c>
      <c r="BR240">
        <v>0.87757790000000002</v>
      </c>
      <c r="BS240">
        <v>0</v>
      </c>
      <c r="BT240">
        <v>0</v>
      </c>
      <c r="BU240">
        <v>0.12242210000000001</v>
      </c>
      <c r="BV240">
        <v>0.12242210000000001</v>
      </c>
      <c r="BW240">
        <v>-70.869600000000005</v>
      </c>
      <c r="BX240">
        <v>-70.869600000000005</v>
      </c>
      <c r="BY240">
        <v>164.91749999999999</v>
      </c>
      <c r="BZ240">
        <v>164.91749999999999</v>
      </c>
      <c r="CA240">
        <v>0</v>
      </c>
      <c r="CB240">
        <v>0</v>
      </c>
      <c r="CC240">
        <v>0</v>
      </c>
      <c r="CD240">
        <v>180</v>
      </c>
    </row>
    <row r="241" spans="19:82">
      <c r="S241">
        <v>0.74860000000000004</v>
      </c>
      <c r="T241">
        <v>0.98697349999999995</v>
      </c>
      <c r="U241">
        <v>0.98697349999999995</v>
      </c>
      <c r="V241">
        <v>1.5E-6</v>
      </c>
      <c r="W241">
        <v>1.5E-6</v>
      </c>
      <c r="X241">
        <v>1.3025E-2</v>
      </c>
      <c r="Y241">
        <v>1.3025E-2</v>
      </c>
      <c r="Z241">
        <v>-97.523099999999999</v>
      </c>
      <c r="AA241">
        <v>-97.523099999999999</v>
      </c>
      <c r="AB241">
        <v>-147.44829999999999</v>
      </c>
      <c r="AC241">
        <v>-147.44829999999999</v>
      </c>
      <c r="AD241">
        <v>0</v>
      </c>
      <c r="AE241">
        <v>0</v>
      </c>
      <c r="AF241">
        <v>0</v>
      </c>
      <c r="AG241">
        <v>180</v>
      </c>
      <c r="AI241">
        <v>0.74860000000000004</v>
      </c>
      <c r="AJ241">
        <v>0.98441290000000004</v>
      </c>
      <c r="AK241">
        <v>0.98441290000000004</v>
      </c>
      <c r="AL241">
        <v>2.3E-6</v>
      </c>
      <c r="AM241">
        <v>2.3E-6</v>
      </c>
      <c r="AN241">
        <v>1.55847E-2</v>
      </c>
      <c r="AO241">
        <v>1.55847E-2</v>
      </c>
      <c r="AP241">
        <v>-87.017600000000002</v>
      </c>
      <c r="AQ241">
        <v>-87.017600000000002</v>
      </c>
      <c r="AR241">
        <v>-128.5257</v>
      </c>
      <c r="AS241">
        <v>-128.5257</v>
      </c>
      <c r="AT241">
        <v>0</v>
      </c>
      <c r="AU241">
        <v>0</v>
      </c>
      <c r="AV241">
        <v>0</v>
      </c>
      <c r="AW241">
        <v>180</v>
      </c>
      <c r="AY241">
        <v>0.74860000000000004</v>
      </c>
      <c r="AZ241">
        <v>5.2884000000000004E-3</v>
      </c>
      <c r="BA241">
        <v>5.2884000000000004E-3</v>
      </c>
      <c r="BB241">
        <v>0.99438210000000005</v>
      </c>
      <c r="BC241">
        <v>0.99438210000000005</v>
      </c>
      <c r="BD241">
        <v>3.2949999999999999E-4</v>
      </c>
      <c r="BE241">
        <v>3.2949999999999999E-4</v>
      </c>
      <c r="BF241">
        <v>53.146500000000003</v>
      </c>
      <c r="BG241">
        <v>53.146500000000003</v>
      </c>
      <c r="BH241">
        <v>169.12029999999999</v>
      </c>
      <c r="BI241">
        <v>169.12029999999999</v>
      </c>
      <c r="BJ241">
        <v>0</v>
      </c>
      <c r="BK241">
        <v>0</v>
      </c>
      <c r="BL241">
        <v>0</v>
      </c>
      <c r="BM241">
        <v>180</v>
      </c>
      <c r="BP241">
        <v>0.74860000000000004</v>
      </c>
      <c r="BQ241">
        <v>0.87729140000000005</v>
      </c>
      <c r="BR241">
        <v>0.87729140000000005</v>
      </c>
      <c r="BS241">
        <v>0</v>
      </c>
      <c r="BT241">
        <v>0</v>
      </c>
      <c r="BU241">
        <v>0.1227086</v>
      </c>
      <c r="BV241">
        <v>0.1227086</v>
      </c>
      <c r="BW241">
        <v>-71.152000000000001</v>
      </c>
      <c r="BX241">
        <v>-71.152000000000001</v>
      </c>
      <c r="BY241">
        <v>164.93010000000001</v>
      </c>
      <c r="BZ241">
        <v>164.93010000000001</v>
      </c>
      <c r="CA241">
        <v>0</v>
      </c>
      <c r="CB241">
        <v>0</v>
      </c>
      <c r="CC241">
        <v>0</v>
      </c>
      <c r="CD241">
        <v>180</v>
      </c>
    </row>
    <row r="242" spans="19:82">
      <c r="S242">
        <v>0.74995000000000001</v>
      </c>
      <c r="T242">
        <v>0.98696830000000002</v>
      </c>
      <c r="U242">
        <v>0.98696830000000002</v>
      </c>
      <c r="V242">
        <v>1.5E-6</v>
      </c>
      <c r="W242">
        <v>1.5E-6</v>
      </c>
      <c r="X242">
        <v>1.30302E-2</v>
      </c>
      <c r="Y242">
        <v>1.30302E-2</v>
      </c>
      <c r="Z242">
        <v>-97.333100000000002</v>
      </c>
      <c r="AA242">
        <v>-97.333100000000002</v>
      </c>
      <c r="AB242">
        <v>-147.1481</v>
      </c>
      <c r="AC242">
        <v>-147.1481</v>
      </c>
      <c r="AD242">
        <v>0</v>
      </c>
      <c r="AE242">
        <v>0</v>
      </c>
      <c r="AF242">
        <v>0</v>
      </c>
      <c r="AG242">
        <v>180</v>
      </c>
      <c r="AI242">
        <v>0.74995000000000001</v>
      </c>
      <c r="AJ242">
        <v>0.98438930000000002</v>
      </c>
      <c r="AK242">
        <v>0.98438930000000002</v>
      </c>
      <c r="AL242">
        <v>2.3E-6</v>
      </c>
      <c r="AM242">
        <v>2.3E-6</v>
      </c>
      <c r="AN242">
        <v>1.56084E-2</v>
      </c>
      <c r="AO242">
        <v>1.56084E-2</v>
      </c>
      <c r="AP242">
        <v>-86.808899999999994</v>
      </c>
      <c r="AQ242">
        <v>-86.808899999999994</v>
      </c>
      <c r="AR242">
        <v>-128.18299999999999</v>
      </c>
      <c r="AS242">
        <v>-128.18299999999999</v>
      </c>
      <c r="AT242">
        <v>0</v>
      </c>
      <c r="AU242">
        <v>0</v>
      </c>
      <c r="AV242">
        <v>0</v>
      </c>
      <c r="AW242">
        <v>180</v>
      </c>
      <c r="AY242">
        <v>0.74995000000000001</v>
      </c>
      <c r="AZ242">
        <v>5.2481000000000003E-3</v>
      </c>
      <c r="BA242">
        <v>5.2481000000000003E-3</v>
      </c>
      <c r="BB242">
        <v>0.99443199999999998</v>
      </c>
      <c r="BC242">
        <v>0.99443199999999998</v>
      </c>
      <c r="BD242">
        <v>3.1980000000000002E-4</v>
      </c>
      <c r="BE242">
        <v>3.1980000000000002E-4</v>
      </c>
      <c r="BF242">
        <v>53.775500000000001</v>
      </c>
      <c r="BG242">
        <v>53.775500000000001</v>
      </c>
      <c r="BH242">
        <v>169.33709999999999</v>
      </c>
      <c r="BI242">
        <v>169.33709999999999</v>
      </c>
      <c r="BJ242">
        <v>0</v>
      </c>
      <c r="BK242">
        <v>0</v>
      </c>
      <c r="BL242">
        <v>0</v>
      </c>
      <c r="BM242">
        <v>180</v>
      </c>
      <c r="BP242">
        <v>0.74995000000000001</v>
      </c>
      <c r="BQ242">
        <v>0.87700599999999995</v>
      </c>
      <c r="BR242">
        <v>0.87700599999999995</v>
      </c>
      <c r="BS242">
        <v>0</v>
      </c>
      <c r="BT242">
        <v>0</v>
      </c>
      <c r="BU242">
        <v>0.12299400000000001</v>
      </c>
      <c r="BV242">
        <v>0.12299400000000001</v>
      </c>
      <c r="BW242">
        <v>-71.433400000000006</v>
      </c>
      <c r="BX242">
        <v>-71.433400000000006</v>
      </c>
      <c r="BY242">
        <v>164.9427</v>
      </c>
      <c r="BZ242">
        <v>164.9427</v>
      </c>
      <c r="CA242">
        <v>0</v>
      </c>
      <c r="CB242">
        <v>0</v>
      </c>
      <c r="CC242">
        <v>0</v>
      </c>
      <c r="CD242">
        <v>180</v>
      </c>
    </row>
    <row r="243" spans="19:82">
      <c r="S243">
        <v>0.75129999999999997</v>
      </c>
      <c r="T243">
        <v>0.98694740000000003</v>
      </c>
      <c r="U243">
        <v>0.98694740000000003</v>
      </c>
      <c r="V243">
        <v>1.5E-6</v>
      </c>
      <c r="W243">
        <v>1.5E-6</v>
      </c>
      <c r="X243">
        <v>1.30511E-2</v>
      </c>
      <c r="Y243">
        <v>1.30511E-2</v>
      </c>
      <c r="Z243">
        <v>-97.157300000000006</v>
      </c>
      <c r="AA243">
        <v>-97.157300000000006</v>
      </c>
      <c r="AB243">
        <v>-146.85</v>
      </c>
      <c r="AC243">
        <v>-146.85</v>
      </c>
      <c r="AD243">
        <v>0</v>
      </c>
      <c r="AE243">
        <v>0</v>
      </c>
      <c r="AF243">
        <v>0</v>
      </c>
      <c r="AG243">
        <v>180</v>
      </c>
      <c r="AI243">
        <v>0.75129999999999997</v>
      </c>
      <c r="AJ243">
        <v>0.98434319999999997</v>
      </c>
      <c r="AK243">
        <v>0.98434319999999997</v>
      </c>
      <c r="AL243">
        <v>2.3E-6</v>
      </c>
      <c r="AM243">
        <v>2.3E-6</v>
      </c>
      <c r="AN243">
        <v>1.5654499999999998E-2</v>
      </c>
      <c r="AO243">
        <v>1.5654499999999998E-2</v>
      </c>
      <c r="AP243">
        <v>-86.614599999999996</v>
      </c>
      <c r="AQ243">
        <v>-86.614599999999996</v>
      </c>
      <c r="AR243">
        <v>-127.84310000000001</v>
      </c>
      <c r="AS243">
        <v>-127.84310000000001</v>
      </c>
      <c r="AT243">
        <v>0</v>
      </c>
      <c r="AU243">
        <v>0</v>
      </c>
      <c r="AV243">
        <v>0</v>
      </c>
      <c r="AW243">
        <v>180</v>
      </c>
      <c r="AY243">
        <v>0.75129999999999997</v>
      </c>
      <c r="AZ243">
        <v>5.2110000000000004E-3</v>
      </c>
      <c r="BA243">
        <v>5.2110000000000004E-3</v>
      </c>
      <c r="BB243">
        <v>0.99447280000000005</v>
      </c>
      <c r="BC243">
        <v>0.99447280000000005</v>
      </c>
      <c r="BD243">
        <v>3.1609999999999999E-4</v>
      </c>
      <c r="BE243">
        <v>3.1609999999999999E-4</v>
      </c>
      <c r="BF243">
        <v>54.3384</v>
      </c>
      <c r="BG243">
        <v>54.3384</v>
      </c>
      <c r="BH243">
        <v>169.40940000000001</v>
      </c>
      <c r="BI243">
        <v>169.40940000000001</v>
      </c>
      <c r="BJ243">
        <v>0</v>
      </c>
      <c r="BK243">
        <v>0</v>
      </c>
      <c r="BL243">
        <v>0</v>
      </c>
      <c r="BM243">
        <v>180</v>
      </c>
      <c r="BP243">
        <v>0.75129999999999997</v>
      </c>
      <c r="BQ243">
        <v>0.87666160000000004</v>
      </c>
      <c r="BR243">
        <v>0.87666160000000004</v>
      </c>
      <c r="BS243">
        <v>0</v>
      </c>
      <c r="BT243">
        <v>0</v>
      </c>
      <c r="BU243">
        <v>0.1233384</v>
      </c>
      <c r="BV243">
        <v>0.1233384</v>
      </c>
      <c r="BW243">
        <v>-71.611500000000007</v>
      </c>
      <c r="BX243">
        <v>-71.611500000000007</v>
      </c>
      <c r="BY243">
        <v>164.94470000000001</v>
      </c>
      <c r="BZ243">
        <v>164.94470000000001</v>
      </c>
      <c r="CA243">
        <v>0</v>
      </c>
      <c r="CB243">
        <v>0</v>
      </c>
      <c r="CC243">
        <v>0</v>
      </c>
      <c r="CD243">
        <v>180</v>
      </c>
    </row>
    <row r="244" spans="19:82">
      <c r="S244">
        <v>0.75265000000000004</v>
      </c>
      <c r="T244">
        <v>0.98692559999999996</v>
      </c>
      <c r="U244">
        <v>0.98692559999999996</v>
      </c>
      <c r="V244">
        <v>1.5E-6</v>
      </c>
      <c r="W244">
        <v>1.5E-6</v>
      </c>
      <c r="X244">
        <v>1.30729E-2</v>
      </c>
      <c r="Y244">
        <v>1.30729E-2</v>
      </c>
      <c r="Z244">
        <v>-96.982200000000006</v>
      </c>
      <c r="AA244">
        <v>-96.982200000000006</v>
      </c>
      <c r="AB244">
        <v>-146.55199999999999</v>
      </c>
      <c r="AC244">
        <v>-146.55199999999999</v>
      </c>
      <c r="AD244">
        <v>0</v>
      </c>
      <c r="AE244">
        <v>0</v>
      </c>
      <c r="AF244">
        <v>0</v>
      </c>
      <c r="AG244">
        <v>180</v>
      </c>
      <c r="AI244">
        <v>0.75265000000000004</v>
      </c>
      <c r="AJ244">
        <v>0.98429599999999995</v>
      </c>
      <c r="AK244">
        <v>0.98429599999999995</v>
      </c>
      <c r="AL244">
        <v>2.3E-6</v>
      </c>
      <c r="AM244">
        <v>2.3E-6</v>
      </c>
      <c r="AN244">
        <v>1.5701699999999999E-2</v>
      </c>
      <c r="AO244">
        <v>1.5701699999999999E-2</v>
      </c>
      <c r="AP244">
        <v>-86.4208</v>
      </c>
      <c r="AQ244">
        <v>-86.4208</v>
      </c>
      <c r="AR244">
        <v>-127.5031</v>
      </c>
      <c r="AS244">
        <v>-127.5031</v>
      </c>
      <c r="AT244">
        <v>0</v>
      </c>
      <c r="AU244">
        <v>0</v>
      </c>
      <c r="AV244">
        <v>0</v>
      </c>
      <c r="AW244">
        <v>180</v>
      </c>
      <c r="AY244">
        <v>0.75265000000000004</v>
      </c>
      <c r="AZ244">
        <v>5.1729000000000002E-3</v>
      </c>
      <c r="BA244">
        <v>5.1729000000000002E-3</v>
      </c>
      <c r="BB244">
        <v>0.99451440000000002</v>
      </c>
      <c r="BC244">
        <v>0.99451440000000002</v>
      </c>
      <c r="BD244">
        <v>3.1270000000000001E-4</v>
      </c>
      <c r="BE244">
        <v>3.1270000000000001E-4</v>
      </c>
      <c r="BF244">
        <v>54.896799999999999</v>
      </c>
      <c r="BG244">
        <v>54.896799999999999</v>
      </c>
      <c r="BH244">
        <v>169.47569999999999</v>
      </c>
      <c r="BI244">
        <v>169.47569999999999</v>
      </c>
      <c r="BJ244">
        <v>0</v>
      </c>
      <c r="BK244">
        <v>0</v>
      </c>
      <c r="BL244">
        <v>0</v>
      </c>
      <c r="BM244">
        <v>180</v>
      </c>
      <c r="BP244">
        <v>0.75265000000000004</v>
      </c>
      <c r="BQ244">
        <v>0.87631499999999996</v>
      </c>
      <c r="BR244">
        <v>0.87631499999999996</v>
      </c>
      <c r="BS244">
        <v>0</v>
      </c>
      <c r="BT244">
        <v>0</v>
      </c>
      <c r="BU244">
        <v>0.1236849</v>
      </c>
      <c r="BV244">
        <v>0.1236849</v>
      </c>
      <c r="BW244">
        <v>-71.7851</v>
      </c>
      <c r="BX244">
        <v>-71.7851</v>
      </c>
      <c r="BY244">
        <v>164.9462</v>
      </c>
      <c r="BZ244">
        <v>164.9462</v>
      </c>
      <c r="CA244">
        <v>0</v>
      </c>
      <c r="CB244">
        <v>0</v>
      </c>
      <c r="CC244">
        <v>0</v>
      </c>
      <c r="CD244">
        <v>180</v>
      </c>
    </row>
    <row r="245" spans="19:82">
      <c r="S245">
        <v>0.754</v>
      </c>
      <c r="T245">
        <v>0.98690350000000004</v>
      </c>
      <c r="U245">
        <v>0.98690350000000004</v>
      </c>
      <c r="V245">
        <v>1.5E-6</v>
      </c>
      <c r="W245">
        <v>1.5E-6</v>
      </c>
      <c r="X245">
        <v>1.3095000000000001E-2</v>
      </c>
      <c r="Y245">
        <v>1.3095000000000001E-2</v>
      </c>
      <c r="Z245">
        <v>-96.807199999999995</v>
      </c>
      <c r="AA245">
        <v>-96.807199999999995</v>
      </c>
      <c r="AB245">
        <v>-146.25399999999999</v>
      </c>
      <c r="AC245">
        <v>-146.25399999999999</v>
      </c>
      <c r="AD245">
        <v>0</v>
      </c>
      <c r="AE245">
        <v>0</v>
      </c>
      <c r="AF245">
        <v>0</v>
      </c>
      <c r="AG245">
        <v>180</v>
      </c>
      <c r="AI245">
        <v>0.754</v>
      </c>
      <c r="AJ245">
        <v>0.98424849999999997</v>
      </c>
      <c r="AK245">
        <v>0.98424849999999997</v>
      </c>
      <c r="AL245">
        <v>2.3E-6</v>
      </c>
      <c r="AM245">
        <v>2.3E-6</v>
      </c>
      <c r="AN245">
        <v>1.5749200000000001E-2</v>
      </c>
      <c r="AO245">
        <v>1.5749200000000001E-2</v>
      </c>
      <c r="AP245">
        <v>-86.226900000000001</v>
      </c>
      <c r="AQ245">
        <v>-86.226900000000001</v>
      </c>
      <c r="AR245">
        <v>-127.1627</v>
      </c>
      <c r="AS245">
        <v>-127.1627</v>
      </c>
      <c r="AT245">
        <v>0</v>
      </c>
      <c r="AU245">
        <v>0</v>
      </c>
      <c r="AV245">
        <v>0</v>
      </c>
      <c r="AW245">
        <v>180</v>
      </c>
      <c r="AY245">
        <v>0.754</v>
      </c>
      <c r="AZ245">
        <v>5.1336999999999997E-3</v>
      </c>
      <c r="BA245">
        <v>5.1336999999999997E-3</v>
      </c>
      <c r="BB245">
        <v>0.99455709999999997</v>
      </c>
      <c r="BC245">
        <v>0.99455709999999997</v>
      </c>
      <c r="BD245">
        <v>3.0919999999999998E-4</v>
      </c>
      <c r="BE245">
        <v>3.0919999999999998E-4</v>
      </c>
      <c r="BF245">
        <v>55.453200000000002</v>
      </c>
      <c r="BG245">
        <v>55.453200000000002</v>
      </c>
      <c r="BH245">
        <v>169.5411</v>
      </c>
      <c r="BI245">
        <v>169.5411</v>
      </c>
      <c r="BJ245">
        <v>0</v>
      </c>
      <c r="BK245">
        <v>0</v>
      </c>
      <c r="BL245">
        <v>0</v>
      </c>
      <c r="BM245">
        <v>180</v>
      </c>
      <c r="BP245">
        <v>0.754</v>
      </c>
      <c r="BQ245">
        <v>0.87596870000000004</v>
      </c>
      <c r="BR245">
        <v>0.87596870000000004</v>
      </c>
      <c r="BS245">
        <v>0</v>
      </c>
      <c r="BT245">
        <v>0</v>
      </c>
      <c r="BU245">
        <v>0.1240313</v>
      </c>
      <c r="BV245">
        <v>0.1240313</v>
      </c>
      <c r="BW245">
        <v>-71.958200000000005</v>
      </c>
      <c r="BX245">
        <v>-71.958200000000005</v>
      </c>
      <c r="BY245">
        <v>164.9478</v>
      </c>
      <c r="BZ245">
        <v>164.9478</v>
      </c>
      <c r="CA245">
        <v>0</v>
      </c>
      <c r="CB245">
        <v>0</v>
      </c>
      <c r="CC245">
        <v>0</v>
      </c>
      <c r="CD245">
        <v>180</v>
      </c>
    </row>
    <row r="246" spans="19:82">
      <c r="S246">
        <v>0.75534999999999997</v>
      </c>
      <c r="T246">
        <v>0.98688109999999996</v>
      </c>
      <c r="U246">
        <v>0.98688109999999996</v>
      </c>
      <c r="V246">
        <v>1.5E-6</v>
      </c>
      <c r="W246">
        <v>1.5E-6</v>
      </c>
      <c r="X246">
        <v>1.31174E-2</v>
      </c>
      <c r="Y246">
        <v>1.31174E-2</v>
      </c>
      <c r="Z246">
        <v>-96.632199999999997</v>
      </c>
      <c r="AA246">
        <v>-96.632199999999997</v>
      </c>
      <c r="AB246">
        <v>-145.95599999999999</v>
      </c>
      <c r="AC246">
        <v>-145.95599999999999</v>
      </c>
      <c r="AD246">
        <v>0</v>
      </c>
      <c r="AE246">
        <v>0</v>
      </c>
      <c r="AF246">
        <v>0</v>
      </c>
      <c r="AG246">
        <v>180</v>
      </c>
      <c r="AI246">
        <v>0.75534999999999997</v>
      </c>
      <c r="AJ246">
        <v>0.98420059999999998</v>
      </c>
      <c r="AK246">
        <v>0.98420059999999998</v>
      </c>
      <c r="AL246">
        <v>2.3E-6</v>
      </c>
      <c r="AM246">
        <v>2.3E-6</v>
      </c>
      <c r="AN246">
        <v>1.5797100000000001E-2</v>
      </c>
      <c r="AO246">
        <v>1.5797100000000001E-2</v>
      </c>
      <c r="AP246">
        <v>-86.033000000000001</v>
      </c>
      <c r="AQ246">
        <v>-86.033000000000001</v>
      </c>
      <c r="AR246">
        <v>-126.822</v>
      </c>
      <c r="AS246">
        <v>-126.822</v>
      </c>
      <c r="AT246">
        <v>0</v>
      </c>
      <c r="AU246">
        <v>0</v>
      </c>
      <c r="AV246">
        <v>0</v>
      </c>
      <c r="AW246">
        <v>180</v>
      </c>
      <c r="AY246">
        <v>0.75534999999999997</v>
      </c>
      <c r="AZ246">
        <v>5.0932E-3</v>
      </c>
      <c r="BA246">
        <v>5.0932E-3</v>
      </c>
      <c r="BB246">
        <v>0.99460099999999996</v>
      </c>
      <c r="BC246">
        <v>0.99460099999999996</v>
      </c>
      <c r="BD246">
        <v>3.0580000000000001E-4</v>
      </c>
      <c r="BE246">
        <v>3.0580000000000001E-4</v>
      </c>
      <c r="BF246">
        <v>56.0077</v>
      </c>
      <c r="BG246">
        <v>56.0077</v>
      </c>
      <c r="BH246">
        <v>169.60560000000001</v>
      </c>
      <c r="BI246">
        <v>169.60560000000001</v>
      </c>
      <c r="BJ246">
        <v>0</v>
      </c>
      <c r="BK246">
        <v>0</v>
      </c>
      <c r="BL246">
        <v>0</v>
      </c>
      <c r="BM246">
        <v>180</v>
      </c>
      <c r="BP246">
        <v>0.75534999999999997</v>
      </c>
      <c r="BQ246">
        <v>0.87562240000000002</v>
      </c>
      <c r="BR246">
        <v>0.87562240000000002</v>
      </c>
      <c r="BS246">
        <v>0</v>
      </c>
      <c r="BT246">
        <v>0</v>
      </c>
      <c r="BU246">
        <v>0.1243776</v>
      </c>
      <c r="BV246">
        <v>0.1243776</v>
      </c>
      <c r="BW246">
        <v>-72.130799999999994</v>
      </c>
      <c r="BX246">
        <v>-72.130799999999994</v>
      </c>
      <c r="BY246">
        <v>164.9494</v>
      </c>
      <c r="BZ246">
        <v>164.9494</v>
      </c>
      <c r="CA246">
        <v>0</v>
      </c>
      <c r="CB246">
        <v>0</v>
      </c>
      <c r="CC246">
        <v>0</v>
      </c>
      <c r="CD246">
        <v>180</v>
      </c>
    </row>
    <row r="247" spans="19:82">
      <c r="S247">
        <v>0.75670000000000004</v>
      </c>
      <c r="T247">
        <v>0.98685829999999997</v>
      </c>
      <c r="U247">
        <v>0.98685829999999997</v>
      </c>
      <c r="V247">
        <v>1.5E-6</v>
      </c>
      <c r="W247">
        <v>1.5E-6</v>
      </c>
      <c r="X247">
        <v>1.3140199999999999E-2</v>
      </c>
      <c r="Y247">
        <v>1.3140199999999999E-2</v>
      </c>
      <c r="Z247">
        <v>-96.457400000000007</v>
      </c>
      <c r="AA247">
        <v>-96.457400000000007</v>
      </c>
      <c r="AB247">
        <v>-145.65799999999999</v>
      </c>
      <c r="AC247">
        <v>-145.65799999999999</v>
      </c>
      <c r="AD247">
        <v>0</v>
      </c>
      <c r="AE247">
        <v>0</v>
      </c>
      <c r="AF247">
        <v>0</v>
      </c>
      <c r="AG247">
        <v>180</v>
      </c>
      <c r="AI247">
        <v>0.75670000000000004</v>
      </c>
      <c r="AJ247">
        <v>0.98415249999999999</v>
      </c>
      <c r="AK247">
        <v>0.98415249999999999</v>
      </c>
      <c r="AL247">
        <v>2.3E-6</v>
      </c>
      <c r="AM247">
        <v>2.3E-6</v>
      </c>
      <c r="AN247">
        <v>1.58452E-2</v>
      </c>
      <c r="AO247">
        <v>1.58452E-2</v>
      </c>
      <c r="AP247">
        <v>-85.838999999999999</v>
      </c>
      <c r="AQ247">
        <v>-85.838999999999999</v>
      </c>
      <c r="AR247">
        <v>-126.48090000000001</v>
      </c>
      <c r="AS247">
        <v>-126.48090000000001</v>
      </c>
      <c r="AT247">
        <v>0</v>
      </c>
      <c r="AU247">
        <v>0</v>
      </c>
      <c r="AV247">
        <v>0</v>
      </c>
      <c r="AW247">
        <v>180</v>
      </c>
      <c r="AY247">
        <v>0.75670000000000004</v>
      </c>
      <c r="AZ247">
        <v>5.0515999999999998E-3</v>
      </c>
      <c r="BA247">
        <v>5.0515999999999998E-3</v>
      </c>
      <c r="BB247">
        <v>0.99464600000000003</v>
      </c>
      <c r="BC247">
        <v>0.99464600000000003</v>
      </c>
      <c r="BD247">
        <v>3.0239999999999998E-4</v>
      </c>
      <c r="BE247">
        <v>3.0239999999999998E-4</v>
      </c>
      <c r="BF247">
        <v>56.560299999999998</v>
      </c>
      <c r="BG247">
        <v>56.560299999999998</v>
      </c>
      <c r="BH247">
        <v>169.66900000000001</v>
      </c>
      <c r="BI247">
        <v>169.66900000000001</v>
      </c>
      <c r="BJ247">
        <v>0</v>
      </c>
      <c r="BK247">
        <v>0</v>
      </c>
      <c r="BL247">
        <v>0</v>
      </c>
      <c r="BM247">
        <v>180</v>
      </c>
      <c r="BP247">
        <v>0.75670000000000004</v>
      </c>
      <c r="BQ247">
        <v>0.87527630000000001</v>
      </c>
      <c r="BR247">
        <v>0.87527630000000001</v>
      </c>
      <c r="BS247">
        <v>0</v>
      </c>
      <c r="BT247">
        <v>0</v>
      </c>
      <c r="BU247">
        <v>0.1247236</v>
      </c>
      <c r="BV247">
        <v>0.1247236</v>
      </c>
      <c r="BW247">
        <v>-72.302899999999994</v>
      </c>
      <c r="BX247">
        <v>-72.302899999999994</v>
      </c>
      <c r="BY247">
        <v>164.95089999999999</v>
      </c>
      <c r="BZ247">
        <v>164.95089999999999</v>
      </c>
      <c r="CA247">
        <v>0</v>
      </c>
      <c r="CB247">
        <v>0</v>
      </c>
      <c r="CC247">
        <v>0</v>
      </c>
      <c r="CD247">
        <v>180</v>
      </c>
    </row>
    <row r="248" spans="19:82">
      <c r="S248">
        <v>0.75805</v>
      </c>
      <c r="T248">
        <v>0.98683529999999997</v>
      </c>
      <c r="U248">
        <v>0.98683529999999997</v>
      </c>
      <c r="V248">
        <v>1.5E-6</v>
      </c>
      <c r="W248">
        <v>1.5E-6</v>
      </c>
      <c r="X248">
        <v>1.3163299999999999E-2</v>
      </c>
      <c r="Y248">
        <v>1.3163299999999999E-2</v>
      </c>
      <c r="Z248">
        <v>-96.282700000000006</v>
      </c>
      <c r="AA248">
        <v>-96.282700000000006</v>
      </c>
      <c r="AB248">
        <v>-145.36000000000001</v>
      </c>
      <c r="AC248">
        <v>-145.36000000000001</v>
      </c>
      <c r="AD248">
        <v>0</v>
      </c>
      <c r="AE248">
        <v>0</v>
      </c>
      <c r="AF248">
        <v>0</v>
      </c>
      <c r="AG248">
        <v>180</v>
      </c>
      <c r="AI248">
        <v>0.75805</v>
      </c>
      <c r="AJ248">
        <v>0.98410399999999998</v>
      </c>
      <c r="AK248">
        <v>0.98410399999999998</v>
      </c>
      <c r="AL248">
        <v>2.3E-6</v>
      </c>
      <c r="AM248">
        <v>2.3E-6</v>
      </c>
      <c r="AN248">
        <v>1.58937E-2</v>
      </c>
      <c r="AO248">
        <v>1.58937E-2</v>
      </c>
      <c r="AP248">
        <v>-85.644900000000007</v>
      </c>
      <c r="AQ248">
        <v>-85.644900000000007</v>
      </c>
      <c r="AR248">
        <v>-126.1396</v>
      </c>
      <c r="AS248">
        <v>-126.1396</v>
      </c>
      <c r="AT248">
        <v>0</v>
      </c>
      <c r="AU248">
        <v>0</v>
      </c>
      <c r="AV248">
        <v>0</v>
      </c>
      <c r="AW248">
        <v>180</v>
      </c>
      <c r="AY248">
        <v>0.75805</v>
      </c>
      <c r="AZ248">
        <v>5.0089000000000002E-3</v>
      </c>
      <c r="BA248">
        <v>5.0089000000000002E-3</v>
      </c>
      <c r="BB248">
        <v>0.99469209999999997</v>
      </c>
      <c r="BC248">
        <v>0.99469209999999997</v>
      </c>
      <c r="BD248">
        <v>2.99E-4</v>
      </c>
      <c r="BE248">
        <v>2.99E-4</v>
      </c>
      <c r="BF248">
        <v>57.110999999999997</v>
      </c>
      <c r="BG248">
        <v>57.110999999999997</v>
      </c>
      <c r="BH248">
        <v>169.7311</v>
      </c>
      <c r="BI248">
        <v>169.7311</v>
      </c>
      <c r="BJ248">
        <v>0</v>
      </c>
      <c r="BK248">
        <v>0</v>
      </c>
      <c r="BL248">
        <v>0</v>
      </c>
      <c r="BM248">
        <v>180</v>
      </c>
      <c r="BP248">
        <v>0.75805</v>
      </c>
      <c r="BQ248">
        <v>0.8749304</v>
      </c>
      <c r="BR248">
        <v>0.8749304</v>
      </c>
      <c r="BS248">
        <v>0</v>
      </c>
      <c r="BT248">
        <v>0</v>
      </c>
      <c r="BU248">
        <v>0.1250696</v>
      </c>
      <c r="BV248">
        <v>0.1250696</v>
      </c>
      <c r="BW248">
        <v>-72.474500000000006</v>
      </c>
      <c r="BX248">
        <v>-72.474500000000006</v>
      </c>
      <c r="BY248">
        <v>164.95259999999999</v>
      </c>
      <c r="BZ248">
        <v>164.95259999999999</v>
      </c>
      <c r="CA248">
        <v>0</v>
      </c>
      <c r="CB248">
        <v>0</v>
      </c>
      <c r="CC248">
        <v>0</v>
      </c>
      <c r="CD248">
        <v>180</v>
      </c>
    </row>
    <row r="249" spans="19:82">
      <c r="S249">
        <v>0.75939999999999996</v>
      </c>
      <c r="T249">
        <v>0.98681189999999996</v>
      </c>
      <c r="U249">
        <v>0.98681189999999996</v>
      </c>
      <c r="V249">
        <v>1.5E-6</v>
      </c>
      <c r="W249">
        <v>1.5E-6</v>
      </c>
      <c r="X249">
        <v>1.31866E-2</v>
      </c>
      <c r="Y249">
        <v>1.31866E-2</v>
      </c>
      <c r="Z249">
        <v>-96.108099999999993</v>
      </c>
      <c r="AA249">
        <v>-96.108099999999993</v>
      </c>
      <c r="AB249">
        <v>-145.06190000000001</v>
      </c>
      <c r="AC249">
        <v>-145.06190000000001</v>
      </c>
      <c r="AD249">
        <v>0</v>
      </c>
      <c r="AE249">
        <v>0</v>
      </c>
      <c r="AF249">
        <v>0</v>
      </c>
      <c r="AG249">
        <v>180</v>
      </c>
      <c r="AI249">
        <v>0.75939999999999996</v>
      </c>
      <c r="AJ249">
        <v>0.98405520000000002</v>
      </c>
      <c r="AK249">
        <v>0.98405520000000002</v>
      </c>
      <c r="AL249">
        <v>2.3E-6</v>
      </c>
      <c r="AM249">
        <v>2.3E-6</v>
      </c>
      <c r="AN249">
        <v>1.5942499999999998E-2</v>
      </c>
      <c r="AO249">
        <v>1.5942499999999998E-2</v>
      </c>
      <c r="AP249">
        <v>-85.450800000000001</v>
      </c>
      <c r="AQ249">
        <v>-85.450800000000001</v>
      </c>
      <c r="AR249">
        <v>-125.7978</v>
      </c>
      <c r="AS249">
        <v>-125.7978</v>
      </c>
      <c r="AT249">
        <v>0</v>
      </c>
      <c r="AU249">
        <v>0</v>
      </c>
      <c r="AV249">
        <v>0</v>
      </c>
      <c r="AW249">
        <v>180</v>
      </c>
      <c r="AY249">
        <v>0.75939999999999996</v>
      </c>
      <c r="AZ249">
        <v>4.9651000000000001E-3</v>
      </c>
      <c r="BA249">
        <v>4.9651000000000001E-3</v>
      </c>
      <c r="BB249">
        <v>0.99473929999999999</v>
      </c>
      <c r="BC249">
        <v>0.99473929999999999</v>
      </c>
      <c r="BD249">
        <v>2.9559999999999998E-4</v>
      </c>
      <c r="BE249">
        <v>2.9559999999999998E-4</v>
      </c>
      <c r="BF249">
        <v>57.659700000000001</v>
      </c>
      <c r="BG249">
        <v>57.659700000000001</v>
      </c>
      <c r="BH249">
        <v>169.79179999999999</v>
      </c>
      <c r="BI249">
        <v>169.79179999999999</v>
      </c>
      <c r="BJ249">
        <v>0</v>
      </c>
      <c r="BK249">
        <v>0</v>
      </c>
      <c r="BL249">
        <v>0</v>
      </c>
      <c r="BM249">
        <v>180</v>
      </c>
      <c r="BP249">
        <v>0.75939999999999996</v>
      </c>
      <c r="BQ249">
        <v>0.87458460000000005</v>
      </c>
      <c r="BR249">
        <v>0.87458460000000005</v>
      </c>
      <c r="BS249">
        <v>0</v>
      </c>
      <c r="BT249">
        <v>0</v>
      </c>
      <c r="BU249">
        <v>0.12541540000000001</v>
      </c>
      <c r="BV249">
        <v>0.12541540000000001</v>
      </c>
      <c r="BW249">
        <v>-72.645700000000005</v>
      </c>
      <c r="BX249">
        <v>-72.645700000000005</v>
      </c>
      <c r="BY249">
        <v>164.95419999999999</v>
      </c>
      <c r="BZ249">
        <v>164.95419999999999</v>
      </c>
      <c r="CA249">
        <v>0</v>
      </c>
      <c r="CB249">
        <v>0</v>
      </c>
      <c r="CC249">
        <v>0</v>
      </c>
      <c r="CD249">
        <v>180</v>
      </c>
    </row>
    <row r="250" spans="19:82">
      <c r="S250">
        <v>0.76075000000000004</v>
      </c>
      <c r="T250">
        <v>0.9867882</v>
      </c>
      <c r="U250">
        <v>0.9867882</v>
      </c>
      <c r="V250">
        <v>1.5E-6</v>
      </c>
      <c r="W250">
        <v>1.5E-6</v>
      </c>
      <c r="X250">
        <v>1.3210299999999999E-2</v>
      </c>
      <c r="Y250">
        <v>1.3210299999999999E-2</v>
      </c>
      <c r="Z250">
        <v>-95.933499999999995</v>
      </c>
      <c r="AA250">
        <v>-95.933499999999995</v>
      </c>
      <c r="AB250">
        <v>-144.76390000000001</v>
      </c>
      <c r="AC250">
        <v>-144.76390000000001</v>
      </c>
      <c r="AD250">
        <v>0</v>
      </c>
      <c r="AE250">
        <v>0</v>
      </c>
      <c r="AF250">
        <v>0</v>
      </c>
      <c r="AG250">
        <v>180</v>
      </c>
      <c r="AI250">
        <v>0.76075000000000004</v>
      </c>
      <c r="AJ250">
        <v>0.98400620000000005</v>
      </c>
      <c r="AK250">
        <v>0.98400620000000005</v>
      </c>
      <c r="AL250">
        <v>2.3E-6</v>
      </c>
      <c r="AM250">
        <v>2.3E-6</v>
      </c>
      <c r="AN250">
        <v>1.5991600000000002E-2</v>
      </c>
      <c r="AO250">
        <v>1.5991600000000002E-2</v>
      </c>
      <c r="AP250">
        <v>-85.256600000000006</v>
      </c>
      <c r="AQ250">
        <v>-85.256600000000006</v>
      </c>
      <c r="AR250">
        <v>-125.45569999999999</v>
      </c>
      <c r="AS250">
        <v>-125.45569999999999</v>
      </c>
      <c r="AT250">
        <v>0</v>
      </c>
      <c r="AU250">
        <v>0</v>
      </c>
      <c r="AV250">
        <v>0</v>
      </c>
      <c r="AW250">
        <v>180</v>
      </c>
      <c r="AY250">
        <v>0.76075000000000004</v>
      </c>
      <c r="AZ250">
        <v>4.9201999999999996E-3</v>
      </c>
      <c r="BA250">
        <v>4.9201999999999996E-3</v>
      </c>
      <c r="BB250">
        <v>0.99478759999999999</v>
      </c>
      <c r="BC250">
        <v>0.99478759999999999</v>
      </c>
      <c r="BD250">
        <v>2.922E-4</v>
      </c>
      <c r="BE250">
        <v>2.922E-4</v>
      </c>
      <c r="BF250">
        <v>58.206600000000002</v>
      </c>
      <c r="BG250">
        <v>58.206600000000002</v>
      </c>
      <c r="BH250">
        <v>169.8509</v>
      </c>
      <c r="BI250">
        <v>169.8509</v>
      </c>
      <c r="BJ250">
        <v>0</v>
      </c>
      <c r="BK250">
        <v>0</v>
      </c>
      <c r="BL250">
        <v>0</v>
      </c>
      <c r="BM250">
        <v>180</v>
      </c>
      <c r="BP250">
        <v>0.76075000000000004</v>
      </c>
      <c r="BQ250">
        <v>0.87423899999999999</v>
      </c>
      <c r="BR250">
        <v>0.87423899999999999</v>
      </c>
      <c r="BS250">
        <v>0</v>
      </c>
      <c r="BT250">
        <v>0</v>
      </c>
      <c r="BU250">
        <v>0.12576100000000001</v>
      </c>
      <c r="BV250">
        <v>0.12576100000000001</v>
      </c>
      <c r="BW250">
        <v>-72.816299999999998</v>
      </c>
      <c r="BX250">
        <v>-72.816299999999998</v>
      </c>
      <c r="BY250">
        <v>164.95580000000001</v>
      </c>
      <c r="BZ250">
        <v>164.95580000000001</v>
      </c>
      <c r="CA250">
        <v>0</v>
      </c>
      <c r="CB250">
        <v>0</v>
      </c>
      <c r="CC250">
        <v>0</v>
      </c>
      <c r="CD250">
        <v>180</v>
      </c>
    </row>
    <row r="251" spans="19:82">
      <c r="S251">
        <v>0.7621</v>
      </c>
      <c r="T251">
        <v>0.98676419999999998</v>
      </c>
      <c r="U251">
        <v>0.98676419999999998</v>
      </c>
      <c r="V251">
        <v>1.5E-6</v>
      </c>
      <c r="W251">
        <v>1.5E-6</v>
      </c>
      <c r="X251">
        <v>1.3234299999999999E-2</v>
      </c>
      <c r="Y251">
        <v>1.3234299999999999E-2</v>
      </c>
      <c r="Z251">
        <v>-95.759100000000004</v>
      </c>
      <c r="AA251">
        <v>-95.759100000000004</v>
      </c>
      <c r="AB251">
        <v>-144.4657</v>
      </c>
      <c r="AC251">
        <v>-144.4657</v>
      </c>
      <c r="AD251">
        <v>0</v>
      </c>
      <c r="AE251">
        <v>0</v>
      </c>
      <c r="AF251">
        <v>0</v>
      </c>
      <c r="AG251">
        <v>180</v>
      </c>
      <c r="AI251">
        <v>0.7621</v>
      </c>
      <c r="AJ251">
        <v>0.98395679999999996</v>
      </c>
      <c r="AK251">
        <v>0.98395679999999996</v>
      </c>
      <c r="AL251">
        <v>2.3E-6</v>
      </c>
      <c r="AM251">
        <v>2.3E-6</v>
      </c>
      <c r="AN251">
        <v>1.60409E-2</v>
      </c>
      <c r="AO251">
        <v>1.60409E-2</v>
      </c>
      <c r="AP251">
        <v>-85.062299999999993</v>
      </c>
      <c r="AQ251">
        <v>-85.062299999999993</v>
      </c>
      <c r="AR251">
        <v>-125.1133</v>
      </c>
      <c r="AS251">
        <v>-125.1133</v>
      </c>
      <c r="AT251">
        <v>0</v>
      </c>
      <c r="AU251">
        <v>0</v>
      </c>
      <c r="AV251">
        <v>0</v>
      </c>
      <c r="AW251">
        <v>180</v>
      </c>
      <c r="AY251">
        <v>0.7621</v>
      </c>
      <c r="AZ251">
        <v>4.8742999999999998E-3</v>
      </c>
      <c r="BA251">
        <v>4.8742999999999998E-3</v>
      </c>
      <c r="BB251">
        <v>0.99483690000000002</v>
      </c>
      <c r="BC251">
        <v>0.99483690000000002</v>
      </c>
      <c r="BD251">
        <v>2.8880000000000003E-4</v>
      </c>
      <c r="BE251">
        <v>2.8880000000000003E-4</v>
      </c>
      <c r="BF251">
        <v>58.751600000000003</v>
      </c>
      <c r="BG251">
        <v>58.751600000000003</v>
      </c>
      <c r="BH251">
        <v>169.90819999999999</v>
      </c>
      <c r="BI251">
        <v>169.90819999999999</v>
      </c>
      <c r="BJ251">
        <v>0</v>
      </c>
      <c r="BK251">
        <v>0</v>
      </c>
      <c r="BL251">
        <v>0</v>
      </c>
      <c r="BM251">
        <v>180</v>
      </c>
      <c r="BP251">
        <v>0.7621</v>
      </c>
      <c r="BQ251">
        <v>0.87389360000000005</v>
      </c>
      <c r="BR251">
        <v>0.87389360000000005</v>
      </c>
      <c r="BS251">
        <v>0</v>
      </c>
      <c r="BT251">
        <v>0</v>
      </c>
      <c r="BU251">
        <v>0.12610640000000001</v>
      </c>
      <c r="BV251">
        <v>0.12610640000000001</v>
      </c>
      <c r="BW251">
        <v>-72.986500000000007</v>
      </c>
      <c r="BX251">
        <v>-72.986500000000007</v>
      </c>
      <c r="BY251">
        <v>164.95750000000001</v>
      </c>
      <c r="BZ251">
        <v>164.95750000000001</v>
      </c>
      <c r="CA251">
        <v>0</v>
      </c>
      <c r="CB251">
        <v>0</v>
      </c>
      <c r="CC251">
        <v>0</v>
      </c>
      <c r="CD251">
        <v>180</v>
      </c>
    </row>
    <row r="252" spans="19:82">
      <c r="S252">
        <v>0.76344999999999996</v>
      </c>
      <c r="T252">
        <v>0.9867399</v>
      </c>
      <c r="U252">
        <v>0.9867399</v>
      </c>
      <c r="V252">
        <v>1.5E-6</v>
      </c>
      <c r="W252">
        <v>1.5E-6</v>
      </c>
      <c r="X252">
        <v>1.3258600000000001E-2</v>
      </c>
      <c r="Y252">
        <v>1.3258600000000001E-2</v>
      </c>
      <c r="Z252">
        <v>-95.584699999999998</v>
      </c>
      <c r="AA252">
        <v>-95.584699999999998</v>
      </c>
      <c r="AB252">
        <v>-144.16759999999999</v>
      </c>
      <c r="AC252">
        <v>-144.16759999999999</v>
      </c>
      <c r="AD252">
        <v>0</v>
      </c>
      <c r="AE252">
        <v>0</v>
      </c>
      <c r="AF252">
        <v>0</v>
      </c>
      <c r="AG252">
        <v>180</v>
      </c>
      <c r="AI252">
        <v>0.76344999999999996</v>
      </c>
      <c r="AJ252">
        <v>0.98390710000000003</v>
      </c>
      <c r="AK252">
        <v>0.98390710000000003</v>
      </c>
      <c r="AL252">
        <v>2.3E-6</v>
      </c>
      <c r="AM252">
        <v>2.3E-6</v>
      </c>
      <c r="AN252">
        <v>1.60906E-2</v>
      </c>
      <c r="AO252">
        <v>1.60906E-2</v>
      </c>
      <c r="AP252">
        <v>-84.867900000000006</v>
      </c>
      <c r="AQ252">
        <v>-84.867900000000006</v>
      </c>
      <c r="AR252">
        <v>-124.7705</v>
      </c>
      <c r="AS252">
        <v>-124.7705</v>
      </c>
      <c r="AT252">
        <v>0</v>
      </c>
      <c r="AU252">
        <v>0</v>
      </c>
      <c r="AV252">
        <v>0</v>
      </c>
      <c r="AW252">
        <v>180</v>
      </c>
      <c r="AY252">
        <v>0.76344999999999996</v>
      </c>
      <c r="AZ252">
        <v>4.8272999999999996E-3</v>
      </c>
      <c r="BA252">
        <v>4.8272999999999996E-3</v>
      </c>
      <c r="BB252">
        <v>0.99488730000000003</v>
      </c>
      <c r="BC252">
        <v>0.99488730000000003</v>
      </c>
      <c r="BD252">
        <v>2.854E-4</v>
      </c>
      <c r="BE252">
        <v>2.854E-4</v>
      </c>
      <c r="BF252">
        <v>59.294699999999999</v>
      </c>
      <c r="BG252">
        <v>59.294699999999999</v>
      </c>
      <c r="BH252">
        <v>169.96360000000001</v>
      </c>
      <c r="BI252">
        <v>169.96360000000001</v>
      </c>
      <c r="BJ252">
        <v>0</v>
      </c>
      <c r="BK252">
        <v>0</v>
      </c>
      <c r="BL252">
        <v>0</v>
      </c>
      <c r="BM252">
        <v>180</v>
      </c>
      <c r="BP252">
        <v>0.76344999999999996</v>
      </c>
      <c r="BQ252">
        <v>0.8735482</v>
      </c>
      <c r="BR252">
        <v>0.8735482</v>
      </c>
      <c r="BS252">
        <v>0</v>
      </c>
      <c r="BT252">
        <v>0</v>
      </c>
      <c r="BU252">
        <v>0.1264518</v>
      </c>
      <c r="BV252">
        <v>0.1264518</v>
      </c>
      <c r="BW252">
        <v>-73.156199999999998</v>
      </c>
      <c r="BX252">
        <v>-73.156199999999998</v>
      </c>
      <c r="BY252">
        <v>164.95920000000001</v>
      </c>
      <c r="BZ252">
        <v>164.95920000000001</v>
      </c>
      <c r="CA252">
        <v>0</v>
      </c>
      <c r="CB252">
        <v>0</v>
      </c>
      <c r="CC252">
        <v>0</v>
      </c>
      <c r="CD252">
        <v>180</v>
      </c>
    </row>
    <row r="253" spans="19:82">
      <c r="S253">
        <v>0.76480000000000004</v>
      </c>
      <c r="T253">
        <v>0.98671529999999996</v>
      </c>
      <c r="U253">
        <v>0.98671529999999996</v>
      </c>
      <c r="V253">
        <v>1.5E-6</v>
      </c>
      <c r="W253">
        <v>1.5E-6</v>
      </c>
      <c r="X253">
        <v>1.32833E-2</v>
      </c>
      <c r="Y253">
        <v>1.32833E-2</v>
      </c>
      <c r="Z253">
        <v>-95.410499999999999</v>
      </c>
      <c r="AA253">
        <v>-95.410499999999999</v>
      </c>
      <c r="AB253">
        <v>-143.86940000000001</v>
      </c>
      <c r="AC253">
        <v>-143.86940000000001</v>
      </c>
      <c r="AD253">
        <v>0</v>
      </c>
      <c r="AE253">
        <v>0</v>
      </c>
      <c r="AF253">
        <v>0</v>
      </c>
      <c r="AG253">
        <v>180</v>
      </c>
      <c r="AI253">
        <v>0.76480000000000004</v>
      </c>
      <c r="AJ253">
        <v>0.98385710000000004</v>
      </c>
      <c r="AK253">
        <v>0.98385710000000004</v>
      </c>
      <c r="AL253">
        <v>2.3E-6</v>
      </c>
      <c r="AM253">
        <v>2.3E-6</v>
      </c>
      <c r="AN253">
        <v>1.6140600000000001E-2</v>
      </c>
      <c r="AO253">
        <v>1.6140600000000001E-2</v>
      </c>
      <c r="AP253">
        <v>-84.673400000000001</v>
      </c>
      <c r="AQ253">
        <v>-84.673400000000001</v>
      </c>
      <c r="AR253">
        <v>-124.4273</v>
      </c>
      <c r="AS253">
        <v>-124.4273</v>
      </c>
      <c r="AT253">
        <v>0</v>
      </c>
      <c r="AU253">
        <v>0</v>
      </c>
      <c r="AV253">
        <v>0</v>
      </c>
      <c r="AW253">
        <v>180</v>
      </c>
      <c r="AY253">
        <v>0.76480000000000004</v>
      </c>
      <c r="AZ253">
        <v>4.7793000000000002E-3</v>
      </c>
      <c r="BA253">
        <v>4.7793000000000002E-3</v>
      </c>
      <c r="BB253">
        <v>0.99493860000000001</v>
      </c>
      <c r="BC253">
        <v>0.99493860000000001</v>
      </c>
      <c r="BD253">
        <v>2.8210000000000003E-4</v>
      </c>
      <c r="BE253">
        <v>2.8210000000000003E-4</v>
      </c>
      <c r="BF253">
        <v>59.835999999999999</v>
      </c>
      <c r="BG253">
        <v>59.835999999999999</v>
      </c>
      <c r="BH253">
        <v>170.01689999999999</v>
      </c>
      <c r="BI253">
        <v>170.01689999999999</v>
      </c>
      <c r="BJ253">
        <v>0</v>
      </c>
      <c r="BK253">
        <v>0</v>
      </c>
      <c r="BL253">
        <v>0</v>
      </c>
      <c r="BM253">
        <v>180</v>
      </c>
      <c r="BP253">
        <v>0.76480000000000004</v>
      </c>
      <c r="BQ253">
        <v>0.87320310000000001</v>
      </c>
      <c r="BR253">
        <v>0.87320310000000001</v>
      </c>
      <c r="BS253">
        <v>0</v>
      </c>
      <c r="BT253">
        <v>0</v>
      </c>
      <c r="BU253">
        <v>0.12679689999999999</v>
      </c>
      <c r="BV253">
        <v>0.12679689999999999</v>
      </c>
      <c r="BW253">
        <v>-73.325400000000002</v>
      </c>
      <c r="BX253">
        <v>-73.325400000000002</v>
      </c>
      <c r="BY253">
        <v>164.96090000000001</v>
      </c>
      <c r="BZ253">
        <v>164.96090000000001</v>
      </c>
      <c r="CA253">
        <v>0</v>
      </c>
      <c r="CB253">
        <v>0</v>
      </c>
      <c r="CC253">
        <v>0</v>
      </c>
      <c r="CD253">
        <v>180</v>
      </c>
    </row>
    <row r="254" spans="19:82">
      <c r="S254">
        <v>0.76615</v>
      </c>
      <c r="T254">
        <v>0.98669039999999997</v>
      </c>
      <c r="U254">
        <v>0.98669039999999997</v>
      </c>
      <c r="V254">
        <v>1.5E-6</v>
      </c>
      <c r="W254">
        <v>1.5E-6</v>
      </c>
      <c r="X254">
        <v>1.3308199999999999E-2</v>
      </c>
      <c r="Y254">
        <v>1.3308199999999999E-2</v>
      </c>
      <c r="Z254">
        <v>-95.236199999999997</v>
      </c>
      <c r="AA254">
        <v>-95.236199999999997</v>
      </c>
      <c r="AB254">
        <v>-143.5711</v>
      </c>
      <c r="AC254">
        <v>-143.5711</v>
      </c>
      <c r="AD254">
        <v>0</v>
      </c>
      <c r="AE254">
        <v>0</v>
      </c>
      <c r="AF254">
        <v>0</v>
      </c>
      <c r="AG254">
        <v>180</v>
      </c>
      <c r="AI254">
        <v>0.76615</v>
      </c>
      <c r="AJ254">
        <v>0.98380690000000004</v>
      </c>
      <c r="AK254">
        <v>0.98380690000000004</v>
      </c>
      <c r="AL254">
        <v>2.2000000000000001E-6</v>
      </c>
      <c r="AM254">
        <v>2.2000000000000001E-6</v>
      </c>
      <c r="AN254">
        <v>1.6190900000000001E-2</v>
      </c>
      <c r="AO254">
        <v>1.6190900000000001E-2</v>
      </c>
      <c r="AP254">
        <v>-84.478899999999996</v>
      </c>
      <c r="AQ254">
        <v>-84.478899999999996</v>
      </c>
      <c r="AR254">
        <v>-124.0838</v>
      </c>
      <c r="AS254">
        <v>-124.0838</v>
      </c>
      <c r="AT254">
        <v>0</v>
      </c>
      <c r="AU254">
        <v>0</v>
      </c>
      <c r="AV254">
        <v>0</v>
      </c>
      <c r="AW254">
        <v>180</v>
      </c>
      <c r="AY254">
        <v>0.76615</v>
      </c>
      <c r="AZ254">
        <v>4.7302999999999998E-3</v>
      </c>
      <c r="BA254">
        <v>4.7302999999999998E-3</v>
      </c>
      <c r="BB254">
        <v>0.99499090000000001</v>
      </c>
      <c r="BC254">
        <v>0.99499090000000001</v>
      </c>
      <c r="BD254">
        <v>2.788E-4</v>
      </c>
      <c r="BE254">
        <v>2.788E-4</v>
      </c>
      <c r="BF254">
        <v>60.375399999999999</v>
      </c>
      <c r="BG254">
        <v>60.375399999999999</v>
      </c>
      <c r="BH254">
        <v>170.06780000000001</v>
      </c>
      <c r="BI254">
        <v>170.06780000000001</v>
      </c>
      <c r="BJ254">
        <v>0</v>
      </c>
      <c r="BK254">
        <v>0</v>
      </c>
      <c r="BL254">
        <v>0</v>
      </c>
      <c r="BM254">
        <v>180</v>
      </c>
      <c r="BP254">
        <v>0.76615</v>
      </c>
      <c r="BQ254">
        <v>0.87285809999999997</v>
      </c>
      <c r="BR254">
        <v>0.87285809999999997</v>
      </c>
      <c r="BS254">
        <v>0</v>
      </c>
      <c r="BT254">
        <v>0</v>
      </c>
      <c r="BU254">
        <v>0.1271419</v>
      </c>
      <c r="BV254">
        <v>0.1271419</v>
      </c>
      <c r="BW254">
        <v>-73.494200000000006</v>
      </c>
      <c r="BX254">
        <v>-73.494200000000006</v>
      </c>
      <c r="BY254">
        <v>164.96260000000001</v>
      </c>
      <c r="BZ254">
        <v>164.96260000000001</v>
      </c>
      <c r="CA254">
        <v>0</v>
      </c>
      <c r="CB254">
        <v>0</v>
      </c>
      <c r="CC254">
        <v>0</v>
      </c>
      <c r="CD254">
        <v>180</v>
      </c>
    </row>
    <row r="255" spans="19:82">
      <c r="S255">
        <v>0.76749999999999996</v>
      </c>
      <c r="T255">
        <v>0.98666520000000002</v>
      </c>
      <c r="U255">
        <v>0.98666520000000002</v>
      </c>
      <c r="V255">
        <v>1.5E-6</v>
      </c>
      <c r="W255">
        <v>1.5E-6</v>
      </c>
      <c r="X255">
        <v>1.33334E-2</v>
      </c>
      <c r="Y255">
        <v>1.33334E-2</v>
      </c>
      <c r="Z255">
        <v>-95.062100000000001</v>
      </c>
      <c r="AA255">
        <v>-95.062100000000001</v>
      </c>
      <c r="AB255">
        <v>-143.27279999999999</v>
      </c>
      <c r="AC255">
        <v>-143.27279999999999</v>
      </c>
      <c r="AD255">
        <v>0</v>
      </c>
      <c r="AE255">
        <v>0</v>
      </c>
      <c r="AF255">
        <v>0</v>
      </c>
      <c r="AG255">
        <v>180</v>
      </c>
      <c r="AI255">
        <v>0.76749999999999996</v>
      </c>
      <c r="AJ255">
        <v>0.98375630000000003</v>
      </c>
      <c r="AK255">
        <v>0.98375630000000003</v>
      </c>
      <c r="AL255">
        <v>2.2000000000000001E-6</v>
      </c>
      <c r="AM255">
        <v>2.2000000000000001E-6</v>
      </c>
      <c r="AN255">
        <v>1.6241499999999999E-2</v>
      </c>
      <c r="AO255">
        <v>1.6241499999999999E-2</v>
      </c>
      <c r="AP255">
        <v>-84.284199999999998</v>
      </c>
      <c r="AQ255">
        <v>-84.284199999999998</v>
      </c>
      <c r="AR255">
        <v>-123.7398</v>
      </c>
      <c r="AS255">
        <v>-123.7398</v>
      </c>
      <c r="AT255">
        <v>0</v>
      </c>
      <c r="AU255">
        <v>0</v>
      </c>
      <c r="AV255">
        <v>0</v>
      </c>
      <c r="AW255">
        <v>180</v>
      </c>
      <c r="AY255">
        <v>0.76749999999999996</v>
      </c>
      <c r="AZ255">
        <v>4.6804000000000004E-3</v>
      </c>
      <c r="BA255">
        <v>4.6804000000000004E-3</v>
      </c>
      <c r="BB255">
        <v>0.99504409999999999</v>
      </c>
      <c r="BC255">
        <v>0.99504409999999999</v>
      </c>
      <c r="BD255">
        <v>2.7540000000000003E-4</v>
      </c>
      <c r="BE255">
        <v>2.7540000000000003E-4</v>
      </c>
      <c r="BF255">
        <v>60.9129</v>
      </c>
      <c r="BG255">
        <v>60.9129</v>
      </c>
      <c r="BH255">
        <v>170.11619999999999</v>
      </c>
      <c r="BI255">
        <v>170.11619999999999</v>
      </c>
      <c r="BJ255">
        <v>0</v>
      </c>
      <c r="BK255">
        <v>0</v>
      </c>
      <c r="BL255">
        <v>0</v>
      </c>
      <c r="BM255">
        <v>180</v>
      </c>
      <c r="BP255">
        <v>0.76749999999999996</v>
      </c>
      <c r="BQ255">
        <v>0.87251330000000005</v>
      </c>
      <c r="BR255">
        <v>0.87251330000000005</v>
      </c>
      <c r="BS255">
        <v>0</v>
      </c>
      <c r="BT255">
        <v>0</v>
      </c>
      <c r="BU255">
        <v>0.12748670000000001</v>
      </c>
      <c r="BV255">
        <v>0.12748670000000001</v>
      </c>
      <c r="BW255">
        <v>-73.662400000000005</v>
      </c>
      <c r="BX255">
        <v>-73.662400000000005</v>
      </c>
      <c r="BY255">
        <v>164.96430000000001</v>
      </c>
      <c r="BZ255">
        <v>164.96430000000001</v>
      </c>
      <c r="CA255">
        <v>0</v>
      </c>
      <c r="CB255">
        <v>0</v>
      </c>
      <c r="CC255">
        <v>0</v>
      </c>
      <c r="CD255">
        <v>180</v>
      </c>
    </row>
    <row r="256" spans="19:82">
      <c r="S256">
        <v>0.76885000000000003</v>
      </c>
      <c r="T256">
        <v>0.98663959999999995</v>
      </c>
      <c r="U256">
        <v>0.98663959999999995</v>
      </c>
      <c r="V256">
        <v>1.3999999999999999E-6</v>
      </c>
      <c r="W256">
        <v>1.3999999999999999E-6</v>
      </c>
      <c r="X256">
        <v>1.33589E-2</v>
      </c>
      <c r="Y256">
        <v>1.33589E-2</v>
      </c>
      <c r="Z256">
        <v>-94.888000000000005</v>
      </c>
      <c r="AA256">
        <v>-94.888000000000005</v>
      </c>
      <c r="AB256">
        <v>-142.9744</v>
      </c>
      <c r="AC256">
        <v>-142.9744</v>
      </c>
      <c r="AD256">
        <v>0</v>
      </c>
      <c r="AE256">
        <v>0</v>
      </c>
      <c r="AF256">
        <v>0</v>
      </c>
      <c r="AG256">
        <v>180</v>
      </c>
      <c r="AI256">
        <v>0.76885000000000003</v>
      </c>
      <c r="AJ256">
        <v>0.98370539999999995</v>
      </c>
      <c r="AK256">
        <v>0.98370539999999995</v>
      </c>
      <c r="AL256">
        <v>2.2000000000000001E-6</v>
      </c>
      <c r="AM256">
        <v>2.2000000000000001E-6</v>
      </c>
      <c r="AN256">
        <v>1.6292299999999999E-2</v>
      </c>
      <c r="AO256">
        <v>1.6292299999999999E-2</v>
      </c>
      <c r="AP256">
        <v>-84.089500000000001</v>
      </c>
      <c r="AQ256">
        <v>-84.089500000000001</v>
      </c>
      <c r="AR256">
        <v>-123.3955</v>
      </c>
      <c r="AS256">
        <v>-123.3955</v>
      </c>
      <c r="AT256">
        <v>0</v>
      </c>
      <c r="AU256">
        <v>0</v>
      </c>
      <c r="AV256">
        <v>0</v>
      </c>
      <c r="AW256">
        <v>180</v>
      </c>
      <c r="AY256">
        <v>0.76885000000000003</v>
      </c>
      <c r="AZ256">
        <v>4.6296000000000002E-3</v>
      </c>
      <c r="BA256">
        <v>4.6296000000000002E-3</v>
      </c>
      <c r="BB256">
        <v>0.99509829999999999</v>
      </c>
      <c r="BC256">
        <v>0.99509829999999999</v>
      </c>
      <c r="BD256">
        <v>2.721E-4</v>
      </c>
      <c r="BE256">
        <v>2.721E-4</v>
      </c>
      <c r="BF256">
        <v>61.448700000000002</v>
      </c>
      <c r="BG256">
        <v>61.448700000000002</v>
      </c>
      <c r="BH256">
        <v>170.16200000000001</v>
      </c>
      <c r="BI256">
        <v>170.16200000000001</v>
      </c>
      <c r="BJ256">
        <v>0</v>
      </c>
      <c r="BK256">
        <v>0</v>
      </c>
      <c r="BL256">
        <v>0</v>
      </c>
      <c r="BM256">
        <v>180</v>
      </c>
      <c r="BP256">
        <v>0.76885000000000003</v>
      </c>
      <c r="BQ256">
        <v>0.87216859999999996</v>
      </c>
      <c r="BR256">
        <v>0.87216859999999996</v>
      </c>
      <c r="BS256">
        <v>0</v>
      </c>
      <c r="BT256">
        <v>0</v>
      </c>
      <c r="BU256">
        <v>0.12783140000000001</v>
      </c>
      <c r="BV256">
        <v>0.12783140000000001</v>
      </c>
      <c r="BW256">
        <v>-73.830200000000005</v>
      </c>
      <c r="BX256">
        <v>-73.830200000000005</v>
      </c>
      <c r="BY256">
        <v>164.96610000000001</v>
      </c>
      <c r="BZ256">
        <v>164.96610000000001</v>
      </c>
      <c r="CA256">
        <v>0</v>
      </c>
      <c r="CB256">
        <v>0</v>
      </c>
      <c r="CC256">
        <v>0</v>
      </c>
      <c r="CD256">
        <v>180</v>
      </c>
    </row>
    <row r="257" spans="19:82">
      <c r="S257">
        <v>0.7702</v>
      </c>
      <c r="T257">
        <v>0.98661379999999999</v>
      </c>
      <c r="U257">
        <v>0.98661379999999999</v>
      </c>
      <c r="V257">
        <v>1.3999999999999999E-6</v>
      </c>
      <c r="W257">
        <v>1.3999999999999999E-6</v>
      </c>
      <c r="X257">
        <v>1.3384699999999999E-2</v>
      </c>
      <c r="Y257">
        <v>1.3384699999999999E-2</v>
      </c>
      <c r="Z257">
        <v>-94.714100000000002</v>
      </c>
      <c r="AA257">
        <v>-94.714100000000002</v>
      </c>
      <c r="AB257">
        <v>-142.67590000000001</v>
      </c>
      <c r="AC257">
        <v>-142.67590000000001</v>
      </c>
      <c r="AD257">
        <v>0</v>
      </c>
      <c r="AE257">
        <v>0</v>
      </c>
      <c r="AF257">
        <v>0</v>
      </c>
      <c r="AG257">
        <v>180</v>
      </c>
      <c r="AI257">
        <v>0.7702</v>
      </c>
      <c r="AJ257">
        <v>0.98365429999999998</v>
      </c>
      <c r="AK257">
        <v>0.98365429999999998</v>
      </c>
      <c r="AL257">
        <v>2.2000000000000001E-6</v>
      </c>
      <c r="AM257">
        <v>2.2000000000000001E-6</v>
      </c>
      <c r="AN257">
        <v>1.63435E-2</v>
      </c>
      <c r="AO257">
        <v>1.63435E-2</v>
      </c>
      <c r="AP257">
        <v>-83.8947</v>
      </c>
      <c r="AQ257">
        <v>-83.8947</v>
      </c>
      <c r="AR257">
        <v>-123.0509</v>
      </c>
      <c r="AS257">
        <v>-123.0509</v>
      </c>
      <c r="AT257">
        <v>0</v>
      </c>
      <c r="AU257">
        <v>0</v>
      </c>
      <c r="AV257">
        <v>0</v>
      </c>
      <c r="AW257">
        <v>180</v>
      </c>
      <c r="AY257">
        <v>0.7702</v>
      </c>
      <c r="AZ257">
        <v>4.5777999999999999E-3</v>
      </c>
      <c r="BA257">
        <v>4.5777999999999999E-3</v>
      </c>
      <c r="BB257">
        <v>0.99515339999999997</v>
      </c>
      <c r="BC257">
        <v>0.99515339999999997</v>
      </c>
      <c r="BD257">
        <v>2.6879999999999997E-4</v>
      </c>
      <c r="BE257">
        <v>2.6879999999999997E-4</v>
      </c>
      <c r="BF257">
        <v>61.982599999999998</v>
      </c>
      <c r="BG257">
        <v>61.982599999999998</v>
      </c>
      <c r="BH257">
        <v>170.20490000000001</v>
      </c>
      <c r="BI257">
        <v>170.20490000000001</v>
      </c>
      <c r="BJ257">
        <v>0</v>
      </c>
      <c r="BK257">
        <v>0</v>
      </c>
      <c r="BL257">
        <v>0</v>
      </c>
      <c r="BM257">
        <v>180</v>
      </c>
      <c r="BP257">
        <v>0.7702</v>
      </c>
      <c r="BQ257">
        <v>0.87182409999999999</v>
      </c>
      <c r="BR257">
        <v>0.87182409999999999</v>
      </c>
      <c r="BS257">
        <v>0</v>
      </c>
      <c r="BT257">
        <v>0</v>
      </c>
      <c r="BU257">
        <v>0.12817590000000001</v>
      </c>
      <c r="BV257">
        <v>0.12817590000000001</v>
      </c>
      <c r="BW257">
        <v>-73.997600000000006</v>
      </c>
      <c r="BX257">
        <v>-73.997600000000006</v>
      </c>
      <c r="BY257">
        <v>164.96780000000001</v>
      </c>
      <c r="BZ257">
        <v>164.96780000000001</v>
      </c>
      <c r="CA257">
        <v>0</v>
      </c>
      <c r="CB257">
        <v>0</v>
      </c>
      <c r="CC257">
        <v>0</v>
      </c>
      <c r="CD257">
        <v>180</v>
      </c>
    </row>
    <row r="258" spans="19:82">
      <c r="S258">
        <v>0.77154999999999996</v>
      </c>
      <c r="T258">
        <v>0.98658769999999996</v>
      </c>
      <c r="U258">
        <v>0.98658769999999996</v>
      </c>
      <c r="V258">
        <v>1.3999999999999999E-6</v>
      </c>
      <c r="W258">
        <v>1.3999999999999999E-6</v>
      </c>
      <c r="X258">
        <v>1.34109E-2</v>
      </c>
      <c r="Y258">
        <v>1.34109E-2</v>
      </c>
      <c r="Z258">
        <v>-94.540099999999995</v>
      </c>
      <c r="AA258">
        <v>-94.540099999999995</v>
      </c>
      <c r="AB258">
        <v>-142.37739999999999</v>
      </c>
      <c r="AC258">
        <v>-142.37739999999999</v>
      </c>
      <c r="AD258">
        <v>0</v>
      </c>
      <c r="AE258">
        <v>0</v>
      </c>
      <c r="AF258">
        <v>0</v>
      </c>
      <c r="AG258">
        <v>180</v>
      </c>
      <c r="AI258">
        <v>0.77154999999999996</v>
      </c>
      <c r="AJ258">
        <v>0.9836028</v>
      </c>
      <c r="AK258">
        <v>0.9836028</v>
      </c>
      <c r="AL258">
        <v>2.2000000000000001E-6</v>
      </c>
      <c r="AM258">
        <v>2.2000000000000001E-6</v>
      </c>
      <c r="AN258">
        <v>1.6395E-2</v>
      </c>
      <c r="AO258">
        <v>1.6395E-2</v>
      </c>
      <c r="AP258">
        <v>-83.699799999999996</v>
      </c>
      <c r="AQ258">
        <v>-83.699799999999996</v>
      </c>
      <c r="AR258">
        <v>-122.7058</v>
      </c>
      <c r="AS258">
        <v>-122.7058</v>
      </c>
      <c r="AT258">
        <v>0</v>
      </c>
      <c r="AU258">
        <v>0</v>
      </c>
      <c r="AV258">
        <v>0</v>
      </c>
      <c r="AW258">
        <v>180</v>
      </c>
      <c r="AY258">
        <v>0.77154999999999996</v>
      </c>
      <c r="AZ258">
        <v>4.5252000000000001E-3</v>
      </c>
      <c r="BA258">
        <v>4.5252000000000001E-3</v>
      </c>
      <c r="BB258">
        <v>0.99520929999999996</v>
      </c>
      <c r="BC258">
        <v>0.99520929999999996</v>
      </c>
      <c r="BD258">
        <v>2.655E-4</v>
      </c>
      <c r="BE258">
        <v>2.655E-4</v>
      </c>
      <c r="BF258">
        <v>62.514699999999998</v>
      </c>
      <c r="BG258">
        <v>62.514699999999998</v>
      </c>
      <c r="BH258">
        <v>170.24469999999999</v>
      </c>
      <c r="BI258">
        <v>170.24469999999999</v>
      </c>
      <c r="BJ258">
        <v>0</v>
      </c>
      <c r="BK258">
        <v>0</v>
      </c>
      <c r="BL258">
        <v>0</v>
      </c>
      <c r="BM258">
        <v>180</v>
      </c>
      <c r="BP258">
        <v>0.77154999999999996</v>
      </c>
      <c r="BQ258">
        <v>0.87147969999999997</v>
      </c>
      <c r="BR258">
        <v>0.87147969999999997</v>
      </c>
      <c r="BS258">
        <v>0</v>
      </c>
      <c r="BT258">
        <v>0</v>
      </c>
      <c r="BU258">
        <v>0.1285203</v>
      </c>
      <c r="BV258">
        <v>0.1285203</v>
      </c>
      <c r="BW258">
        <v>-74.164400000000001</v>
      </c>
      <c r="BX258">
        <v>-74.164400000000001</v>
      </c>
      <c r="BY258">
        <v>164.96960000000001</v>
      </c>
      <c r="BZ258">
        <v>164.96960000000001</v>
      </c>
      <c r="CA258">
        <v>0</v>
      </c>
      <c r="CB258">
        <v>0</v>
      </c>
      <c r="CC258">
        <v>0</v>
      </c>
      <c r="CD258">
        <v>180</v>
      </c>
    </row>
    <row r="259" spans="19:82">
      <c r="S259">
        <v>0.77290000000000003</v>
      </c>
      <c r="T259">
        <v>0.98656129999999997</v>
      </c>
      <c r="U259">
        <v>0.98656129999999997</v>
      </c>
      <c r="V259">
        <v>1.3999999999999999E-6</v>
      </c>
      <c r="W259">
        <v>1.3999999999999999E-6</v>
      </c>
      <c r="X259">
        <v>1.3437299999999999E-2</v>
      </c>
      <c r="Y259">
        <v>1.3437299999999999E-2</v>
      </c>
      <c r="Z259">
        <v>-94.366200000000006</v>
      </c>
      <c r="AA259">
        <v>-94.366200000000006</v>
      </c>
      <c r="AB259">
        <v>-142.0788</v>
      </c>
      <c r="AC259">
        <v>-142.0788</v>
      </c>
      <c r="AD259">
        <v>0</v>
      </c>
      <c r="AE259">
        <v>0</v>
      </c>
      <c r="AF259">
        <v>0</v>
      </c>
      <c r="AG259">
        <v>180</v>
      </c>
      <c r="AI259">
        <v>0.77290000000000003</v>
      </c>
      <c r="AJ259">
        <v>0.98355110000000001</v>
      </c>
      <c r="AK259">
        <v>0.98355110000000001</v>
      </c>
      <c r="AL259">
        <v>2.2000000000000001E-6</v>
      </c>
      <c r="AM259">
        <v>2.2000000000000001E-6</v>
      </c>
      <c r="AN259">
        <v>1.6446700000000002E-2</v>
      </c>
      <c r="AO259">
        <v>1.6446700000000002E-2</v>
      </c>
      <c r="AP259">
        <v>-83.5047</v>
      </c>
      <c r="AQ259">
        <v>-83.5047</v>
      </c>
      <c r="AR259">
        <v>-122.3604</v>
      </c>
      <c r="AS259">
        <v>-122.3604</v>
      </c>
      <c r="AT259">
        <v>0</v>
      </c>
      <c r="AU259">
        <v>0</v>
      </c>
      <c r="AV259">
        <v>0</v>
      </c>
      <c r="AW259">
        <v>180</v>
      </c>
      <c r="AY259">
        <v>0.77290000000000003</v>
      </c>
      <c r="AZ259">
        <v>4.4717000000000003E-3</v>
      </c>
      <c r="BA259">
        <v>4.4717000000000003E-3</v>
      </c>
      <c r="BB259">
        <v>0.99526599999999998</v>
      </c>
      <c r="BC259">
        <v>0.99526599999999998</v>
      </c>
      <c r="BD259">
        <v>2.6229999999999998E-4</v>
      </c>
      <c r="BE259">
        <v>2.6229999999999998E-4</v>
      </c>
      <c r="BF259">
        <v>63.045099999999998</v>
      </c>
      <c r="BG259">
        <v>63.045099999999998</v>
      </c>
      <c r="BH259">
        <v>170.28120000000001</v>
      </c>
      <c r="BI259">
        <v>170.28120000000001</v>
      </c>
      <c r="BJ259">
        <v>0</v>
      </c>
      <c r="BK259">
        <v>0</v>
      </c>
      <c r="BL259">
        <v>0</v>
      </c>
      <c r="BM259">
        <v>180</v>
      </c>
      <c r="BP259">
        <v>0.77290000000000003</v>
      </c>
      <c r="BQ259">
        <v>0.87113549999999995</v>
      </c>
      <c r="BR259">
        <v>0.87113549999999995</v>
      </c>
      <c r="BS259">
        <v>0</v>
      </c>
      <c r="BT259">
        <v>0</v>
      </c>
      <c r="BU259">
        <v>0.12886449999999999</v>
      </c>
      <c r="BV259">
        <v>0.12886449999999999</v>
      </c>
      <c r="BW259">
        <v>-74.3309</v>
      </c>
      <c r="BX259">
        <v>-74.3309</v>
      </c>
      <c r="BY259">
        <v>164.97139999999999</v>
      </c>
      <c r="BZ259">
        <v>164.97139999999999</v>
      </c>
      <c r="CA259">
        <v>0</v>
      </c>
      <c r="CB259">
        <v>0</v>
      </c>
      <c r="CC259">
        <v>0</v>
      </c>
      <c r="CD259">
        <v>180</v>
      </c>
    </row>
    <row r="260" spans="19:82">
      <c r="S260">
        <v>0.77424999999999999</v>
      </c>
      <c r="T260">
        <v>0.98653460000000004</v>
      </c>
      <c r="U260">
        <v>0.98653460000000004</v>
      </c>
      <c r="V260">
        <v>1.3999999999999999E-6</v>
      </c>
      <c r="W260">
        <v>1.3999999999999999E-6</v>
      </c>
      <c r="X260">
        <v>1.3464E-2</v>
      </c>
      <c r="Y260">
        <v>1.3464E-2</v>
      </c>
      <c r="Z260">
        <v>-94.192400000000006</v>
      </c>
      <c r="AA260">
        <v>-94.192400000000006</v>
      </c>
      <c r="AB260">
        <v>-141.78</v>
      </c>
      <c r="AC260">
        <v>-141.78</v>
      </c>
      <c r="AD260">
        <v>0</v>
      </c>
      <c r="AE260">
        <v>0</v>
      </c>
      <c r="AF260">
        <v>0</v>
      </c>
      <c r="AG260">
        <v>180</v>
      </c>
      <c r="AI260">
        <v>0.77424999999999999</v>
      </c>
      <c r="AJ260">
        <v>0.98349909999999996</v>
      </c>
      <c r="AK260">
        <v>0.98349909999999996</v>
      </c>
      <c r="AL260">
        <v>2.2000000000000001E-6</v>
      </c>
      <c r="AM260">
        <v>2.2000000000000001E-6</v>
      </c>
      <c r="AN260">
        <v>1.6498700000000002E-2</v>
      </c>
      <c r="AO260">
        <v>1.6498700000000002E-2</v>
      </c>
      <c r="AP260">
        <v>-83.309600000000003</v>
      </c>
      <c r="AQ260">
        <v>-83.309600000000003</v>
      </c>
      <c r="AR260">
        <v>-122.0145</v>
      </c>
      <c r="AS260">
        <v>-122.0145</v>
      </c>
      <c r="AT260">
        <v>0</v>
      </c>
      <c r="AU260">
        <v>0</v>
      </c>
      <c r="AV260">
        <v>0</v>
      </c>
      <c r="AW260">
        <v>180</v>
      </c>
      <c r="AY260">
        <v>0.77424999999999999</v>
      </c>
      <c r="AZ260">
        <v>4.4174000000000001E-3</v>
      </c>
      <c r="BA260">
        <v>4.4174000000000001E-3</v>
      </c>
      <c r="BB260">
        <v>0.99532359999999998</v>
      </c>
      <c r="BC260">
        <v>0.99532359999999998</v>
      </c>
      <c r="BD260">
        <v>2.5900000000000001E-4</v>
      </c>
      <c r="BE260">
        <v>2.5900000000000001E-4</v>
      </c>
      <c r="BF260">
        <v>63.573599999999999</v>
      </c>
      <c r="BG260">
        <v>63.573599999999999</v>
      </c>
      <c r="BH260">
        <v>170.3142</v>
      </c>
      <c r="BI260">
        <v>170.3142</v>
      </c>
      <c r="BJ260">
        <v>0</v>
      </c>
      <c r="BK260">
        <v>0</v>
      </c>
      <c r="BL260">
        <v>0</v>
      </c>
      <c r="BM260">
        <v>180</v>
      </c>
      <c r="BP260">
        <v>0.77424999999999999</v>
      </c>
      <c r="BQ260">
        <v>0.87079150000000005</v>
      </c>
      <c r="BR260">
        <v>0.87079150000000005</v>
      </c>
      <c r="BS260">
        <v>0</v>
      </c>
      <c r="BT260">
        <v>0</v>
      </c>
      <c r="BU260">
        <v>0.1292085</v>
      </c>
      <c r="BV260">
        <v>0.1292085</v>
      </c>
      <c r="BW260">
        <v>-74.496799999999993</v>
      </c>
      <c r="BX260">
        <v>-74.496799999999993</v>
      </c>
      <c r="BY260">
        <v>164.97319999999999</v>
      </c>
      <c r="BZ260">
        <v>164.97319999999999</v>
      </c>
      <c r="CA260">
        <v>0</v>
      </c>
      <c r="CB260">
        <v>0</v>
      </c>
      <c r="CC260">
        <v>0</v>
      </c>
      <c r="CD260">
        <v>180</v>
      </c>
    </row>
    <row r="261" spans="19:82">
      <c r="S261">
        <v>0.77559999999999996</v>
      </c>
      <c r="T261">
        <v>0.98650760000000004</v>
      </c>
      <c r="U261">
        <v>0.98650760000000004</v>
      </c>
      <c r="V261">
        <v>1.3999999999999999E-6</v>
      </c>
      <c r="W261">
        <v>1.3999999999999999E-6</v>
      </c>
      <c r="X261">
        <v>1.3491E-2</v>
      </c>
      <c r="Y261">
        <v>1.3491E-2</v>
      </c>
      <c r="Z261">
        <v>-94.018699999999995</v>
      </c>
      <c r="AA261">
        <v>-94.018699999999995</v>
      </c>
      <c r="AB261">
        <v>-141.4812</v>
      </c>
      <c r="AC261">
        <v>-141.4812</v>
      </c>
      <c r="AD261">
        <v>0</v>
      </c>
      <c r="AE261">
        <v>0</v>
      </c>
      <c r="AF261">
        <v>0</v>
      </c>
      <c r="AG261">
        <v>180</v>
      </c>
      <c r="AI261">
        <v>0.77559999999999996</v>
      </c>
      <c r="AJ261">
        <v>0.98344679999999995</v>
      </c>
      <c r="AK261">
        <v>0.98344679999999995</v>
      </c>
      <c r="AL261">
        <v>2.2000000000000001E-6</v>
      </c>
      <c r="AM261">
        <v>2.2000000000000001E-6</v>
      </c>
      <c r="AN261">
        <v>1.6551E-2</v>
      </c>
      <c r="AO261">
        <v>1.6551E-2</v>
      </c>
      <c r="AP261">
        <v>-83.114400000000003</v>
      </c>
      <c r="AQ261">
        <v>-83.114400000000003</v>
      </c>
      <c r="AR261">
        <v>-121.6683</v>
      </c>
      <c r="AS261">
        <v>-121.6683</v>
      </c>
      <c r="AT261">
        <v>0</v>
      </c>
      <c r="AU261">
        <v>0</v>
      </c>
      <c r="AV261">
        <v>0</v>
      </c>
      <c r="AW261">
        <v>180</v>
      </c>
      <c r="AY261">
        <v>0.77559999999999996</v>
      </c>
      <c r="AZ261">
        <v>4.3623000000000004E-3</v>
      </c>
      <c r="BA261">
        <v>4.3623000000000004E-3</v>
      </c>
      <c r="BB261">
        <v>0.99538190000000004</v>
      </c>
      <c r="BC261">
        <v>0.99538190000000004</v>
      </c>
      <c r="BD261">
        <v>2.5569999999999998E-4</v>
      </c>
      <c r="BE261">
        <v>2.5569999999999998E-4</v>
      </c>
      <c r="BF261">
        <v>64.100399999999993</v>
      </c>
      <c r="BG261">
        <v>64.100399999999993</v>
      </c>
      <c r="BH261">
        <v>170.34360000000001</v>
      </c>
      <c r="BI261">
        <v>170.34360000000001</v>
      </c>
      <c r="BJ261">
        <v>0</v>
      </c>
      <c r="BK261">
        <v>0</v>
      </c>
      <c r="BL261">
        <v>0</v>
      </c>
      <c r="BM261">
        <v>180</v>
      </c>
      <c r="BP261">
        <v>0.77559999999999996</v>
      </c>
      <c r="BQ261">
        <v>0.87044770000000005</v>
      </c>
      <c r="BR261">
        <v>0.87044770000000005</v>
      </c>
      <c r="BS261">
        <v>0</v>
      </c>
      <c r="BT261">
        <v>0</v>
      </c>
      <c r="BU261">
        <v>0.12955230000000001</v>
      </c>
      <c r="BV261">
        <v>0.12955230000000001</v>
      </c>
      <c r="BW261">
        <v>-74.662300000000002</v>
      </c>
      <c r="BX261">
        <v>-74.662300000000002</v>
      </c>
      <c r="BY261">
        <v>164.9751</v>
      </c>
      <c r="BZ261">
        <v>164.9751</v>
      </c>
      <c r="CA261">
        <v>0</v>
      </c>
      <c r="CB261">
        <v>0</v>
      </c>
      <c r="CC261">
        <v>0</v>
      </c>
      <c r="CD261">
        <v>180</v>
      </c>
    </row>
    <row r="262" spans="19:82">
      <c r="S262">
        <v>0.77695000000000003</v>
      </c>
      <c r="T262">
        <v>0.98648029999999998</v>
      </c>
      <c r="U262">
        <v>0.98648029999999998</v>
      </c>
      <c r="V262">
        <v>1.3999999999999999E-6</v>
      </c>
      <c r="W262">
        <v>1.3999999999999999E-6</v>
      </c>
      <c r="X262">
        <v>1.35183E-2</v>
      </c>
      <c r="Y262">
        <v>1.35183E-2</v>
      </c>
      <c r="Z262">
        <v>-93.844899999999996</v>
      </c>
      <c r="AA262">
        <v>-93.844899999999996</v>
      </c>
      <c r="AB262">
        <v>-141.1823</v>
      </c>
      <c r="AC262">
        <v>-141.1823</v>
      </c>
      <c r="AD262">
        <v>0</v>
      </c>
      <c r="AE262">
        <v>0</v>
      </c>
      <c r="AF262">
        <v>0</v>
      </c>
      <c r="AG262">
        <v>180</v>
      </c>
      <c r="AI262">
        <v>0.77695000000000003</v>
      </c>
      <c r="AJ262">
        <v>0.9833942</v>
      </c>
      <c r="AK262">
        <v>0.9833942</v>
      </c>
      <c r="AL262">
        <v>2.2000000000000001E-6</v>
      </c>
      <c r="AM262">
        <v>2.2000000000000001E-6</v>
      </c>
      <c r="AN262">
        <v>1.66036E-2</v>
      </c>
      <c r="AO262">
        <v>1.66036E-2</v>
      </c>
      <c r="AP262">
        <v>-82.918999999999997</v>
      </c>
      <c r="AQ262">
        <v>-82.918999999999997</v>
      </c>
      <c r="AR262">
        <v>-121.32170000000001</v>
      </c>
      <c r="AS262">
        <v>-121.32170000000001</v>
      </c>
      <c r="AT262">
        <v>0</v>
      </c>
      <c r="AU262">
        <v>0</v>
      </c>
      <c r="AV262">
        <v>0</v>
      </c>
      <c r="AW262">
        <v>180</v>
      </c>
      <c r="AY262">
        <v>0.77695000000000003</v>
      </c>
      <c r="AZ262">
        <v>4.3065000000000004E-3</v>
      </c>
      <c r="BA262">
        <v>4.3065000000000004E-3</v>
      </c>
      <c r="BB262">
        <v>0.99544100000000002</v>
      </c>
      <c r="BC262">
        <v>0.99544100000000002</v>
      </c>
      <c r="BD262">
        <v>2.5250000000000001E-4</v>
      </c>
      <c r="BE262">
        <v>2.5250000000000001E-4</v>
      </c>
      <c r="BF262">
        <v>64.625399999999999</v>
      </c>
      <c r="BG262">
        <v>64.625399999999999</v>
      </c>
      <c r="BH262">
        <v>170.369</v>
      </c>
      <c r="BI262">
        <v>170.369</v>
      </c>
      <c r="BJ262">
        <v>0</v>
      </c>
      <c r="BK262">
        <v>0</v>
      </c>
      <c r="BL262">
        <v>0</v>
      </c>
      <c r="BM262">
        <v>180</v>
      </c>
      <c r="BP262">
        <v>0.77695000000000003</v>
      </c>
      <c r="BQ262">
        <v>0.87010399999999999</v>
      </c>
      <c r="BR262">
        <v>0.87010399999999999</v>
      </c>
      <c r="BS262">
        <v>0</v>
      </c>
      <c r="BT262">
        <v>0</v>
      </c>
      <c r="BU262">
        <v>0.12989600000000001</v>
      </c>
      <c r="BV262">
        <v>0.12989600000000001</v>
      </c>
      <c r="BW262">
        <v>-74.827299999999994</v>
      </c>
      <c r="BX262">
        <v>-74.827299999999994</v>
      </c>
      <c r="BY262">
        <v>164.9769</v>
      </c>
      <c r="BZ262">
        <v>164.9769</v>
      </c>
      <c r="CA262">
        <v>0</v>
      </c>
      <c r="CB262">
        <v>0</v>
      </c>
      <c r="CC262">
        <v>0</v>
      </c>
      <c r="CD262">
        <v>180</v>
      </c>
    </row>
    <row r="263" spans="19:82">
      <c r="S263">
        <v>0.77829999999999999</v>
      </c>
      <c r="T263">
        <v>0.98645269999999996</v>
      </c>
      <c r="U263">
        <v>0.98645269999999996</v>
      </c>
      <c r="V263">
        <v>1.3999999999999999E-6</v>
      </c>
      <c r="W263">
        <v>1.3999999999999999E-6</v>
      </c>
      <c r="X263">
        <v>1.35458E-2</v>
      </c>
      <c r="Y263">
        <v>1.35458E-2</v>
      </c>
      <c r="Z263">
        <v>-93.671300000000002</v>
      </c>
      <c r="AA263">
        <v>-93.671300000000002</v>
      </c>
      <c r="AB263">
        <v>-140.88329999999999</v>
      </c>
      <c r="AC263">
        <v>-140.88329999999999</v>
      </c>
      <c r="AD263">
        <v>0</v>
      </c>
      <c r="AE263">
        <v>0</v>
      </c>
      <c r="AF263">
        <v>0</v>
      </c>
      <c r="AG263">
        <v>180</v>
      </c>
      <c r="AI263">
        <v>0.77829999999999999</v>
      </c>
      <c r="AJ263">
        <v>0.98334129999999997</v>
      </c>
      <c r="AK263">
        <v>0.98334129999999997</v>
      </c>
      <c r="AL263">
        <v>2.2000000000000001E-6</v>
      </c>
      <c r="AM263">
        <v>2.2000000000000001E-6</v>
      </c>
      <c r="AN263">
        <v>1.6656500000000001E-2</v>
      </c>
      <c r="AO263">
        <v>1.6656500000000001E-2</v>
      </c>
      <c r="AP263">
        <v>-82.723600000000005</v>
      </c>
      <c r="AQ263">
        <v>-82.723600000000005</v>
      </c>
      <c r="AR263">
        <v>-120.9746</v>
      </c>
      <c r="AS263">
        <v>-120.9746</v>
      </c>
      <c r="AT263">
        <v>0</v>
      </c>
      <c r="AU263">
        <v>0</v>
      </c>
      <c r="AV263">
        <v>0</v>
      </c>
      <c r="AW263">
        <v>180</v>
      </c>
      <c r="AY263">
        <v>0.77829999999999999</v>
      </c>
      <c r="AZ263">
        <v>4.2500000000000003E-3</v>
      </c>
      <c r="BA263">
        <v>4.2500000000000003E-3</v>
      </c>
      <c r="BB263">
        <v>0.99550079999999996</v>
      </c>
      <c r="BC263">
        <v>0.99550079999999996</v>
      </c>
      <c r="BD263">
        <v>2.4929999999999999E-4</v>
      </c>
      <c r="BE263">
        <v>2.4929999999999999E-4</v>
      </c>
      <c r="BF263">
        <v>65.148600000000002</v>
      </c>
      <c r="BG263">
        <v>65.148600000000002</v>
      </c>
      <c r="BH263">
        <v>170.39019999999999</v>
      </c>
      <c r="BI263">
        <v>170.39019999999999</v>
      </c>
      <c r="BJ263">
        <v>0</v>
      </c>
      <c r="BK263">
        <v>0</v>
      </c>
      <c r="BL263">
        <v>0</v>
      </c>
      <c r="BM263">
        <v>180</v>
      </c>
      <c r="BP263">
        <v>0.77829999999999999</v>
      </c>
      <c r="BQ263">
        <v>0.86976039999999999</v>
      </c>
      <c r="BR263">
        <v>0.86976039999999999</v>
      </c>
      <c r="BS263">
        <v>0</v>
      </c>
      <c r="BT263">
        <v>0</v>
      </c>
      <c r="BU263">
        <v>0.13023950000000001</v>
      </c>
      <c r="BV263">
        <v>0.13023950000000001</v>
      </c>
      <c r="BW263">
        <v>-74.991900000000001</v>
      </c>
      <c r="BX263">
        <v>-74.991900000000001</v>
      </c>
      <c r="BY263">
        <v>164.97880000000001</v>
      </c>
      <c r="BZ263">
        <v>164.97880000000001</v>
      </c>
      <c r="CA263">
        <v>0</v>
      </c>
      <c r="CB263">
        <v>0</v>
      </c>
      <c r="CC263">
        <v>0</v>
      </c>
      <c r="CD263">
        <v>180</v>
      </c>
    </row>
    <row r="264" spans="19:82">
      <c r="S264">
        <v>0.77964999999999995</v>
      </c>
      <c r="T264">
        <v>0.98642490000000005</v>
      </c>
      <c r="U264">
        <v>0.98642490000000005</v>
      </c>
      <c r="V264">
        <v>1.3999999999999999E-6</v>
      </c>
      <c r="W264">
        <v>1.3999999999999999E-6</v>
      </c>
      <c r="X264">
        <v>1.3573699999999999E-2</v>
      </c>
      <c r="Y264">
        <v>1.3573699999999999E-2</v>
      </c>
      <c r="Z264">
        <v>-93.497600000000006</v>
      </c>
      <c r="AA264">
        <v>-93.497600000000006</v>
      </c>
      <c r="AB264">
        <v>-140.58420000000001</v>
      </c>
      <c r="AC264">
        <v>-140.58420000000001</v>
      </c>
      <c r="AD264">
        <v>0</v>
      </c>
      <c r="AE264">
        <v>0</v>
      </c>
      <c r="AF264">
        <v>0</v>
      </c>
      <c r="AG264">
        <v>180</v>
      </c>
      <c r="AI264">
        <v>0.77964999999999995</v>
      </c>
      <c r="AJ264">
        <v>0.98328819999999995</v>
      </c>
      <c r="AK264">
        <v>0.98328819999999995</v>
      </c>
      <c r="AL264">
        <v>2.2000000000000001E-6</v>
      </c>
      <c r="AM264">
        <v>2.2000000000000001E-6</v>
      </c>
      <c r="AN264">
        <v>1.6709600000000002E-2</v>
      </c>
      <c r="AO264">
        <v>1.6709600000000002E-2</v>
      </c>
      <c r="AP264">
        <v>-82.528000000000006</v>
      </c>
      <c r="AQ264">
        <v>-82.528000000000006</v>
      </c>
      <c r="AR264">
        <v>-120.6272</v>
      </c>
      <c r="AS264">
        <v>-120.6272</v>
      </c>
      <c r="AT264">
        <v>0</v>
      </c>
      <c r="AU264">
        <v>0</v>
      </c>
      <c r="AV264">
        <v>0</v>
      </c>
      <c r="AW264">
        <v>180</v>
      </c>
      <c r="AY264">
        <v>0.77964999999999995</v>
      </c>
      <c r="AZ264">
        <v>4.1926999999999997E-3</v>
      </c>
      <c r="BA264">
        <v>4.1926999999999997E-3</v>
      </c>
      <c r="BB264">
        <v>0.99556120000000004</v>
      </c>
      <c r="BC264">
        <v>0.99556120000000004</v>
      </c>
      <c r="BD264">
        <v>2.4610000000000002E-4</v>
      </c>
      <c r="BE264">
        <v>2.4610000000000002E-4</v>
      </c>
      <c r="BF264">
        <v>65.670199999999994</v>
      </c>
      <c r="BG264">
        <v>65.670199999999994</v>
      </c>
      <c r="BH264">
        <v>170.40700000000001</v>
      </c>
      <c r="BI264">
        <v>170.40700000000001</v>
      </c>
      <c r="BJ264">
        <v>0</v>
      </c>
      <c r="BK264">
        <v>0</v>
      </c>
      <c r="BL264">
        <v>0</v>
      </c>
      <c r="BM264">
        <v>180</v>
      </c>
      <c r="BP264">
        <v>0.77964999999999995</v>
      </c>
      <c r="BQ264">
        <v>0.86941710000000005</v>
      </c>
      <c r="BR264">
        <v>0.86941710000000005</v>
      </c>
      <c r="BS264">
        <v>0</v>
      </c>
      <c r="BT264">
        <v>0</v>
      </c>
      <c r="BU264">
        <v>0.1305829</v>
      </c>
      <c r="BV264">
        <v>0.1305829</v>
      </c>
      <c r="BW264">
        <v>-75.156000000000006</v>
      </c>
      <c r="BX264">
        <v>-75.156000000000006</v>
      </c>
      <c r="BY264">
        <v>164.98070000000001</v>
      </c>
      <c r="BZ264">
        <v>164.98070000000001</v>
      </c>
      <c r="CA264">
        <v>0</v>
      </c>
      <c r="CB264">
        <v>0</v>
      </c>
      <c r="CC264">
        <v>0</v>
      </c>
      <c r="CD264">
        <v>180</v>
      </c>
    </row>
    <row r="265" spans="19:82">
      <c r="S265">
        <v>0.78100000000000003</v>
      </c>
      <c r="T265">
        <v>0.98639670000000002</v>
      </c>
      <c r="U265">
        <v>0.98639670000000002</v>
      </c>
      <c r="V265">
        <v>1.3999999999999999E-6</v>
      </c>
      <c r="W265">
        <v>1.3999999999999999E-6</v>
      </c>
      <c r="X265">
        <v>1.36019E-2</v>
      </c>
      <c r="Y265">
        <v>1.36019E-2</v>
      </c>
      <c r="Z265">
        <v>-93.324100000000001</v>
      </c>
      <c r="AA265">
        <v>-93.324100000000001</v>
      </c>
      <c r="AB265">
        <v>-140.285</v>
      </c>
      <c r="AC265">
        <v>-140.285</v>
      </c>
      <c r="AD265">
        <v>0</v>
      </c>
      <c r="AE265">
        <v>0</v>
      </c>
      <c r="AF265">
        <v>0</v>
      </c>
      <c r="AG265">
        <v>180</v>
      </c>
      <c r="AI265">
        <v>0.78100000000000003</v>
      </c>
      <c r="AJ265">
        <v>0.98323470000000002</v>
      </c>
      <c r="AK265">
        <v>0.98323470000000002</v>
      </c>
      <c r="AL265">
        <v>2.2000000000000001E-6</v>
      </c>
      <c r="AM265">
        <v>2.2000000000000001E-6</v>
      </c>
      <c r="AN265">
        <v>1.67631E-2</v>
      </c>
      <c r="AO265">
        <v>1.67631E-2</v>
      </c>
      <c r="AP265">
        <v>-82.332300000000004</v>
      </c>
      <c r="AQ265">
        <v>-82.332300000000004</v>
      </c>
      <c r="AR265">
        <v>-120.27930000000001</v>
      </c>
      <c r="AS265">
        <v>-120.27930000000001</v>
      </c>
      <c r="AT265">
        <v>0</v>
      </c>
      <c r="AU265">
        <v>0</v>
      </c>
      <c r="AV265">
        <v>0</v>
      </c>
      <c r="AW265">
        <v>180</v>
      </c>
      <c r="AY265">
        <v>0.78100000000000003</v>
      </c>
      <c r="AZ265">
        <v>4.1348000000000001E-3</v>
      </c>
      <c r="BA265">
        <v>4.1348000000000001E-3</v>
      </c>
      <c r="BB265">
        <v>0.9956218</v>
      </c>
      <c r="BC265">
        <v>0.9956218</v>
      </c>
      <c r="BD265">
        <v>2.4340000000000001E-4</v>
      </c>
      <c r="BE265">
        <v>2.4340000000000001E-4</v>
      </c>
      <c r="BF265">
        <v>66.19</v>
      </c>
      <c r="BG265">
        <v>66.19</v>
      </c>
      <c r="BH265">
        <v>170.41919999999999</v>
      </c>
      <c r="BI265">
        <v>170.41919999999999</v>
      </c>
      <c r="BJ265">
        <v>0</v>
      </c>
      <c r="BK265">
        <v>0</v>
      </c>
      <c r="BL265">
        <v>0</v>
      </c>
      <c r="BM265">
        <v>180</v>
      </c>
      <c r="BP265">
        <v>0.78100000000000003</v>
      </c>
      <c r="BQ265">
        <v>0.86907389999999995</v>
      </c>
      <c r="BR265">
        <v>0.86907389999999995</v>
      </c>
      <c r="BS265">
        <v>0</v>
      </c>
      <c r="BT265">
        <v>0</v>
      </c>
      <c r="BU265">
        <v>0.13092609999999999</v>
      </c>
      <c r="BV265">
        <v>0.13092609999999999</v>
      </c>
      <c r="BW265">
        <v>-75.319699999999997</v>
      </c>
      <c r="BX265">
        <v>-75.319699999999997</v>
      </c>
      <c r="BY265">
        <v>164.98259999999999</v>
      </c>
      <c r="BZ265">
        <v>164.98259999999999</v>
      </c>
      <c r="CA265">
        <v>0</v>
      </c>
      <c r="CB265">
        <v>0</v>
      </c>
      <c r="CC265">
        <v>0</v>
      </c>
      <c r="CD265">
        <v>180</v>
      </c>
    </row>
    <row r="266" spans="19:82">
      <c r="S266">
        <v>0.78234999999999999</v>
      </c>
      <c r="T266">
        <v>0.98636829999999998</v>
      </c>
      <c r="U266">
        <v>0.98636829999999998</v>
      </c>
      <c r="V266">
        <v>1.3999999999999999E-6</v>
      </c>
      <c r="W266">
        <v>1.3999999999999999E-6</v>
      </c>
      <c r="X266">
        <v>1.36303E-2</v>
      </c>
      <c r="Y266">
        <v>1.36303E-2</v>
      </c>
      <c r="Z266">
        <v>-93.150499999999994</v>
      </c>
      <c r="AA266">
        <v>-93.150499999999994</v>
      </c>
      <c r="AB266">
        <v>-139.98560000000001</v>
      </c>
      <c r="AC266">
        <v>-139.98560000000001</v>
      </c>
      <c r="AD266">
        <v>0</v>
      </c>
      <c r="AE266">
        <v>0</v>
      </c>
      <c r="AF266">
        <v>0</v>
      </c>
      <c r="AG266">
        <v>180</v>
      </c>
      <c r="AI266">
        <v>0.78234999999999999</v>
      </c>
      <c r="AJ266">
        <v>0.98318110000000003</v>
      </c>
      <c r="AK266">
        <v>0.98318110000000003</v>
      </c>
      <c r="AL266">
        <v>2.2000000000000001E-6</v>
      </c>
      <c r="AM266">
        <v>2.2000000000000001E-6</v>
      </c>
      <c r="AN266">
        <v>1.68168E-2</v>
      </c>
      <c r="AO266">
        <v>1.68168E-2</v>
      </c>
      <c r="AP266">
        <v>-82.136600000000001</v>
      </c>
      <c r="AQ266">
        <v>-82.136600000000001</v>
      </c>
      <c r="AR266">
        <v>-119.9311</v>
      </c>
      <c r="AS266">
        <v>-119.9311</v>
      </c>
      <c r="AT266">
        <v>0</v>
      </c>
      <c r="AU266">
        <v>0</v>
      </c>
      <c r="AV266">
        <v>0</v>
      </c>
      <c r="AW266">
        <v>180</v>
      </c>
      <c r="AY266">
        <v>0.78234999999999999</v>
      </c>
      <c r="AZ266">
        <v>4.0762999999999997E-3</v>
      </c>
      <c r="BA266">
        <v>4.0762999999999997E-3</v>
      </c>
      <c r="BB266">
        <v>0.99568279999999998</v>
      </c>
      <c r="BC266">
        <v>0.99568279999999998</v>
      </c>
      <c r="BD266">
        <v>2.409E-4</v>
      </c>
      <c r="BE266">
        <v>2.409E-4</v>
      </c>
      <c r="BF266">
        <v>66.707999999999998</v>
      </c>
      <c r="BG266">
        <v>66.707999999999998</v>
      </c>
      <c r="BH266">
        <v>170.4265</v>
      </c>
      <c r="BI266">
        <v>170.4265</v>
      </c>
      <c r="BJ266">
        <v>0</v>
      </c>
      <c r="BK266">
        <v>0</v>
      </c>
      <c r="BL266">
        <v>0</v>
      </c>
      <c r="BM266">
        <v>180</v>
      </c>
      <c r="BP266">
        <v>0.78234999999999999</v>
      </c>
      <c r="BQ266">
        <v>0.86873089999999997</v>
      </c>
      <c r="BR266">
        <v>0.86873089999999997</v>
      </c>
      <c r="BS266">
        <v>0</v>
      </c>
      <c r="BT266">
        <v>0</v>
      </c>
      <c r="BU266">
        <v>0.1312691</v>
      </c>
      <c r="BV266">
        <v>0.1312691</v>
      </c>
      <c r="BW266">
        <v>-75.482900000000001</v>
      </c>
      <c r="BX266">
        <v>-75.482900000000001</v>
      </c>
      <c r="BY266">
        <v>164.9845</v>
      </c>
      <c r="BZ266">
        <v>164.9845</v>
      </c>
      <c r="CA266">
        <v>0</v>
      </c>
      <c r="CB266">
        <v>0</v>
      </c>
      <c r="CC266">
        <v>0</v>
      </c>
      <c r="CD266">
        <v>180</v>
      </c>
    </row>
    <row r="267" spans="19:82">
      <c r="S267">
        <v>0.78369999999999995</v>
      </c>
      <c r="T267">
        <v>0.98633959999999998</v>
      </c>
      <c r="U267">
        <v>0.98633959999999998</v>
      </c>
      <c r="V267">
        <v>1.3999999999999999E-6</v>
      </c>
      <c r="W267">
        <v>1.3999999999999999E-6</v>
      </c>
      <c r="X267">
        <v>1.3658999999999999E-2</v>
      </c>
      <c r="Y267">
        <v>1.3658999999999999E-2</v>
      </c>
      <c r="Z267">
        <v>-92.977000000000004</v>
      </c>
      <c r="AA267">
        <v>-92.977000000000004</v>
      </c>
      <c r="AB267">
        <v>-139.68610000000001</v>
      </c>
      <c r="AC267">
        <v>-139.68610000000001</v>
      </c>
      <c r="AD267">
        <v>0</v>
      </c>
      <c r="AE267">
        <v>0</v>
      </c>
      <c r="AF267">
        <v>0</v>
      </c>
      <c r="AG267">
        <v>180</v>
      </c>
      <c r="AI267">
        <v>0.78369999999999995</v>
      </c>
      <c r="AJ267">
        <v>0.98312710000000003</v>
      </c>
      <c r="AK267">
        <v>0.98312710000000003</v>
      </c>
      <c r="AL267">
        <v>2.2000000000000001E-6</v>
      </c>
      <c r="AM267">
        <v>2.2000000000000001E-6</v>
      </c>
      <c r="AN267">
        <v>1.6870699999999999E-2</v>
      </c>
      <c r="AO267">
        <v>1.6870699999999999E-2</v>
      </c>
      <c r="AP267">
        <v>-81.940700000000007</v>
      </c>
      <c r="AQ267">
        <v>-81.940700000000007</v>
      </c>
      <c r="AR267">
        <v>-119.58240000000001</v>
      </c>
      <c r="AS267">
        <v>-119.58240000000001</v>
      </c>
      <c r="AT267">
        <v>0</v>
      </c>
      <c r="AU267">
        <v>0</v>
      </c>
      <c r="AV267">
        <v>0</v>
      </c>
      <c r="AW267">
        <v>180</v>
      </c>
      <c r="AY267">
        <v>0.78369999999999995</v>
      </c>
      <c r="AZ267">
        <v>4.0172000000000003E-3</v>
      </c>
      <c r="BA267">
        <v>4.0172000000000003E-3</v>
      </c>
      <c r="BB267">
        <v>0.99574439999999997</v>
      </c>
      <c r="BC267">
        <v>0.99574439999999997</v>
      </c>
      <c r="BD267">
        <v>2.3839999999999999E-4</v>
      </c>
      <c r="BE267">
        <v>2.3839999999999999E-4</v>
      </c>
      <c r="BF267">
        <v>67.224400000000003</v>
      </c>
      <c r="BG267">
        <v>67.224400000000003</v>
      </c>
      <c r="BH267">
        <v>170.42869999999999</v>
      </c>
      <c r="BI267">
        <v>170.42869999999999</v>
      </c>
      <c r="BJ267">
        <v>0</v>
      </c>
      <c r="BK267">
        <v>0</v>
      </c>
      <c r="BL267">
        <v>0</v>
      </c>
      <c r="BM267">
        <v>180</v>
      </c>
      <c r="BP267">
        <v>0.78369999999999995</v>
      </c>
      <c r="BQ267">
        <v>0.8683881</v>
      </c>
      <c r="BR267">
        <v>0.8683881</v>
      </c>
      <c r="BS267">
        <v>0</v>
      </c>
      <c r="BT267">
        <v>0</v>
      </c>
      <c r="BU267">
        <v>0.1316119</v>
      </c>
      <c r="BV267">
        <v>0.1316119</v>
      </c>
      <c r="BW267">
        <v>-75.645700000000005</v>
      </c>
      <c r="BX267">
        <v>-75.645700000000005</v>
      </c>
      <c r="BY267">
        <v>164.9864</v>
      </c>
      <c r="BZ267">
        <v>164.9864</v>
      </c>
      <c r="CA267">
        <v>0</v>
      </c>
      <c r="CB267">
        <v>0</v>
      </c>
      <c r="CC267">
        <v>0</v>
      </c>
      <c r="CD267">
        <v>180</v>
      </c>
    </row>
    <row r="268" spans="19:82">
      <c r="S268">
        <v>0.78505000000000003</v>
      </c>
      <c r="T268">
        <v>0.98631060000000004</v>
      </c>
      <c r="U268">
        <v>0.98631060000000004</v>
      </c>
      <c r="V268">
        <v>1.3999999999999999E-6</v>
      </c>
      <c r="W268">
        <v>1.3999999999999999E-6</v>
      </c>
      <c r="X268">
        <v>1.3688000000000001E-2</v>
      </c>
      <c r="Y268">
        <v>1.3688000000000001E-2</v>
      </c>
      <c r="Z268">
        <v>-92.8035</v>
      </c>
      <c r="AA268">
        <v>-92.8035</v>
      </c>
      <c r="AB268">
        <v>-139.38650000000001</v>
      </c>
      <c r="AC268">
        <v>-139.38650000000001</v>
      </c>
      <c r="AD268">
        <v>0</v>
      </c>
      <c r="AE268">
        <v>0</v>
      </c>
      <c r="AF268">
        <v>0</v>
      </c>
      <c r="AG268">
        <v>180</v>
      </c>
      <c r="AI268">
        <v>0.78505000000000003</v>
      </c>
      <c r="AJ268">
        <v>0.98307290000000003</v>
      </c>
      <c r="AK268">
        <v>0.98307290000000003</v>
      </c>
      <c r="AL268">
        <v>2.2000000000000001E-6</v>
      </c>
      <c r="AM268">
        <v>2.2000000000000001E-6</v>
      </c>
      <c r="AN268">
        <v>1.6924999999999999E-2</v>
      </c>
      <c r="AO268">
        <v>1.6924999999999999E-2</v>
      </c>
      <c r="AP268">
        <v>-81.744600000000005</v>
      </c>
      <c r="AQ268">
        <v>-81.744600000000005</v>
      </c>
      <c r="AR268">
        <v>-119.2333</v>
      </c>
      <c r="AS268">
        <v>-119.2333</v>
      </c>
      <c r="AT268">
        <v>0</v>
      </c>
      <c r="AU268">
        <v>0</v>
      </c>
      <c r="AV268">
        <v>0</v>
      </c>
      <c r="AW268">
        <v>180</v>
      </c>
      <c r="AY268">
        <v>0.78505000000000003</v>
      </c>
      <c r="AZ268">
        <v>3.9576000000000004E-3</v>
      </c>
      <c r="BA268">
        <v>3.9576000000000004E-3</v>
      </c>
      <c r="BB268">
        <v>0.99580650000000004</v>
      </c>
      <c r="BC268">
        <v>0.99580650000000004</v>
      </c>
      <c r="BD268">
        <v>2.3589999999999999E-4</v>
      </c>
      <c r="BE268">
        <v>2.3589999999999999E-4</v>
      </c>
      <c r="BF268">
        <v>67.739000000000004</v>
      </c>
      <c r="BG268">
        <v>67.739000000000004</v>
      </c>
      <c r="BH268">
        <v>170.4255</v>
      </c>
      <c r="BI268">
        <v>170.4255</v>
      </c>
      <c r="BJ268">
        <v>0</v>
      </c>
      <c r="BK268">
        <v>0</v>
      </c>
      <c r="BL268">
        <v>0</v>
      </c>
      <c r="BM268">
        <v>180</v>
      </c>
      <c r="BP268">
        <v>0.78505000000000003</v>
      </c>
      <c r="BQ268">
        <v>0.86804539999999997</v>
      </c>
      <c r="BR268">
        <v>0.86804539999999997</v>
      </c>
      <c r="BS268">
        <v>0</v>
      </c>
      <c r="BT268">
        <v>0</v>
      </c>
      <c r="BU268">
        <v>0.13195460000000001</v>
      </c>
      <c r="BV268">
        <v>0.13195460000000001</v>
      </c>
      <c r="BW268">
        <v>-75.808099999999996</v>
      </c>
      <c r="BX268">
        <v>-75.808099999999996</v>
      </c>
      <c r="BY268">
        <v>164.98840000000001</v>
      </c>
      <c r="BZ268">
        <v>164.98840000000001</v>
      </c>
      <c r="CA268">
        <v>0</v>
      </c>
      <c r="CB268">
        <v>0</v>
      </c>
      <c r="CC268">
        <v>0</v>
      </c>
      <c r="CD268">
        <v>180</v>
      </c>
    </row>
    <row r="269" spans="19:82">
      <c r="S269">
        <v>0.78639999999999999</v>
      </c>
      <c r="T269">
        <v>0.98628130000000003</v>
      </c>
      <c r="U269">
        <v>0.98628130000000003</v>
      </c>
      <c r="V269">
        <v>1.3999999999999999E-6</v>
      </c>
      <c r="W269">
        <v>1.3999999999999999E-6</v>
      </c>
      <c r="X269">
        <v>1.37173E-2</v>
      </c>
      <c r="Y269">
        <v>1.37173E-2</v>
      </c>
      <c r="Z269">
        <v>-92.630099999999999</v>
      </c>
      <c r="AA269">
        <v>-92.630099999999999</v>
      </c>
      <c r="AB269">
        <v>-139.08680000000001</v>
      </c>
      <c r="AC269">
        <v>-139.08680000000001</v>
      </c>
      <c r="AD269">
        <v>0</v>
      </c>
      <c r="AE269">
        <v>0</v>
      </c>
      <c r="AF269">
        <v>0</v>
      </c>
      <c r="AG269">
        <v>180</v>
      </c>
      <c r="AI269">
        <v>0.78639999999999999</v>
      </c>
      <c r="AJ269">
        <v>0.98301830000000001</v>
      </c>
      <c r="AK269">
        <v>0.98301830000000001</v>
      </c>
      <c r="AL269">
        <v>2.2000000000000001E-6</v>
      </c>
      <c r="AM269">
        <v>2.2000000000000001E-6</v>
      </c>
      <c r="AN269">
        <v>1.6979500000000002E-2</v>
      </c>
      <c r="AO269">
        <v>1.6979500000000002E-2</v>
      </c>
      <c r="AP269">
        <v>-81.548500000000004</v>
      </c>
      <c r="AQ269">
        <v>-81.548500000000004</v>
      </c>
      <c r="AR269">
        <v>-118.8837</v>
      </c>
      <c r="AS269">
        <v>-118.8837</v>
      </c>
      <c r="AT269">
        <v>0</v>
      </c>
      <c r="AU269">
        <v>0</v>
      </c>
      <c r="AV269">
        <v>0</v>
      </c>
      <c r="AW269">
        <v>180</v>
      </c>
      <c r="AY269">
        <v>0.78639999999999999</v>
      </c>
      <c r="AZ269">
        <v>3.8974999999999999E-3</v>
      </c>
      <c r="BA269">
        <v>3.8974999999999999E-3</v>
      </c>
      <c r="BB269">
        <v>0.99586909999999995</v>
      </c>
      <c r="BC269">
        <v>0.99586909999999995</v>
      </c>
      <c r="BD269">
        <v>2.3340000000000001E-4</v>
      </c>
      <c r="BE269">
        <v>2.3340000000000001E-4</v>
      </c>
      <c r="BF269">
        <v>68.251999999999995</v>
      </c>
      <c r="BG269">
        <v>68.251999999999995</v>
      </c>
      <c r="BH269">
        <v>170.41650000000001</v>
      </c>
      <c r="BI269">
        <v>170.41650000000001</v>
      </c>
      <c r="BJ269">
        <v>0</v>
      </c>
      <c r="BK269">
        <v>0</v>
      </c>
      <c r="BL269">
        <v>0</v>
      </c>
      <c r="BM269">
        <v>180</v>
      </c>
      <c r="BP269">
        <v>0.78639999999999999</v>
      </c>
      <c r="BQ269">
        <v>0.86770290000000005</v>
      </c>
      <c r="BR269">
        <v>0.86770290000000005</v>
      </c>
      <c r="BS269">
        <v>0</v>
      </c>
      <c r="BT269">
        <v>0</v>
      </c>
      <c r="BU269">
        <v>0.1322971</v>
      </c>
      <c r="BV269">
        <v>0.1322971</v>
      </c>
      <c r="BW269">
        <v>-75.97</v>
      </c>
      <c r="BX269">
        <v>-75.97</v>
      </c>
      <c r="BY269">
        <v>164.99029999999999</v>
      </c>
      <c r="BZ269">
        <v>164.99029999999999</v>
      </c>
      <c r="CA269">
        <v>0</v>
      </c>
      <c r="CB269">
        <v>0</v>
      </c>
      <c r="CC269">
        <v>0</v>
      </c>
      <c r="CD269">
        <v>180</v>
      </c>
    </row>
    <row r="270" spans="19:82">
      <c r="S270">
        <v>0.78774999999999995</v>
      </c>
      <c r="T270">
        <v>0.98625169999999995</v>
      </c>
      <c r="U270">
        <v>0.98625169999999995</v>
      </c>
      <c r="V270">
        <v>1.3999999999999999E-6</v>
      </c>
      <c r="W270">
        <v>1.3999999999999999E-6</v>
      </c>
      <c r="X270">
        <v>1.3746899999999999E-2</v>
      </c>
      <c r="Y270">
        <v>1.3746899999999999E-2</v>
      </c>
      <c r="Z270">
        <v>-92.456599999999995</v>
      </c>
      <c r="AA270">
        <v>-92.456599999999995</v>
      </c>
      <c r="AB270">
        <v>-138.7869</v>
      </c>
      <c r="AC270">
        <v>-138.7869</v>
      </c>
      <c r="AD270">
        <v>0</v>
      </c>
      <c r="AE270">
        <v>0</v>
      </c>
      <c r="AF270">
        <v>0</v>
      </c>
      <c r="AG270">
        <v>180</v>
      </c>
      <c r="AI270">
        <v>0.78774999999999995</v>
      </c>
      <c r="AJ270">
        <v>0.98296360000000005</v>
      </c>
      <c r="AK270">
        <v>0.98296360000000005</v>
      </c>
      <c r="AL270">
        <v>2.2000000000000001E-6</v>
      </c>
      <c r="AM270">
        <v>2.2000000000000001E-6</v>
      </c>
      <c r="AN270">
        <v>1.7034299999999999E-2</v>
      </c>
      <c r="AO270">
        <v>1.7034299999999999E-2</v>
      </c>
      <c r="AP270">
        <v>-81.352199999999996</v>
      </c>
      <c r="AQ270">
        <v>-81.352199999999996</v>
      </c>
      <c r="AR270">
        <v>-118.5338</v>
      </c>
      <c r="AS270">
        <v>-118.5338</v>
      </c>
      <c r="AT270">
        <v>0</v>
      </c>
      <c r="AU270">
        <v>0</v>
      </c>
      <c r="AV270">
        <v>0</v>
      </c>
      <c r="AW270">
        <v>180</v>
      </c>
      <c r="AY270">
        <v>0.78774999999999995</v>
      </c>
      <c r="AZ270">
        <v>3.8368999999999999E-3</v>
      </c>
      <c r="BA270">
        <v>3.8368999999999999E-3</v>
      </c>
      <c r="BB270">
        <v>0.99593220000000005</v>
      </c>
      <c r="BC270">
        <v>0.99593220000000005</v>
      </c>
      <c r="BD270">
        <v>2.309E-4</v>
      </c>
      <c r="BE270">
        <v>2.309E-4</v>
      </c>
      <c r="BF270">
        <v>68.763300000000001</v>
      </c>
      <c r="BG270">
        <v>68.763300000000001</v>
      </c>
      <c r="BH270">
        <v>170.4016</v>
      </c>
      <c r="BI270">
        <v>170.4016</v>
      </c>
      <c r="BJ270">
        <v>0</v>
      </c>
      <c r="BK270">
        <v>0</v>
      </c>
      <c r="BL270">
        <v>0</v>
      </c>
      <c r="BM270">
        <v>180</v>
      </c>
      <c r="BP270">
        <v>0.78774999999999995</v>
      </c>
      <c r="BQ270">
        <v>0.86736060000000004</v>
      </c>
      <c r="BR270">
        <v>0.86736060000000004</v>
      </c>
      <c r="BS270">
        <v>0</v>
      </c>
      <c r="BT270">
        <v>0</v>
      </c>
      <c r="BU270">
        <v>0.13263939999999999</v>
      </c>
      <c r="BV270">
        <v>0.13263939999999999</v>
      </c>
      <c r="BW270">
        <v>-76.131500000000003</v>
      </c>
      <c r="BX270">
        <v>-76.131500000000003</v>
      </c>
      <c r="BY270">
        <v>164.9923</v>
      </c>
      <c r="BZ270">
        <v>164.9923</v>
      </c>
      <c r="CA270">
        <v>0</v>
      </c>
      <c r="CB270">
        <v>0</v>
      </c>
      <c r="CC270">
        <v>0</v>
      </c>
      <c r="CD270">
        <v>180</v>
      </c>
    </row>
    <row r="271" spans="19:82">
      <c r="S271">
        <v>0.78910000000000002</v>
      </c>
      <c r="T271">
        <v>0.98622189999999998</v>
      </c>
      <c r="U271">
        <v>0.98622189999999998</v>
      </c>
      <c r="V271">
        <v>1.3999999999999999E-6</v>
      </c>
      <c r="W271">
        <v>1.3999999999999999E-6</v>
      </c>
      <c r="X271">
        <v>1.3776699999999999E-2</v>
      </c>
      <c r="Y271">
        <v>1.3776699999999999E-2</v>
      </c>
      <c r="Z271">
        <v>-92.283199999999994</v>
      </c>
      <c r="AA271">
        <v>-92.283199999999994</v>
      </c>
      <c r="AB271">
        <v>-138.48689999999999</v>
      </c>
      <c r="AC271">
        <v>-138.48689999999999</v>
      </c>
      <c r="AD271">
        <v>0</v>
      </c>
      <c r="AE271">
        <v>0</v>
      </c>
      <c r="AF271">
        <v>0</v>
      </c>
      <c r="AG271">
        <v>180</v>
      </c>
      <c r="AI271">
        <v>0.78910000000000002</v>
      </c>
      <c r="AJ271">
        <v>0.98290849999999996</v>
      </c>
      <c r="AK271">
        <v>0.98290849999999996</v>
      </c>
      <c r="AL271">
        <v>2.0999999999999998E-6</v>
      </c>
      <c r="AM271">
        <v>2.0999999999999998E-6</v>
      </c>
      <c r="AN271">
        <v>1.7089300000000002E-2</v>
      </c>
      <c r="AO271">
        <v>1.7089300000000002E-2</v>
      </c>
      <c r="AP271">
        <v>-81.155799999999999</v>
      </c>
      <c r="AQ271">
        <v>-81.155799999999999</v>
      </c>
      <c r="AR271">
        <v>-118.18340000000001</v>
      </c>
      <c r="AS271">
        <v>-118.18340000000001</v>
      </c>
      <c r="AT271">
        <v>0</v>
      </c>
      <c r="AU271">
        <v>0</v>
      </c>
      <c r="AV271">
        <v>0</v>
      </c>
      <c r="AW271">
        <v>180</v>
      </c>
      <c r="AY271">
        <v>0.78910000000000002</v>
      </c>
      <c r="AZ271">
        <v>3.7758000000000002E-3</v>
      </c>
      <c r="BA271">
        <v>3.7758000000000002E-3</v>
      </c>
      <c r="BB271">
        <v>0.99599570000000004</v>
      </c>
      <c r="BC271">
        <v>0.99599570000000004</v>
      </c>
      <c r="BD271">
        <v>2.285E-4</v>
      </c>
      <c r="BE271">
        <v>2.285E-4</v>
      </c>
      <c r="BF271">
        <v>69.272900000000007</v>
      </c>
      <c r="BG271">
        <v>69.272900000000007</v>
      </c>
      <c r="BH271">
        <v>170.38050000000001</v>
      </c>
      <c r="BI271">
        <v>170.38050000000001</v>
      </c>
      <c r="BJ271">
        <v>0</v>
      </c>
      <c r="BK271">
        <v>0</v>
      </c>
      <c r="BL271">
        <v>0</v>
      </c>
      <c r="BM271">
        <v>180</v>
      </c>
      <c r="BP271">
        <v>0.78910000000000002</v>
      </c>
      <c r="BQ271">
        <v>0.86701839999999997</v>
      </c>
      <c r="BR271">
        <v>0.86701839999999997</v>
      </c>
      <c r="BS271">
        <v>0</v>
      </c>
      <c r="BT271">
        <v>0</v>
      </c>
      <c r="BU271">
        <v>0.1329815</v>
      </c>
      <c r="BV271">
        <v>0.1329815</v>
      </c>
      <c r="BW271">
        <v>-76.292500000000004</v>
      </c>
      <c r="BX271">
        <v>-76.292500000000004</v>
      </c>
      <c r="BY271">
        <v>164.99430000000001</v>
      </c>
      <c r="BZ271">
        <v>164.99430000000001</v>
      </c>
      <c r="CA271">
        <v>0</v>
      </c>
      <c r="CB271">
        <v>0</v>
      </c>
      <c r="CC271">
        <v>0</v>
      </c>
      <c r="CD271">
        <v>180</v>
      </c>
    </row>
    <row r="272" spans="19:82">
      <c r="S272">
        <v>0.79044999999999999</v>
      </c>
      <c r="T272">
        <v>0.98619179999999995</v>
      </c>
      <c r="U272">
        <v>0.98619179999999995</v>
      </c>
      <c r="V272">
        <v>1.3999999999999999E-6</v>
      </c>
      <c r="W272">
        <v>1.3999999999999999E-6</v>
      </c>
      <c r="X272">
        <v>1.3806799999999999E-2</v>
      </c>
      <c r="Y272">
        <v>1.3806799999999999E-2</v>
      </c>
      <c r="Z272">
        <v>-92.109800000000007</v>
      </c>
      <c r="AA272">
        <v>-92.109800000000007</v>
      </c>
      <c r="AB272">
        <v>-138.1867</v>
      </c>
      <c r="AC272">
        <v>-138.1867</v>
      </c>
      <c r="AD272">
        <v>0</v>
      </c>
      <c r="AE272">
        <v>0</v>
      </c>
      <c r="AF272">
        <v>0</v>
      </c>
      <c r="AG272">
        <v>180</v>
      </c>
      <c r="AI272">
        <v>0.79044999999999999</v>
      </c>
      <c r="AJ272">
        <v>0.98285319999999998</v>
      </c>
      <c r="AK272">
        <v>0.98285319999999998</v>
      </c>
      <c r="AL272">
        <v>2.0999999999999998E-6</v>
      </c>
      <c r="AM272">
        <v>2.0999999999999998E-6</v>
      </c>
      <c r="AN272">
        <v>1.7144599999999999E-2</v>
      </c>
      <c r="AO272">
        <v>1.7144599999999999E-2</v>
      </c>
      <c r="AP272">
        <v>-80.959299999999999</v>
      </c>
      <c r="AQ272">
        <v>-80.959299999999999</v>
      </c>
      <c r="AR272">
        <v>-117.8326</v>
      </c>
      <c r="AS272">
        <v>-117.8326</v>
      </c>
      <c r="AT272">
        <v>0</v>
      </c>
      <c r="AU272">
        <v>0</v>
      </c>
      <c r="AV272">
        <v>0</v>
      </c>
      <c r="AW272">
        <v>180</v>
      </c>
      <c r="AY272">
        <v>0.79044999999999999</v>
      </c>
      <c r="AZ272">
        <v>3.7142999999999998E-3</v>
      </c>
      <c r="BA272">
        <v>3.7142999999999998E-3</v>
      </c>
      <c r="BB272">
        <v>0.99605960000000004</v>
      </c>
      <c r="BC272">
        <v>0.99605960000000004</v>
      </c>
      <c r="BD272">
        <v>2.2599999999999999E-4</v>
      </c>
      <c r="BE272">
        <v>2.2599999999999999E-4</v>
      </c>
      <c r="BF272">
        <v>69.780799999999999</v>
      </c>
      <c r="BG272">
        <v>69.780799999999999</v>
      </c>
      <c r="BH272">
        <v>170.3528</v>
      </c>
      <c r="BI272">
        <v>170.3528</v>
      </c>
      <c r="BJ272">
        <v>0</v>
      </c>
      <c r="BK272">
        <v>0</v>
      </c>
      <c r="BL272">
        <v>0</v>
      </c>
      <c r="BM272">
        <v>180</v>
      </c>
      <c r="BP272">
        <v>0.79044999999999999</v>
      </c>
      <c r="BQ272">
        <v>0.86667649999999996</v>
      </c>
      <c r="BR272">
        <v>0.86667649999999996</v>
      </c>
      <c r="BS272">
        <v>0</v>
      </c>
      <c r="BT272">
        <v>0</v>
      </c>
      <c r="BU272">
        <v>0.13332350000000001</v>
      </c>
      <c r="BV272">
        <v>0.13332350000000001</v>
      </c>
      <c r="BW272">
        <v>-76.453100000000006</v>
      </c>
      <c r="BX272">
        <v>-76.453100000000006</v>
      </c>
      <c r="BY272">
        <v>164.99629999999999</v>
      </c>
      <c r="BZ272">
        <v>164.99629999999999</v>
      </c>
      <c r="CA272">
        <v>0</v>
      </c>
      <c r="CB272">
        <v>0</v>
      </c>
      <c r="CC272">
        <v>0</v>
      </c>
      <c r="CD272">
        <v>180</v>
      </c>
    </row>
    <row r="273" spans="19:82">
      <c r="S273">
        <v>0.79179999999999995</v>
      </c>
      <c r="T273">
        <v>0.98616139999999997</v>
      </c>
      <c r="U273">
        <v>0.98616139999999997</v>
      </c>
      <c r="V273">
        <v>1.3999999999999999E-6</v>
      </c>
      <c r="W273">
        <v>1.3999999999999999E-6</v>
      </c>
      <c r="X273">
        <v>1.3837199999999999E-2</v>
      </c>
      <c r="Y273">
        <v>1.3837199999999999E-2</v>
      </c>
      <c r="Z273">
        <v>-91.936499999999995</v>
      </c>
      <c r="AA273">
        <v>-91.936499999999995</v>
      </c>
      <c r="AB273">
        <v>-137.88640000000001</v>
      </c>
      <c r="AC273">
        <v>-137.88640000000001</v>
      </c>
      <c r="AD273">
        <v>0</v>
      </c>
      <c r="AE273">
        <v>0</v>
      </c>
      <c r="AF273">
        <v>0</v>
      </c>
      <c r="AG273">
        <v>180</v>
      </c>
      <c r="AI273">
        <v>0.79179999999999995</v>
      </c>
      <c r="AJ273">
        <v>0.9827977</v>
      </c>
      <c r="AK273">
        <v>0.9827977</v>
      </c>
      <c r="AL273">
        <v>2.0999999999999998E-6</v>
      </c>
      <c r="AM273">
        <v>2.0999999999999998E-6</v>
      </c>
      <c r="AN273">
        <v>1.7200199999999999E-2</v>
      </c>
      <c r="AO273">
        <v>1.7200199999999999E-2</v>
      </c>
      <c r="AP273">
        <v>-80.762600000000006</v>
      </c>
      <c r="AQ273">
        <v>-80.762600000000006</v>
      </c>
      <c r="AR273">
        <v>-117.4813</v>
      </c>
      <c r="AS273">
        <v>-117.4813</v>
      </c>
      <c r="AT273">
        <v>0</v>
      </c>
      <c r="AU273">
        <v>0</v>
      </c>
      <c r="AV273">
        <v>0</v>
      </c>
      <c r="AW273">
        <v>180</v>
      </c>
      <c r="AY273">
        <v>0.79179999999999995</v>
      </c>
      <c r="AZ273">
        <v>3.6524999999999999E-3</v>
      </c>
      <c r="BA273">
        <v>3.6524999999999999E-3</v>
      </c>
      <c r="BB273">
        <v>0.99612389999999995</v>
      </c>
      <c r="BC273">
        <v>0.99612389999999995</v>
      </c>
      <c r="BD273">
        <v>2.2359999999999999E-4</v>
      </c>
      <c r="BE273">
        <v>2.2359999999999999E-4</v>
      </c>
      <c r="BF273">
        <v>70.287099999999995</v>
      </c>
      <c r="BG273">
        <v>70.287099999999995</v>
      </c>
      <c r="BH273">
        <v>170.31809999999999</v>
      </c>
      <c r="BI273">
        <v>170.31809999999999</v>
      </c>
      <c r="BJ273">
        <v>0</v>
      </c>
      <c r="BK273">
        <v>0</v>
      </c>
      <c r="BL273">
        <v>0</v>
      </c>
      <c r="BM273">
        <v>180</v>
      </c>
      <c r="BP273">
        <v>0.79179999999999995</v>
      </c>
      <c r="BQ273">
        <v>0.86633470000000001</v>
      </c>
      <c r="BR273">
        <v>0.86633470000000001</v>
      </c>
      <c r="BS273">
        <v>0</v>
      </c>
      <c r="BT273">
        <v>0</v>
      </c>
      <c r="BU273">
        <v>0.13366529999999999</v>
      </c>
      <c r="BV273">
        <v>0.13366529999999999</v>
      </c>
      <c r="BW273">
        <v>-76.613299999999995</v>
      </c>
      <c r="BX273">
        <v>-76.613299999999995</v>
      </c>
      <c r="BY273">
        <v>164.9984</v>
      </c>
      <c r="BZ273">
        <v>164.9984</v>
      </c>
      <c r="CA273">
        <v>0</v>
      </c>
      <c r="CB273">
        <v>0</v>
      </c>
      <c r="CC273">
        <v>0</v>
      </c>
      <c r="CD273">
        <v>180</v>
      </c>
    </row>
    <row r="274" spans="19:82">
      <c r="S274">
        <v>0.79315000000000002</v>
      </c>
      <c r="T274">
        <v>0.98613070000000003</v>
      </c>
      <c r="U274">
        <v>0.98613070000000003</v>
      </c>
      <c r="V274">
        <v>1.3999999999999999E-6</v>
      </c>
      <c r="W274">
        <v>1.3999999999999999E-6</v>
      </c>
      <c r="X274">
        <v>1.3867900000000001E-2</v>
      </c>
      <c r="Y274">
        <v>1.3867900000000001E-2</v>
      </c>
      <c r="Z274">
        <v>-91.763099999999994</v>
      </c>
      <c r="AA274">
        <v>-91.763099999999994</v>
      </c>
      <c r="AB274">
        <v>-137.58590000000001</v>
      </c>
      <c r="AC274">
        <v>-137.58590000000001</v>
      </c>
      <c r="AD274">
        <v>0</v>
      </c>
      <c r="AE274">
        <v>0</v>
      </c>
      <c r="AF274">
        <v>0</v>
      </c>
      <c r="AG274">
        <v>180</v>
      </c>
      <c r="AI274">
        <v>0.79315000000000002</v>
      </c>
      <c r="AJ274">
        <v>0.98274189999999995</v>
      </c>
      <c r="AK274">
        <v>0.98274189999999995</v>
      </c>
      <c r="AL274">
        <v>2.0999999999999998E-6</v>
      </c>
      <c r="AM274">
        <v>2.0999999999999998E-6</v>
      </c>
      <c r="AN274">
        <v>1.7256000000000001E-2</v>
      </c>
      <c r="AO274">
        <v>1.7256000000000001E-2</v>
      </c>
      <c r="AP274">
        <v>-80.565799999999996</v>
      </c>
      <c r="AQ274">
        <v>-80.565799999999996</v>
      </c>
      <c r="AR274">
        <v>-117.1296</v>
      </c>
      <c r="AS274">
        <v>-117.1296</v>
      </c>
      <c r="AT274">
        <v>0</v>
      </c>
      <c r="AU274">
        <v>0</v>
      </c>
      <c r="AV274">
        <v>0</v>
      </c>
      <c r="AW274">
        <v>180</v>
      </c>
      <c r="AY274">
        <v>0.79315000000000002</v>
      </c>
      <c r="AZ274">
        <v>3.5904000000000001E-3</v>
      </c>
      <c r="BA274">
        <v>3.5904000000000001E-3</v>
      </c>
      <c r="BB274">
        <v>0.99618850000000003</v>
      </c>
      <c r="BC274">
        <v>0.99618850000000003</v>
      </c>
      <c r="BD274">
        <v>2.2110000000000001E-4</v>
      </c>
      <c r="BE274">
        <v>2.2110000000000001E-4</v>
      </c>
      <c r="BF274">
        <v>70.791799999999995</v>
      </c>
      <c r="BG274">
        <v>70.791799999999995</v>
      </c>
      <c r="BH274">
        <v>170.27629999999999</v>
      </c>
      <c r="BI274">
        <v>170.27629999999999</v>
      </c>
      <c r="BJ274">
        <v>0</v>
      </c>
      <c r="BK274">
        <v>0</v>
      </c>
      <c r="BL274">
        <v>0</v>
      </c>
      <c r="BM274">
        <v>180</v>
      </c>
      <c r="BP274">
        <v>0.79315000000000002</v>
      </c>
      <c r="BQ274">
        <v>0.86599309999999996</v>
      </c>
      <c r="BR274">
        <v>0.86599309999999996</v>
      </c>
      <c r="BS274">
        <v>0</v>
      </c>
      <c r="BT274">
        <v>0</v>
      </c>
      <c r="BU274">
        <v>0.13400690000000001</v>
      </c>
      <c r="BV274">
        <v>0.13400690000000001</v>
      </c>
      <c r="BW274">
        <v>-76.772999999999996</v>
      </c>
      <c r="BX274">
        <v>-76.772999999999996</v>
      </c>
      <c r="BY274">
        <v>165.00040000000001</v>
      </c>
      <c r="BZ274">
        <v>165.00040000000001</v>
      </c>
      <c r="CA274">
        <v>0</v>
      </c>
      <c r="CB274">
        <v>0</v>
      </c>
      <c r="CC274">
        <v>0</v>
      </c>
      <c r="CD274">
        <v>180</v>
      </c>
    </row>
    <row r="275" spans="19:82">
      <c r="S275">
        <v>0.79449999999999998</v>
      </c>
      <c r="T275">
        <v>0.98609979999999997</v>
      </c>
      <c r="U275">
        <v>0.98609979999999997</v>
      </c>
      <c r="V275">
        <v>1.3999999999999999E-6</v>
      </c>
      <c r="W275">
        <v>1.3999999999999999E-6</v>
      </c>
      <c r="X275">
        <v>1.3898799999999999E-2</v>
      </c>
      <c r="Y275">
        <v>1.3898799999999999E-2</v>
      </c>
      <c r="Z275">
        <v>-91.589699999999993</v>
      </c>
      <c r="AA275">
        <v>-91.589699999999993</v>
      </c>
      <c r="AB275">
        <v>-137.2852</v>
      </c>
      <c r="AC275">
        <v>-137.2852</v>
      </c>
      <c r="AD275">
        <v>0</v>
      </c>
      <c r="AE275">
        <v>0</v>
      </c>
      <c r="AF275">
        <v>0</v>
      </c>
      <c r="AG275">
        <v>180</v>
      </c>
      <c r="AI275">
        <v>0.79449999999999998</v>
      </c>
      <c r="AJ275">
        <v>0.98268580000000005</v>
      </c>
      <c r="AK275">
        <v>0.98268580000000005</v>
      </c>
      <c r="AL275">
        <v>2.0999999999999998E-6</v>
      </c>
      <c r="AM275">
        <v>2.0999999999999998E-6</v>
      </c>
      <c r="AN275">
        <v>1.73121E-2</v>
      </c>
      <c r="AO275">
        <v>1.73121E-2</v>
      </c>
      <c r="AP275">
        <v>-80.368899999999996</v>
      </c>
      <c r="AQ275">
        <v>-80.368899999999996</v>
      </c>
      <c r="AR275">
        <v>-116.7775</v>
      </c>
      <c r="AS275">
        <v>-116.7775</v>
      </c>
      <c r="AT275">
        <v>0</v>
      </c>
      <c r="AU275">
        <v>0</v>
      </c>
      <c r="AV275">
        <v>0</v>
      </c>
      <c r="AW275">
        <v>180</v>
      </c>
      <c r="AY275">
        <v>0.79449999999999998</v>
      </c>
      <c r="AZ275">
        <v>3.5279999999999999E-3</v>
      </c>
      <c r="BA275">
        <v>3.5279999999999999E-3</v>
      </c>
      <c r="BB275">
        <v>0.99625330000000001</v>
      </c>
      <c r="BC275">
        <v>0.99625330000000001</v>
      </c>
      <c r="BD275">
        <v>2.187E-4</v>
      </c>
      <c r="BE275">
        <v>2.187E-4</v>
      </c>
      <c r="BF275">
        <v>71.294799999999995</v>
      </c>
      <c r="BG275">
        <v>71.294799999999995</v>
      </c>
      <c r="BH275">
        <v>170.2269</v>
      </c>
      <c r="BI275">
        <v>170.2269</v>
      </c>
      <c r="BJ275">
        <v>0</v>
      </c>
      <c r="BK275">
        <v>0</v>
      </c>
      <c r="BL275">
        <v>0</v>
      </c>
      <c r="BM275">
        <v>180</v>
      </c>
      <c r="BP275">
        <v>0.79449999999999998</v>
      </c>
      <c r="BQ275">
        <v>0.86565170000000002</v>
      </c>
      <c r="BR275">
        <v>0.86565170000000002</v>
      </c>
      <c r="BS275">
        <v>0</v>
      </c>
      <c r="BT275">
        <v>0</v>
      </c>
      <c r="BU275">
        <v>0.1343483</v>
      </c>
      <c r="BV275">
        <v>0.1343483</v>
      </c>
      <c r="BW275">
        <v>-76.932299999999998</v>
      </c>
      <c r="BX275">
        <v>-76.932299999999998</v>
      </c>
      <c r="BY275">
        <v>165.0025</v>
      </c>
      <c r="BZ275">
        <v>165.0025</v>
      </c>
      <c r="CA275">
        <v>0</v>
      </c>
      <c r="CB275">
        <v>0</v>
      </c>
      <c r="CC275">
        <v>0</v>
      </c>
      <c r="CD275">
        <v>180</v>
      </c>
    </row>
    <row r="276" spans="19:82">
      <c r="S276">
        <v>0.79584999999999995</v>
      </c>
      <c r="T276">
        <v>0.98606859999999996</v>
      </c>
      <c r="U276">
        <v>0.98606859999999996</v>
      </c>
      <c r="V276">
        <v>1.3999999999999999E-6</v>
      </c>
      <c r="W276">
        <v>1.3999999999999999E-6</v>
      </c>
      <c r="X276">
        <v>1.393E-2</v>
      </c>
      <c r="Y276">
        <v>1.393E-2</v>
      </c>
      <c r="Z276">
        <v>-91.416399999999996</v>
      </c>
      <c r="AA276">
        <v>-91.416399999999996</v>
      </c>
      <c r="AB276">
        <v>-136.98439999999999</v>
      </c>
      <c r="AC276">
        <v>-136.98439999999999</v>
      </c>
      <c r="AD276">
        <v>0</v>
      </c>
      <c r="AE276">
        <v>0</v>
      </c>
      <c r="AF276">
        <v>0</v>
      </c>
      <c r="AG276">
        <v>180</v>
      </c>
      <c r="AI276">
        <v>0.79584999999999995</v>
      </c>
      <c r="AJ276">
        <v>0.98262950000000004</v>
      </c>
      <c r="AK276">
        <v>0.98262950000000004</v>
      </c>
      <c r="AL276">
        <v>2.0999999999999998E-6</v>
      </c>
      <c r="AM276">
        <v>2.0999999999999998E-6</v>
      </c>
      <c r="AN276">
        <v>1.7368399999999999E-2</v>
      </c>
      <c r="AO276">
        <v>1.7368399999999999E-2</v>
      </c>
      <c r="AP276">
        <v>-80.171800000000005</v>
      </c>
      <c r="AQ276">
        <v>-80.171800000000005</v>
      </c>
      <c r="AR276">
        <v>-116.42489999999999</v>
      </c>
      <c r="AS276">
        <v>-116.42489999999999</v>
      </c>
      <c r="AT276">
        <v>0</v>
      </c>
      <c r="AU276">
        <v>0</v>
      </c>
      <c r="AV276">
        <v>0</v>
      </c>
      <c r="AW276">
        <v>180</v>
      </c>
      <c r="AY276">
        <v>0.79584999999999995</v>
      </c>
      <c r="AZ276">
        <v>3.4653000000000002E-3</v>
      </c>
      <c r="BA276">
        <v>3.4653000000000002E-3</v>
      </c>
      <c r="BB276">
        <v>0.99631840000000005</v>
      </c>
      <c r="BC276">
        <v>0.99631840000000005</v>
      </c>
      <c r="BD276">
        <v>2.163E-4</v>
      </c>
      <c r="BE276">
        <v>2.163E-4</v>
      </c>
      <c r="BF276">
        <v>71.796199999999999</v>
      </c>
      <c r="BG276">
        <v>71.796199999999999</v>
      </c>
      <c r="BH276">
        <v>170.1695</v>
      </c>
      <c r="BI276">
        <v>170.1695</v>
      </c>
      <c r="BJ276">
        <v>0</v>
      </c>
      <c r="BK276">
        <v>0</v>
      </c>
      <c r="BL276">
        <v>0</v>
      </c>
      <c r="BM276">
        <v>180</v>
      </c>
      <c r="BP276">
        <v>0.79584999999999995</v>
      </c>
      <c r="BQ276">
        <v>0.86531040000000004</v>
      </c>
      <c r="BR276">
        <v>0.86531040000000004</v>
      </c>
      <c r="BS276">
        <v>0</v>
      </c>
      <c r="BT276">
        <v>0</v>
      </c>
      <c r="BU276">
        <v>0.13468959999999999</v>
      </c>
      <c r="BV276">
        <v>0.13468959999999999</v>
      </c>
      <c r="BW276">
        <v>-77.091200000000001</v>
      </c>
      <c r="BX276">
        <v>-77.091200000000001</v>
      </c>
      <c r="BY276">
        <v>165.00460000000001</v>
      </c>
      <c r="BZ276">
        <v>165.00460000000001</v>
      </c>
      <c r="CA276">
        <v>0</v>
      </c>
      <c r="CB276">
        <v>0</v>
      </c>
      <c r="CC276">
        <v>0</v>
      </c>
      <c r="CD276">
        <v>180</v>
      </c>
    </row>
    <row r="277" spans="19:82">
      <c r="S277">
        <v>0.79720000000000002</v>
      </c>
      <c r="T277">
        <v>0.9860371</v>
      </c>
      <c r="U277">
        <v>0.9860371</v>
      </c>
      <c r="V277">
        <v>1.3999999999999999E-6</v>
      </c>
      <c r="W277">
        <v>1.3999999999999999E-6</v>
      </c>
      <c r="X277">
        <v>1.39615E-2</v>
      </c>
      <c r="Y277">
        <v>1.39615E-2</v>
      </c>
      <c r="Z277">
        <v>-91.243099999999998</v>
      </c>
      <c r="AA277">
        <v>-91.243099999999998</v>
      </c>
      <c r="AB277">
        <v>-136.68340000000001</v>
      </c>
      <c r="AC277">
        <v>-136.68340000000001</v>
      </c>
      <c r="AD277">
        <v>0</v>
      </c>
      <c r="AE277">
        <v>0</v>
      </c>
      <c r="AF277">
        <v>0</v>
      </c>
      <c r="AG277">
        <v>180</v>
      </c>
      <c r="AI277">
        <v>0.79720000000000002</v>
      </c>
      <c r="AJ277">
        <v>0.98257289999999997</v>
      </c>
      <c r="AK277">
        <v>0.98257289999999997</v>
      </c>
      <c r="AL277">
        <v>2.0999999999999998E-6</v>
      </c>
      <c r="AM277">
        <v>2.0999999999999998E-6</v>
      </c>
      <c r="AN277">
        <v>1.7425E-2</v>
      </c>
      <c r="AO277">
        <v>1.7425E-2</v>
      </c>
      <c r="AP277">
        <v>-79.974599999999995</v>
      </c>
      <c r="AQ277">
        <v>-79.974599999999995</v>
      </c>
      <c r="AR277">
        <v>-116.0718</v>
      </c>
      <c r="AS277">
        <v>-116.0718</v>
      </c>
      <c r="AT277">
        <v>0</v>
      </c>
      <c r="AU277">
        <v>0</v>
      </c>
      <c r="AV277">
        <v>0</v>
      </c>
      <c r="AW277">
        <v>180</v>
      </c>
      <c r="AY277">
        <v>0.79720000000000002</v>
      </c>
      <c r="AZ277">
        <v>3.4025000000000001E-3</v>
      </c>
      <c r="BA277">
        <v>3.4025000000000001E-3</v>
      </c>
      <c r="BB277">
        <v>0.99638369999999998</v>
      </c>
      <c r="BC277">
        <v>0.99638369999999998</v>
      </c>
      <c r="BD277">
        <v>2.139E-4</v>
      </c>
      <c r="BE277">
        <v>2.139E-4</v>
      </c>
      <c r="BF277">
        <v>72.296000000000006</v>
      </c>
      <c r="BG277">
        <v>72.296000000000006</v>
      </c>
      <c r="BH277">
        <v>170.10390000000001</v>
      </c>
      <c r="BI277">
        <v>170.10390000000001</v>
      </c>
      <c r="BJ277">
        <v>0</v>
      </c>
      <c r="BK277">
        <v>0</v>
      </c>
      <c r="BL277">
        <v>0</v>
      </c>
      <c r="BM277">
        <v>180</v>
      </c>
      <c r="BP277">
        <v>0.79720000000000002</v>
      </c>
      <c r="BQ277">
        <v>0.86496930000000005</v>
      </c>
      <c r="BR277">
        <v>0.86496930000000005</v>
      </c>
      <c r="BS277">
        <v>0</v>
      </c>
      <c r="BT277">
        <v>0</v>
      </c>
      <c r="BU277">
        <v>0.1350306</v>
      </c>
      <c r="BV277">
        <v>0.1350306</v>
      </c>
      <c r="BW277">
        <v>-77.249700000000004</v>
      </c>
      <c r="BX277">
        <v>-77.249700000000004</v>
      </c>
      <c r="BY277">
        <v>165.0067</v>
      </c>
      <c r="BZ277">
        <v>165.0067</v>
      </c>
      <c r="CA277">
        <v>0</v>
      </c>
      <c r="CB277">
        <v>0</v>
      </c>
      <c r="CC277">
        <v>0</v>
      </c>
      <c r="CD277">
        <v>180</v>
      </c>
    </row>
    <row r="278" spans="19:82">
      <c r="S278">
        <v>0.79854999999999998</v>
      </c>
      <c r="T278">
        <v>0.98600540000000003</v>
      </c>
      <c r="U278">
        <v>0.98600540000000003</v>
      </c>
      <c r="V278">
        <v>1.3999999999999999E-6</v>
      </c>
      <c r="W278">
        <v>1.3999999999999999E-6</v>
      </c>
      <c r="X278">
        <v>1.39933E-2</v>
      </c>
      <c r="Y278">
        <v>1.39933E-2</v>
      </c>
      <c r="Z278">
        <v>-91.069699999999997</v>
      </c>
      <c r="AA278">
        <v>-91.069699999999997</v>
      </c>
      <c r="AB278">
        <v>-136.38220000000001</v>
      </c>
      <c r="AC278">
        <v>-136.38220000000001</v>
      </c>
      <c r="AD278">
        <v>0</v>
      </c>
      <c r="AE278">
        <v>0</v>
      </c>
      <c r="AF278">
        <v>0</v>
      </c>
      <c r="AG278">
        <v>180</v>
      </c>
      <c r="AI278">
        <v>0.79854999999999998</v>
      </c>
      <c r="AJ278">
        <v>0.9825161</v>
      </c>
      <c r="AK278">
        <v>0.9825161</v>
      </c>
      <c r="AL278">
        <v>2.0999999999999998E-6</v>
      </c>
      <c r="AM278">
        <v>2.0999999999999998E-6</v>
      </c>
      <c r="AN278">
        <v>1.7481799999999999E-2</v>
      </c>
      <c r="AO278">
        <v>1.7481799999999999E-2</v>
      </c>
      <c r="AP278">
        <v>-79.777299999999997</v>
      </c>
      <c r="AQ278">
        <v>-79.777299999999997</v>
      </c>
      <c r="AR278">
        <v>-115.7183</v>
      </c>
      <c r="AS278">
        <v>-115.7183</v>
      </c>
      <c r="AT278">
        <v>0</v>
      </c>
      <c r="AU278">
        <v>0</v>
      </c>
      <c r="AV278">
        <v>0</v>
      </c>
      <c r="AW278">
        <v>180</v>
      </c>
      <c r="AY278">
        <v>0.79854999999999998</v>
      </c>
      <c r="AZ278">
        <v>3.3394000000000002E-3</v>
      </c>
      <c r="BA278">
        <v>3.3394000000000002E-3</v>
      </c>
      <c r="BB278">
        <v>0.99644909999999998</v>
      </c>
      <c r="BC278">
        <v>0.99644909999999998</v>
      </c>
      <c r="BD278">
        <v>2.1149999999999999E-4</v>
      </c>
      <c r="BE278">
        <v>2.1149999999999999E-4</v>
      </c>
      <c r="BF278">
        <v>72.794200000000004</v>
      </c>
      <c r="BG278">
        <v>72.794200000000004</v>
      </c>
      <c r="BH278">
        <v>170.02959999999999</v>
      </c>
      <c r="BI278">
        <v>170.02959999999999</v>
      </c>
      <c r="BJ278">
        <v>0</v>
      </c>
      <c r="BK278">
        <v>0</v>
      </c>
      <c r="BL278">
        <v>0</v>
      </c>
      <c r="BM278">
        <v>180</v>
      </c>
      <c r="BP278">
        <v>0.79854999999999998</v>
      </c>
      <c r="BQ278">
        <v>0.86462850000000002</v>
      </c>
      <c r="BR278">
        <v>0.86462850000000002</v>
      </c>
      <c r="BS278">
        <v>0</v>
      </c>
      <c r="BT278">
        <v>0</v>
      </c>
      <c r="BU278">
        <v>0.13537150000000001</v>
      </c>
      <c r="BV278">
        <v>0.13537150000000001</v>
      </c>
      <c r="BW278">
        <v>-77.407700000000006</v>
      </c>
      <c r="BX278">
        <v>-77.407700000000006</v>
      </c>
      <c r="BY278">
        <v>165.00880000000001</v>
      </c>
      <c r="BZ278">
        <v>165.00880000000001</v>
      </c>
      <c r="CA278">
        <v>0</v>
      </c>
      <c r="CB278">
        <v>0</v>
      </c>
      <c r="CC278">
        <v>0</v>
      </c>
      <c r="CD278">
        <v>180</v>
      </c>
    </row>
    <row r="279" spans="19:82">
      <c r="S279">
        <v>0.79990000000000006</v>
      </c>
      <c r="T279">
        <v>0.9859734</v>
      </c>
      <c r="U279">
        <v>0.9859734</v>
      </c>
      <c r="V279">
        <v>1.3E-6</v>
      </c>
      <c r="W279">
        <v>1.3E-6</v>
      </c>
      <c r="X279">
        <v>1.4025299999999999E-2</v>
      </c>
      <c r="Y279">
        <v>1.4025299999999999E-2</v>
      </c>
      <c r="Z279">
        <v>-90.8964</v>
      </c>
      <c r="AA279">
        <v>-90.8964</v>
      </c>
      <c r="AB279">
        <v>-136.08090000000001</v>
      </c>
      <c r="AC279">
        <v>-136.08090000000001</v>
      </c>
      <c r="AD279">
        <v>0</v>
      </c>
      <c r="AE279">
        <v>0</v>
      </c>
      <c r="AF279">
        <v>0</v>
      </c>
      <c r="AG279">
        <v>180</v>
      </c>
      <c r="AI279">
        <v>0.79990000000000006</v>
      </c>
      <c r="AJ279">
        <v>0.98245910000000003</v>
      </c>
      <c r="AK279">
        <v>0.98245910000000003</v>
      </c>
      <c r="AL279">
        <v>2.0999999999999998E-6</v>
      </c>
      <c r="AM279">
        <v>2.0999999999999998E-6</v>
      </c>
      <c r="AN279">
        <v>1.75388E-2</v>
      </c>
      <c r="AO279">
        <v>1.75388E-2</v>
      </c>
      <c r="AP279">
        <v>-79.579800000000006</v>
      </c>
      <c r="AQ279">
        <v>-79.579800000000006</v>
      </c>
      <c r="AR279">
        <v>-115.3644</v>
      </c>
      <c r="AS279">
        <v>-115.3644</v>
      </c>
      <c r="AT279">
        <v>0</v>
      </c>
      <c r="AU279">
        <v>0</v>
      </c>
      <c r="AV279">
        <v>0</v>
      </c>
      <c r="AW279">
        <v>180</v>
      </c>
      <c r="AY279">
        <v>0.79990000000000006</v>
      </c>
      <c r="AZ279">
        <v>3.2762999999999998E-3</v>
      </c>
      <c r="BA279">
        <v>3.2762999999999998E-3</v>
      </c>
      <c r="BB279">
        <v>0.99651460000000003</v>
      </c>
      <c r="BC279">
        <v>0.99651460000000003</v>
      </c>
      <c r="BD279">
        <v>2.0909999999999999E-4</v>
      </c>
      <c r="BE279">
        <v>2.0909999999999999E-4</v>
      </c>
      <c r="BF279">
        <v>73.290700000000001</v>
      </c>
      <c r="BG279">
        <v>73.290700000000001</v>
      </c>
      <c r="BH279">
        <v>169.9461</v>
      </c>
      <c r="BI279">
        <v>169.9461</v>
      </c>
      <c r="BJ279">
        <v>0</v>
      </c>
      <c r="BK279">
        <v>0</v>
      </c>
      <c r="BL279">
        <v>0</v>
      </c>
      <c r="BM279">
        <v>180</v>
      </c>
      <c r="BP279">
        <v>0.79990000000000006</v>
      </c>
      <c r="BQ279">
        <v>0.86428780000000005</v>
      </c>
      <c r="BR279">
        <v>0.86428780000000005</v>
      </c>
      <c r="BS279">
        <v>0</v>
      </c>
      <c r="BT279">
        <v>0</v>
      </c>
      <c r="BU279">
        <v>0.13571220000000001</v>
      </c>
      <c r="BV279">
        <v>0.13571220000000001</v>
      </c>
      <c r="BW279">
        <v>-77.565299999999993</v>
      </c>
      <c r="BX279">
        <v>-77.565299999999993</v>
      </c>
      <c r="BY279">
        <v>165.01089999999999</v>
      </c>
      <c r="BZ279">
        <v>165.01089999999999</v>
      </c>
      <c r="CA279">
        <v>0</v>
      </c>
      <c r="CB279">
        <v>0</v>
      </c>
      <c r="CC279">
        <v>0</v>
      </c>
      <c r="CD279">
        <v>180</v>
      </c>
    </row>
    <row r="280" spans="19:82">
      <c r="S280">
        <v>0.80125000000000002</v>
      </c>
      <c r="T280">
        <v>0.98594110000000001</v>
      </c>
      <c r="U280">
        <v>0.98594110000000001</v>
      </c>
      <c r="V280">
        <v>1.3E-6</v>
      </c>
      <c r="W280">
        <v>1.3E-6</v>
      </c>
      <c r="X280">
        <v>1.40576E-2</v>
      </c>
      <c r="Y280">
        <v>1.40576E-2</v>
      </c>
      <c r="Z280">
        <v>-90.723100000000002</v>
      </c>
      <c r="AA280">
        <v>-90.723100000000002</v>
      </c>
      <c r="AB280">
        <v>-135.77950000000001</v>
      </c>
      <c r="AC280">
        <v>-135.77950000000001</v>
      </c>
      <c r="AD280">
        <v>0</v>
      </c>
      <c r="AE280">
        <v>0</v>
      </c>
      <c r="AF280">
        <v>0</v>
      </c>
      <c r="AG280">
        <v>180</v>
      </c>
      <c r="AI280">
        <v>0.80125000000000002</v>
      </c>
      <c r="AJ280">
        <v>0.98240170000000004</v>
      </c>
      <c r="AK280">
        <v>0.98240170000000004</v>
      </c>
      <c r="AL280">
        <v>2.0999999999999998E-6</v>
      </c>
      <c r="AM280">
        <v>2.0999999999999998E-6</v>
      </c>
      <c r="AN280">
        <v>1.7596199999999999E-2</v>
      </c>
      <c r="AO280">
        <v>1.7596199999999999E-2</v>
      </c>
      <c r="AP280">
        <v>-79.382199999999997</v>
      </c>
      <c r="AQ280">
        <v>-79.382199999999997</v>
      </c>
      <c r="AR280">
        <v>-115.01</v>
      </c>
      <c r="AS280">
        <v>-115.01</v>
      </c>
      <c r="AT280">
        <v>0</v>
      </c>
      <c r="AU280">
        <v>0</v>
      </c>
      <c r="AV280">
        <v>0</v>
      </c>
      <c r="AW280">
        <v>180</v>
      </c>
      <c r="AY280">
        <v>0.80125000000000002</v>
      </c>
      <c r="AZ280">
        <v>3.2133000000000001E-3</v>
      </c>
      <c r="BA280">
        <v>3.2133000000000001E-3</v>
      </c>
      <c r="BB280">
        <v>0.99657839999999998</v>
      </c>
      <c r="BC280">
        <v>0.99657839999999998</v>
      </c>
      <c r="BD280">
        <v>2.0829999999999999E-4</v>
      </c>
      <c r="BE280">
        <v>2.0829999999999999E-4</v>
      </c>
      <c r="BF280">
        <v>73.785399999999996</v>
      </c>
      <c r="BG280">
        <v>73.785399999999996</v>
      </c>
      <c r="BH280">
        <v>169.85400000000001</v>
      </c>
      <c r="BI280">
        <v>169.85400000000001</v>
      </c>
      <c r="BJ280">
        <v>0</v>
      </c>
      <c r="BK280">
        <v>0</v>
      </c>
      <c r="BL280">
        <v>0</v>
      </c>
      <c r="BM280">
        <v>180</v>
      </c>
      <c r="BP280">
        <v>0.80125000000000002</v>
      </c>
      <c r="BQ280">
        <v>0.86422189999999999</v>
      </c>
      <c r="BR280">
        <v>0.86422189999999999</v>
      </c>
      <c r="BS280">
        <v>0</v>
      </c>
      <c r="BT280">
        <v>0</v>
      </c>
      <c r="BU280">
        <v>0.13577810000000001</v>
      </c>
      <c r="BV280">
        <v>0.13577810000000001</v>
      </c>
      <c r="BW280">
        <v>-77.522199999999998</v>
      </c>
      <c r="BX280">
        <v>-77.522199999999998</v>
      </c>
      <c r="BY280">
        <v>165.018</v>
      </c>
      <c r="BZ280">
        <v>165.018</v>
      </c>
      <c r="CA280">
        <v>0</v>
      </c>
      <c r="CB280">
        <v>0</v>
      </c>
      <c r="CC280">
        <v>0</v>
      </c>
      <c r="CD280">
        <v>180</v>
      </c>
    </row>
    <row r="281" spans="19:82">
      <c r="S281">
        <v>0.80259999999999998</v>
      </c>
      <c r="T281">
        <v>0.98590849999999997</v>
      </c>
      <c r="U281">
        <v>0.98590849999999997</v>
      </c>
      <c r="V281">
        <v>1.3E-6</v>
      </c>
      <c r="W281">
        <v>1.3E-6</v>
      </c>
      <c r="X281">
        <v>1.4090099999999999E-2</v>
      </c>
      <c r="Y281">
        <v>1.4090099999999999E-2</v>
      </c>
      <c r="Z281">
        <v>-90.549800000000005</v>
      </c>
      <c r="AA281">
        <v>-90.549800000000005</v>
      </c>
      <c r="AB281">
        <v>-135.47790000000001</v>
      </c>
      <c r="AC281">
        <v>-135.47790000000001</v>
      </c>
      <c r="AD281">
        <v>0</v>
      </c>
      <c r="AE281">
        <v>0</v>
      </c>
      <c r="AF281">
        <v>0</v>
      </c>
      <c r="AG281">
        <v>180</v>
      </c>
      <c r="AI281">
        <v>0.80259999999999998</v>
      </c>
      <c r="AJ281">
        <v>0.9823442</v>
      </c>
      <c r="AK281">
        <v>0.9823442</v>
      </c>
      <c r="AL281">
        <v>2.0999999999999998E-6</v>
      </c>
      <c r="AM281">
        <v>2.0999999999999998E-6</v>
      </c>
      <c r="AN281">
        <v>1.7653700000000001E-2</v>
      </c>
      <c r="AO281">
        <v>1.7653700000000001E-2</v>
      </c>
      <c r="AP281">
        <v>-79.184399999999997</v>
      </c>
      <c r="AQ281">
        <v>-79.184399999999997</v>
      </c>
      <c r="AR281">
        <v>-114.6551</v>
      </c>
      <c r="AS281">
        <v>-114.6551</v>
      </c>
      <c r="AT281">
        <v>0</v>
      </c>
      <c r="AU281">
        <v>0</v>
      </c>
      <c r="AV281">
        <v>0</v>
      </c>
      <c r="AW281">
        <v>180</v>
      </c>
      <c r="AY281">
        <v>0.80259999999999998</v>
      </c>
      <c r="AZ281">
        <v>3.1503E-3</v>
      </c>
      <c r="BA281">
        <v>3.1503E-3</v>
      </c>
      <c r="BB281">
        <v>0.99664200000000003</v>
      </c>
      <c r="BC281">
        <v>0.99664200000000003</v>
      </c>
      <c r="BD281">
        <v>2.0770000000000001E-4</v>
      </c>
      <c r="BE281">
        <v>2.0770000000000001E-4</v>
      </c>
      <c r="BF281">
        <v>74.278599999999997</v>
      </c>
      <c r="BG281">
        <v>74.278599999999997</v>
      </c>
      <c r="BH281">
        <v>169.75200000000001</v>
      </c>
      <c r="BI281">
        <v>169.75200000000001</v>
      </c>
      <c r="BJ281">
        <v>0</v>
      </c>
      <c r="BK281">
        <v>0</v>
      </c>
      <c r="BL281">
        <v>0</v>
      </c>
      <c r="BM281">
        <v>180</v>
      </c>
      <c r="BP281">
        <v>0.80259999999999998</v>
      </c>
      <c r="BQ281">
        <v>0.86417809999999995</v>
      </c>
      <c r="BR281">
        <v>0.86417809999999995</v>
      </c>
      <c r="BS281">
        <v>0</v>
      </c>
      <c r="BT281">
        <v>0</v>
      </c>
      <c r="BU281">
        <v>0.1358219</v>
      </c>
      <c r="BV281">
        <v>0.1358219</v>
      </c>
      <c r="BW281">
        <v>-77.463300000000004</v>
      </c>
      <c r="BX281">
        <v>-77.463300000000004</v>
      </c>
      <c r="BY281">
        <v>165.02549999999999</v>
      </c>
      <c r="BZ281">
        <v>165.02549999999999</v>
      </c>
      <c r="CA281">
        <v>0</v>
      </c>
      <c r="CB281">
        <v>0</v>
      </c>
      <c r="CC281">
        <v>0</v>
      </c>
      <c r="CD281">
        <v>180</v>
      </c>
    </row>
    <row r="282" spans="19:82">
      <c r="S282">
        <v>0.80395000000000005</v>
      </c>
      <c r="T282">
        <v>0.98587570000000002</v>
      </c>
      <c r="U282">
        <v>0.98587570000000002</v>
      </c>
      <c r="V282">
        <v>1.3E-6</v>
      </c>
      <c r="W282">
        <v>1.3E-6</v>
      </c>
      <c r="X282">
        <v>1.4123E-2</v>
      </c>
      <c r="Y282">
        <v>1.4123E-2</v>
      </c>
      <c r="Z282">
        <v>-90.376499999999993</v>
      </c>
      <c r="AA282">
        <v>-90.376499999999993</v>
      </c>
      <c r="AB282">
        <v>-135.17609999999999</v>
      </c>
      <c r="AC282">
        <v>-135.17609999999999</v>
      </c>
      <c r="AD282">
        <v>0</v>
      </c>
      <c r="AE282">
        <v>0</v>
      </c>
      <c r="AF282">
        <v>0</v>
      </c>
      <c r="AG282">
        <v>180</v>
      </c>
      <c r="AI282">
        <v>0.80395000000000005</v>
      </c>
      <c r="AJ282">
        <v>0.9822864</v>
      </c>
      <c r="AK282">
        <v>0.9822864</v>
      </c>
      <c r="AL282">
        <v>2.0999999999999998E-6</v>
      </c>
      <c r="AM282">
        <v>2.0999999999999998E-6</v>
      </c>
      <c r="AN282">
        <v>1.7711500000000002E-2</v>
      </c>
      <c r="AO282">
        <v>1.7711500000000002E-2</v>
      </c>
      <c r="AP282">
        <v>-78.986500000000007</v>
      </c>
      <c r="AQ282">
        <v>-78.986500000000007</v>
      </c>
      <c r="AR282">
        <v>-114.2998</v>
      </c>
      <c r="AS282">
        <v>-114.2998</v>
      </c>
      <c r="AT282">
        <v>0</v>
      </c>
      <c r="AU282">
        <v>0</v>
      </c>
      <c r="AV282">
        <v>0</v>
      </c>
      <c r="AW282">
        <v>180</v>
      </c>
      <c r="AY282">
        <v>0.80395000000000005</v>
      </c>
      <c r="AZ282">
        <v>3.0872999999999999E-3</v>
      </c>
      <c r="BA282">
        <v>3.0872999999999999E-3</v>
      </c>
      <c r="BB282">
        <v>0.99670559999999997</v>
      </c>
      <c r="BC282">
        <v>0.99670559999999997</v>
      </c>
      <c r="BD282">
        <v>2.0709999999999999E-4</v>
      </c>
      <c r="BE282">
        <v>2.0709999999999999E-4</v>
      </c>
      <c r="BF282">
        <v>74.770099999999999</v>
      </c>
      <c r="BG282">
        <v>74.770099999999999</v>
      </c>
      <c r="BH282">
        <v>169.6396</v>
      </c>
      <c r="BI282">
        <v>169.6396</v>
      </c>
      <c r="BJ282">
        <v>0</v>
      </c>
      <c r="BK282">
        <v>0</v>
      </c>
      <c r="BL282">
        <v>0</v>
      </c>
      <c r="BM282">
        <v>180</v>
      </c>
      <c r="BP282">
        <v>0.80395000000000005</v>
      </c>
      <c r="BQ282">
        <v>0.86413439999999997</v>
      </c>
      <c r="BR282">
        <v>0.86413439999999997</v>
      </c>
      <c r="BS282">
        <v>0</v>
      </c>
      <c r="BT282">
        <v>0</v>
      </c>
      <c r="BU282">
        <v>0.1358656</v>
      </c>
      <c r="BV282">
        <v>0.1358656</v>
      </c>
      <c r="BW282">
        <v>-77.404600000000002</v>
      </c>
      <c r="BX282">
        <v>-77.404600000000002</v>
      </c>
      <c r="BY282">
        <v>165.03299999999999</v>
      </c>
      <c r="BZ282">
        <v>165.03299999999999</v>
      </c>
      <c r="CA282">
        <v>0</v>
      </c>
      <c r="CB282">
        <v>0</v>
      </c>
      <c r="CC282">
        <v>0</v>
      </c>
      <c r="CD282">
        <v>180</v>
      </c>
    </row>
    <row r="283" spans="19:82">
      <c r="S283">
        <v>0.80530000000000002</v>
      </c>
      <c r="T283">
        <v>0.98584260000000001</v>
      </c>
      <c r="U283">
        <v>0.98584260000000001</v>
      </c>
      <c r="V283">
        <v>1.3E-6</v>
      </c>
      <c r="W283">
        <v>1.3E-6</v>
      </c>
      <c r="X283">
        <v>1.4156E-2</v>
      </c>
      <c r="Y283">
        <v>1.4156E-2</v>
      </c>
      <c r="Z283">
        <v>-90.203199999999995</v>
      </c>
      <c r="AA283">
        <v>-90.203199999999995</v>
      </c>
      <c r="AB283">
        <v>-134.8741</v>
      </c>
      <c r="AC283">
        <v>-134.8741</v>
      </c>
      <c r="AD283">
        <v>0</v>
      </c>
      <c r="AE283">
        <v>0</v>
      </c>
      <c r="AF283">
        <v>0</v>
      </c>
      <c r="AG283">
        <v>180</v>
      </c>
      <c r="AI283">
        <v>0.80530000000000002</v>
      </c>
      <c r="AJ283">
        <v>0.9822284</v>
      </c>
      <c r="AK283">
        <v>0.9822284</v>
      </c>
      <c r="AL283">
        <v>2.0999999999999998E-6</v>
      </c>
      <c r="AM283">
        <v>2.0999999999999998E-6</v>
      </c>
      <c r="AN283">
        <v>1.7769500000000001E-2</v>
      </c>
      <c r="AO283">
        <v>1.7769500000000001E-2</v>
      </c>
      <c r="AP283">
        <v>-78.788399999999996</v>
      </c>
      <c r="AQ283">
        <v>-78.788399999999996</v>
      </c>
      <c r="AR283">
        <v>-113.944</v>
      </c>
      <c r="AS283">
        <v>-113.944</v>
      </c>
      <c r="AT283">
        <v>0</v>
      </c>
      <c r="AU283">
        <v>0</v>
      </c>
      <c r="AV283">
        <v>0</v>
      </c>
      <c r="AW283">
        <v>180</v>
      </c>
      <c r="AY283">
        <v>0.80530000000000002</v>
      </c>
      <c r="AZ283">
        <v>3.0244E-3</v>
      </c>
      <c r="BA283">
        <v>3.0244E-3</v>
      </c>
      <c r="BB283">
        <v>0.99676909999999996</v>
      </c>
      <c r="BC283">
        <v>0.99676909999999996</v>
      </c>
      <c r="BD283">
        <v>2.065E-4</v>
      </c>
      <c r="BE283">
        <v>2.065E-4</v>
      </c>
      <c r="BF283">
        <v>75.260099999999994</v>
      </c>
      <c r="BG283">
        <v>75.260099999999994</v>
      </c>
      <c r="BH283">
        <v>169.51650000000001</v>
      </c>
      <c r="BI283">
        <v>169.51650000000001</v>
      </c>
      <c r="BJ283">
        <v>0</v>
      </c>
      <c r="BK283">
        <v>0</v>
      </c>
      <c r="BL283">
        <v>0</v>
      </c>
      <c r="BM283">
        <v>180</v>
      </c>
      <c r="BP283">
        <v>0.80530000000000002</v>
      </c>
      <c r="BQ283">
        <v>0.8640909</v>
      </c>
      <c r="BR283">
        <v>0.8640909</v>
      </c>
      <c r="BS283">
        <v>0</v>
      </c>
      <c r="BT283">
        <v>0</v>
      </c>
      <c r="BU283">
        <v>0.1359091</v>
      </c>
      <c r="BV283">
        <v>0.1359091</v>
      </c>
      <c r="BW283">
        <v>-77.346100000000007</v>
      </c>
      <c r="BX283">
        <v>-77.346100000000007</v>
      </c>
      <c r="BY283">
        <v>165.04040000000001</v>
      </c>
      <c r="BZ283">
        <v>165.04040000000001</v>
      </c>
      <c r="CA283">
        <v>0</v>
      </c>
      <c r="CB283">
        <v>0</v>
      </c>
      <c r="CC283">
        <v>0</v>
      </c>
      <c r="CD283">
        <v>180</v>
      </c>
    </row>
    <row r="284" spans="19:82">
      <c r="S284">
        <v>0.80664999999999998</v>
      </c>
      <c r="T284">
        <v>0.9858093</v>
      </c>
      <c r="U284">
        <v>0.9858093</v>
      </c>
      <c r="V284">
        <v>1.3E-6</v>
      </c>
      <c r="W284">
        <v>1.3E-6</v>
      </c>
      <c r="X284">
        <v>1.41894E-2</v>
      </c>
      <c r="Y284">
        <v>1.41894E-2</v>
      </c>
      <c r="Z284">
        <v>-90.029899999999998</v>
      </c>
      <c r="AA284">
        <v>-90.029899999999998</v>
      </c>
      <c r="AB284">
        <v>-134.5719</v>
      </c>
      <c r="AC284">
        <v>-134.5719</v>
      </c>
      <c r="AD284">
        <v>0</v>
      </c>
      <c r="AE284">
        <v>0</v>
      </c>
      <c r="AF284">
        <v>0</v>
      </c>
      <c r="AG284">
        <v>180</v>
      </c>
      <c r="AI284">
        <v>0.80664999999999998</v>
      </c>
      <c r="AJ284">
        <v>0.98217010000000005</v>
      </c>
      <c r="AK284">
        <v>0.98217010000000005</v>
      </c>
      <c r="AL284">
        <v>2.0999999999999998E-6</v>
      </c>
      <c r="AM284">
        <v>2.0999999999999998E-6</v>
      </c>
      <c r="AN284">
        <v>1.7827800000000001E-2</v>
      </c>
      <c r="AO284">
        <v>1.7827800000000001E-2</v>
      </c>
      <c r="AP284">
        <v>-78.590199999999996</v>
      </c>
      <c r="AQ284">
        <v>-78.590199999999996</v>
      </c>
      <c r="AR284">
        <v>-113.5878</v>
      </c>
      <c r="AS284">
        <v>-113.5878</v>
      </c>
      <c r="AT284">
        <v>0</v>
      </c>
      <c r="AU284">
        <v>0</v>
      </c>
      <c r="AV284">
        <v>0</v>
      </c>
      <c r="AW284">
        <v>180</v>
      </c>
      <c r="AY284">
        <v>0.80664999999999998</v>
      </c>
      <c r="AZ284">
        <v>2.9615000000000002E-3</v>
      </c>
      <c r="BA284">
        <v>2.9615000000000002E-3</v>
      </c>
      <c r="BB284">
        <v>0.99683259999999996</v>
      </c>
      <c r="BC284">
        <v>0.99683259999999996</v>
      </c>
      <c r="BD284">
        <v>2.0589999999999999E-4</v>
      </c>
      <c r="BE284">
        <v>2.0589999999999999E-4</v>
      </c>
      <c r="BF284">
        <v>75.748500000000007</v>
      </c>
      <c r="BG284">
        <v>75.748500000000007</v>
      </c>
      <c r="BH284">
        <v>169.38200000000001</v>
      </c>
      <c r="BI284">
        <v>169.38200000000001</v>
      </c>
      <c r="BJ284">
        <v>0</v>
      </c>
      <c r="BK284">
        <v>0</v>
      </c>
      <c r="BL284">
        <v>0</v>
      </c>
      <c r="BM284">
        <v>180</v>
      </c>
      <c r="BP284">
        <v>0.80664999999999998</v>
      </c>
      <c r="BQ284">
        <v>0.86404749999999997</v>
      </c>
      <c r="BR284">
        <v>0.86404749999999997</v>
      </c>
      <c r="BS284">
        <v>0</v>
      </c>
      <c r="BT284">
        <v>0</v>
      </c>
      <c r="BU284">
        <v>0.1359525</v>
      </c>
      <c r="BV284">
        <v>0.1359525</v>
      </c>
      <c r="BW284">
        <v>-77.287800000000004</v>
      </c>
      <c r="BX284">
        <v>-77.287800000000004</v>
      </c>
      <c r="BY284">
        <v>165.0479</v>
      </c>
      <c r="BZ284">
        <v>165.0479</v>
      </c>
      <c r="CA284">
        <v>0</v>
      </c>
      <c r="CB284">
        <v>0</v>
      </c>
      <c r="CC284">
        <v>0</v>
      </c>
      <c r="CD284">
        <v>180</v>
      </c>
    </row>
    <row r="285" spans="19:82">
      <c r="S285">
        <v>0.80800000000000005</v>
      </c>
      <c r="T285">
        <v>0.98577570000000003</v>
      </c>
      <c r="U285">
        <v>0.98577570000000003</v>
      </c>
      <c r="V285">
        <v>1.3E-6</v>
      </c>
      <c r="W285">
        <v>1.3E-6</v>
      </c>
      <c r="X285">
        <v>1.4223E-2</v>
      </c>
      <c r="Y285">
        <v>1.4223E-2</v>
      </c>
      <c r="Z285">
        <v>-89.8566</v>
      </c>
      <c r="AA285">
        <v>-89.8566</v>
      </c>
      <c r="AB285">
        <v>-134.26949999999999</v>
      </c>
      <c r="AC285">
        <v>-134.26949999999999</v>
      </c>
      <c r="AD285">
        <v>0</v>
      </c>
      <c r="AE285">
        <v>0</v>
      </c>
      <c r="AF285">
        <v>0</v>
      </c>
      <c r="AG285">
        <v>180</v>
      </c>
      <c r="AI285">
        <v>0.80800000000000005</v>
      </c>
      <c r="AJ285">
        <v>0.98211159999999997</v>
      </c>
      <c r="AK285">
        <v>0.98211159999999997</v>
      </c>
      <c r="AL285">
        <v>2.0999999999999998E-6</v>
      </c>
      <c r="AM285">
        <v>2.0999999999999998E-6</v>
      </c>
      <c r="AN285">
        <v>1.7886300000000001E-2</v>
      </c>
      <c r="AO285">
        <v>1.7886300000000001E-2</v>
      </c>
      <c r="AP285">
        <v>-78.391900000000007</v>
      </c>
      <c r="AQ285">
        <v>-78.391900000000007</v>
      </c>
      <c r="AR285">
        <v>-113.2311</v>
      </c>
      <c r="AS285">
        <v>-113.2311</v>
      </c>
      <c r="AT285">
        <v>0</v>
      </c>
      <c r="AU285">
        <v>0</v>
      </c>
      <c r="AV285">
        <v>0</v>
      </c>
      <c r="AW285">
        <v>180</v>
      </c>
      <c r="AY285">
        <v>0.80800000000000005</v>
      </c>
      <c r="AZ285">
        <v>2.8987000000000001E-3</v>
      </c>
      <c r="BA285">
        <v>2.8987000000000001E-3</v>
      </c>
      <c r="BB285">
        <v>0.996896</v>
      </c>
      <c r="BC285">
        <v>0.996896</v>
      </c>
      <c r="BD285">
        <v>2.053E-4</v>
      </c>
      <c r="BE285">
        <v>2.053E-4</v>
      </c>
      <c r="BF285">
        <v>76.235399999999998</v>
      </c>
      <c r="BG285">
        <v>76.235399999999998</v>
      </c>
      <c r="BH285">
        <v>169.23560000000001</v>
      </c>
      <c r="BI285">
        <v>169.23560000000001</v>
      </c>
      <c r="BJ285">
        <v>0</v>
      </c>
      <c r="BK285">
        <v>0</v>
      </c>
      <c r="BL285">
        <v>0</v>
      </c>
      <c r="BM285">
        <v>180</v>
      </c>
      <c r="BP285">
        <v>0.80800000000000005</v>
      </c>
      <c r="BQ285">
        <v>0.86400429999999995</v>
      </c>
      <c r="BR285">
        <v>0.86400429999999995</v>
      </c>
      <c r="BS285">
        <v>0</v>
      </c>
      <c r="BT285">
        <v>0</v>
      </c>
      <c r="BU285">
        <v>0.1359957</v>
      </c>
      <c r="BV285">
        <v>0.1359957</v>
      </c>
      <c r="BW285">
        <v>-77.229699999999994</v>
      </c>
      <c r="BX285">
        <v>-77.229699999999994</v>
      </c>
      <c r="BY285">
        <v>165.05539999999999</v>
      </c>
      <c r="BZ285">
        <v>165.05539999999999</v>
      </c>
      <c r="CA285">
        <v>0</v>
      </c>
      <c r="CB285">
        <v>0</v>
      </c>
      <c r="CC285">
        <v>0</v>
      </c>
      <c r="CD285">
        <v>180</v>
      </c>
    </row>
    <row r="286" spans="19:82">
      <c r="S286">
        <v>0.80935000000000001</v>
      </c>
      <c r="T286">
        <v>0.9857418</v>
      </c>
      <c r="U286">
        <v>0.9857418</v>
      </c>
      <c r="V286">
        <v>1.3E-6</v>
      </c>
      <c r="W286">
        <v>1.3E-6</v>
      </c>
      <c r="X286">
        <v>1.4256899999999999E-2</v>
      </c>
      <c r="Y286">
        <v>1.4256899999999999E-2</v>
      </c>
      <c r="Z286">
        <v>-89.683199999999999</v>
      </c>
      <c r="AA286">
        <v>-89.683199999999999</v>
      </c>
      <c r="AB286">
        <v>-133.96690000000001</v>
      </c>
      <c r="AC286">
        <v>-133.96690000000001</v>
      </c>
      <c r="AD286">
        <v>0</v>
      </c>
      <c r="AE286">
        <v>0</v>
      </c>
      <c r="AF286">
        <v>0</v>
      </c>
      <c r="AG286">
        <v>180</v>
      </c>
      <c r="AI286">
        <v>0.80935000000000001</v>
      </c>
      <c r="AJ286">
        <v>0.98205290000000001</v>
      </c>
      <c r="AK286">
        <v>0.98205290000000001</v>
      </c>
      <c r="AL286">
        <v>2.0999999999999998E-6</v>
      </c>
      <c r="AM286">
        <v>2.0999999999999998E-6</v>
      </c>
      <c r="AN286">
        <v>1.7944999999999999E-2</v>
      </c>
      <c r="AO286">
        <v>1.7944999999999999E-2</v>
      </c>
      <c r="AP286">
        <v>-78.193299999999994</v>
      </c>
      <c r="AQ286">
        <v>-78.193299999999994</v>
      </c>
      <c r="AR286">
        <v>-112.87390000000001</v>
      </c>
      <c r="AS286">
        <v>-112.87390000000001</v>
      </c>
      <c r="AT286">
        <v>0</v>
      </c>
      <c r="AU286">
        <v>0</v>
      </c>
      <c r="AV286">
        <v>0</v>
      </c>
      <c r="AW286">
        <v>180</v>
      </c>
      <c r="AY286">
        <v>0.80935000000000001</v>
      </c>
      <c r="AZ286">
        <v>2.8360999999999998E-3</v>
      </c>
      <c r="BA286">
        <v>2.8360999999999998E-3</v>
      </c>
      <c r="BB286">
        <v>0.99695920000000005</v>
      </c>
      <c r="BC286">
        <v>0.99695920000000005</v>
      </c>
      <c r="BD286">
        <v>2.0469999999999999E-4</v>
      </c>
      <c r="BE286">
        <v>2.0469999999999999E-4</v>
      </c>
      <c r="BF286">
        <v>76.720799999999997</v>
      </c>
      <c r="BG286">
        <v>76.720799999999997</v>
      </c>
      <c r="BH286">
        <v>169.07689999999999</v>
      </c>
      <c r="BI286">
        <v>169.07689999999999</v>
      </c>
      <c r="BJ286">
        <v>0</v>
      </c>
      <c r="BK286">
        <v>0</v>
      </c>
      <c r="BL286">
        <v>0</v>
      </c>
      <c r="BM286">
        <v>180</v>
      </c>
      <c r="BP286">
        <v>0.80935000000000001</v>
      </c>
      <c r="BQ286">
        <v>0.86396119999999998</v>
      </c>
      <c r="BR286">
        <v>0.86396119999999998</v>
      </c>
      <c r="BS286">
        <v>0</v>
      </c>
      <c r="BT286">
        <v>0</v>
      </c>
      <c r="BU286">
        <v>0.13603879999999999</v>
      </c>
      <c r="BV286">
        <v>0.13603879999999999</v>
      </c>
      <c r="BW286">
        <v>-77.171800000000005</v>
      </c>
      <c r="BX286">
        <v>-77.171800000000005</v>
      </c>
      <c r="BY286">
        <v>165.06280000000001</v>
      </c>
      <c r="BZ286">
        <v>165.06280000000001</v>
      </c>
      <c r="CA286">
        <v>0</v>
      </c>
      <c r="CB286">
        <v>0</v>
      </c>
      <c r="CC286">
        <v>0</v>
      </c>
      <c r="CD286">
        <v>180</v>
      </c>
    </row>
    <row r="287" spans="19:82">
      <c r="S287">
        <v>0.81069999999999998</v>
      </c>
      <c r="T287">
        <v>0.98570769999999996</v>
      </c>
      <c r="U287">
        <v>0.98570769999999996</v>
      </c>
      <c r="V287">
        <v>1.3E-6</v>
      </c>
      <c r="W287">
        <v>1.3E-6</v>
      </c>
      <c r="X287">
        <v>1.4291E-2</v>
      </c>
      <c r="Y287">
        <v>1.4291E-2</v>
      </c>
      <c r="Z287">
        <v>-89.509900000000002</v>
      </c>
      <c r="AA287">
        <v>-89.509900000000002</v>
      </c>
      <c r="AB287">
        <v>-133.66399999999999</v>
      </c>
      <c r="AC287">
        <v>-133.66399999999999</v>
      </c>
      <c r="AD287">
        <v>0</v>
      </c>
      <c r="AE287">
        <v>0</v>
      </c>
      <c r="AF287">
        <v>0</v>
      </c>
      <c r="AG287">
        <v>180</v>
      </c>
      <c r="AI287">
        <v>0.81069999999999998</v>
      </c>
      <c r="AJ287">
        <v>0.98199400000000003</v>
      </c>
      <c r="AK287">
        <v>0.98199400000000003</v>
      </c>
      <c r="AL287">
        <v>2.0999999999999998E-6</v>
      </c>
      <c r="AM287">
        <v>2.0999999999999998E-6</v>
      </c>
      <c r="AN287">
        <v>1.80039E-2</v>
      </c>
      <c r="AO287">
        <v>1.80039E-2</v>
      </c>
      <c r="AP287">
        <v>-77.994699999999995</v>
      </c>
      <c r="AQ287">
        <v>-77.994699999999995</v>
      </c>
      <c r="AR287">
        <v>-112.5162</v>
      </c>
      <c r="AS287">
        <v>-112.5162</v>
      </c>
      <c r="AT287">
        <v>0</v>
      </c>
      <c r="AU287">
        <v>0</v>
      </c>
      <c r="AV287">
        <v>0</v>
      </c>
      <c r="AW287">
        <v>180</v>
      </c>
      <c r="AY287">
        <v>0.81069999999999998</v>
      </c>
      <c r="AZ287">
        <v>2.7737E-3</v>
      </c>
      <c r="BA287">
        <v>2.7737E-3</v>
      </c>
      <c r="BB287">
        <v>0.99702219999999997</v>
      </c>
      <c r="BC287">
        <v>0.99702219999999997</v>
      </c>
      <c r="BD287">
        <v>2.041E-4</v>
      </c>
      <c r="BE287">
        <v>2.041E-4</v>
      </c>
      <c r="BF287">
        <v>77.204599999999999</v>
      </c>
      <c r="BG287">
        <v>77.204599999999999</v>
      </c>
      <c r="BH287">
        <v>168.90530000000001</v>
      </c>
      <c r="BI287">
        <v>168.90530000000001</v>
      </c>
      <c r="BJ287">
        <v>0</v>
      </c>
      <c r="BK287">
        <v>0</v>
      </c>
      <c r="BL287">
        <v>0</v>
      </c>
      <c r="BM287">
        <v>180</v>
      </c>
      <c r="BP287">
        <v>0.81069999999999998</v>
      </c>
      <c r="BQ287">
        <v>0.86391819999999997</v>
      </c>
      <c r="BR287">
        <v>0.86391819999999997</v>
      </c>
      <c r="BS287">
        <v>0</v>
      </c>
      <c r="BT287">
        <v>0</v>
      </c>
      <c r="BU287">
        <v>0.1360818</v>
      </c>
      <c r="BV287">
        <v>0.1360818</v>
      </c>
      <c r="BW287">
        <v>-77.114099999999993</v>
      </c>
      <c r="BX287">
        <v>-77.114099999999993</v>
      </c>
      <c r="BY287">
        <v>165.0703</v>
      </c>
      <c r="BZ287">
        <v>165.0703</v>
      </c>
      <c r="CA287">
        <v>0</v>
      </c>
      <c r="CB287">
        <v>0</v>
      </c>
      <c r="CC287">
        <v>0</v>
      </c>
      <c r="CD287">
        <v>180</v>
      </c>
    </row>
    <row r="288" spans="19:82">
      <c r="S288">
        <v>0.81205000000000005</v>
      </c>
      <c r="T288">
        <v>0.98567329999999997</v>
      </c>
      <c r="U288">
        <v>0.98567329999999997</v>
      </c>
      <c r="V288">
        <v>1.3E-6</v>
      </c>
      <c r="W288">
        <v>1.3E-6</v>
      </c>
      <c r="X288">
        <v>1.4325299999999999E-2</v>
      </c>
      <c r="Y288">
        <v>1.4325299999999999E-2</v>
      </c>
      <c r="Z288">
        <v>-89.336500000000001</v>
      </c>
      <c r="AA288">
        <v>-89.336500000000001</v>
      </c>
      <c r="AB288">
        <v>-133.36099999999999</v>
      </c>
      <c r="AC288">
        <v>-133.36099999999999</v>
      </c>
      <c r="AD288">
        <v>0</v>
      </c>
      <c r="AE288">
        <v>0</v>
      </c>
      <c r="AF288">
        <v>0</v>
      </c>
      <c r="AG288">
        <v>180</v>
      </c>
      <c r="AI288">
        <v>0.81205000000000005</v>
      </c>
      <c r="AJ288">
        <v>0.9819348</v>
      </c>
      <c r="AK288">
        <v>0.9819348</v>
      </c>
      <c r="AL288">
        <v>2.0999999999999998E-6</v>
      </c>
      <c r="AM288">
        <v>2.0999999999999998E-6</v>
      </c>
      <c r="AN288">
        <v>1.8063099999999999E-2</v>
      </c>
      <c r="AO288">
        <v>1.8063099999999999E-2</v>
      </c>
      <c r="AP288">
        <v>-77.7958</v>
      </c>
      <c r="AQ288">
        <v>-77.7958</v>
      </c>
      <c r="AR288">
        <v>-112.1581</v>
      </c>
      <c r="AS288">
        <v>-112.1581</v>
      </c>
      <c r="AT288">
        <v>0</v>
      </c>
      <c r="AU288">
        <v>0</v>
      </c>
      <c r="AV288">
        <v>0</v>
      </c>
      <c r="AW288">
        <v>180</v>
      </c>
      <c r="AY288">
        <v>0.81205000000000005</v>
      </c>
      <c r="AZ288">
        <v>2.7116000000000002E-3</v>
      </c>
      <c r="BA288">
        <v>2.7116000000000002E-3</v>
      </c>
      <c r="BB288">
        <v>0.99708490000000005</v>
      </c>
      <c r="BC288">
        <v>0.99708490000000005</v>
      </c>
      <c r="BD288">
        <v>2.0350000000000001E-4</v>
      </c>
      <c r="BE288">
        <v>2.0350000000000001E-4</v>
      </c>
      <c r="BF288">
        <v>77.686899999999994</v>
      </c>
      <c r="BG288">
        <v>77.686899999999994</v>
      </c>
      <c r="BH288">
        <v>168.72</v>
      </c>
      <c r="BI288">
        <v>168.72</v>
      </c>
      <c r="BJ288">
        <v>0</v>
      </c>
      <c r="BK288">
        <v>0</v>
      </c>
      <c r="BL288">
        <v>0</v>
      </c>
      <c r="BM288">
        <v>180</v>
      </c>
      <c r="BP288">
        <v>0.81205000000000005</v>
      </c>
      <c r="BQ288">
        <v>0.86387539999999996</v>
      </c>
      <c r="BR288">
        <v>0.86387539999999996</v>
      </c>
      <c r="BS288">
        <v>0</v>
      </c>
      <c r="BT288">
        <v>0</v>
      </c>
      <c r="BU288">
        <v>0.13612460000000001</v>
      </c>
      <c r="BV288">
        <v>0.13612460000000001</v>
      </c>
      <c r="BW288">
        <v>-77.0565</v>
      </c>
      <c r="BX288">
        <v>-77.0565</v>
      </c>
      <c r="BY288">
        <v>165.07769999999999</v>
      </c>
      <c r="BZ288">
        <v>165.07769999999999</v>
      </c>
      <c r="CA288">
        <v>0</v>
      </c>
      <c r="CB288">
        <v>0</v>
      </c>
      <c r="CC288">
        <v>0</v>
      </c>
      <c r="CD288">
        <v>180</v>
      </c>
    </row>
    <row r="289" spans="19:82">
      <c r="S289">
        <v>0.81340000000000001</v>
      </c>
      <c r="T289">
        <v>0.98563869999999998</v>
      </c>
      <c r="U289">
        <v>0.98563869999999998</v>
      </c>
      <c r="V289">
        <v>1.3E-6</v>
      </c>
      <c r="W289">
        <v>1.3E-6</v>
      </c>
      <c r="X289">
        <v>1.436E-2</v>
      </c>
      <c r="Y289">
        <v>1.436E-2</v>
      </c>
      <c r="Z289">
        <v>-89.1631</v>
      </c>
      <c r="AA289">
        <v>-89.1631</v>
      </c>
      <c r="AB289">
        <v>-133.05770000000001</v>
      </c>
      <c r="AC289">
        <v>-133.05770000000001</v>
      </c>
      <c r="AD289">
        <v>0</v>
      </c>
      <c r="AE289">
        <v>0</v>
      </c>
      <c r="AF289">
        <v>0</v>
      </c>
      <c r="AG289">
        <v>180</v>
      </c>
      <c r="AI289">
        <v>0.81340000000000001</v>
      </c>
      <c r="AJ289">
        <v>0.98187539999999995</v>
      </c>
      <c r="AK289">
        <v>0.98187539999999995</v>
      </c>
      <c r="AL289">
        <v>2.0999999999999998E-6</v>
      </c>
      <c r="AM289">
        <v>2.0999999999999998E-6</v>
      </c>
      <c r="AN289">
        <v>1.81225E-2</v>
      </c>
      <c r="AO289">
        <v>1.81225E-2</v>
      </c>
      <c r="AP289">
        <v>-77.596800000000002</v>
      </c>
      <c r="AQ289">
        <v>-77.596800000000002</v>
      </c>
      <c r="AR289">
        <v>-111.79949999999999</v>
      </c>
      <c r="AS289">
        <v>-111.79949999999999</v>
      </c>
      <c r="AT289">
        <v>0</v>
      </c>
      <c r="AU289">
        <v>0</v>
      </c>
      <c r="AV289">
        <v>0</v>
      </c>
      <c r="AW289">
        <v>180</v>
      </c>
      <c r="AY289">
        <v>0.81340000000000001</v>
      </c>
      <c r="AZ289">
        <v>2.6497000000000001E-3</v>
      </c>
      <c r="BA289">
        <v>2.6497000000000001E-3</v>
      </c>
      <c r="BB289">
        <v>0.99714740000000002</v>
      </c>
      <c r="BC289">
        <v>0.99714740000000002</v>
      </c>
      <c r="BD289">
        <v>2.029E-4</v>
      </c>
      <c r="BE289">
        <v>2.029E-4</v>
      </c>
      <c r="BF289">
        <v>78.167699999999996</v>
      </c>
      <c r="BG289">
        <v>78.167699999999996</v>
      </c>
      <c r="BH289">
        <v>168.52070000000001</v>
      </c>
      <c r="BI289">
        <v>168.52070000000001</v>
      </c>
      <c r="BJ289">
        <v>0</v>
      </c>
      <c r="BK289">
        <v>0</v>
      </c>
      <c r="BL289">
        <v>0</v>
      </c>
      <c r="BM289">
        <v>180</v>
      </c>
      <c r="BP289">
        <v>0.81340000000000001</v>
      </c>
      <c r="BQ289">
        <v>0.86383270000000001</v>
      </c>
      <c r="BR289">
        <v>0.86383270000000001</v>
      </c>
      <c r="BS289">
        <v>0</v>
      </c>
      <c r="BT289">
        <v>0</v>
      </c>
      <c r="BU289">
        <v>0.13616729999999999</v>
      </c>
      <c r="BV289">
        <v>0.13616729999999999</v>
      </c>
      <c r="BW289">
        <v>-76.999200000000002</v>
      </c>
      <c r="BX289">
        <v>-76.999200000000002</v>
      </c>
      <c r="BY289">
        <v>165.08519999999999</v>
      </c>
      <c r="BZ289">
        <v>165.08519999999999</v>
      </c>
      <c r="CA289">
        <v>0</v>
      </c>
      <c r="CB289">
        <v>0</v>
      </c>
      <c r="CC289">
        <v>0</v>
      </c>
      <c r="CD289">
        <v>180</v>
      </c>
    </row>
    <row r="290" spans="19:82">
      <c r="S290">
        <v>0.81474999999999997</v>
      </c>
      <c r="T290">
        <v>0.98560380000000003</v>
      </c>
      <c r="U290">
        <v>0.98560380000000003</v>
      </c>
      <c r="V290">
        <v>1.3E-6</v>
      </c>
      <c r="W290">
        <v>1.3E-6</v>
      </c>
      <c r="X290">
        <v>1.4394799999999999E-2</v>
      </c>
      <c r="Y290">
        <v>1.4394799999999999E-2</v>
      </c>
      <c r="Z290">
        <v>-88.989599999999996</v>
      </c>
      <c r="AA290">
        <v>-88.989599999999996</v>
      </c>
      <c r="AB290">
        <v>-132.7542</v>
      </c>
      <c r="AC290">
        <v>-132.7542</v>
      </c>
      <c r="AD290">
        <v>0</v>
      </c>
      <c r="AE290">
        <v>0</v>
      </c>
      <c r="AF290">
        <v>0</v>
      </c>
      <c r="AG290">
        <v>180</v>
      </c>
      <c r="AI290">
        <v>0.81474999999999997</v>
      </c>
      <c r="AJ290">
        <v>0.98181580000000002</v>
      </c>
      <c r="AK290">
        <v>0.98181580000000002</v>
      </c>
      <c r="AL290">
        <v>2.0999999999999998E-6</v>
      </c>
      <c r="AM290">
        <v>2.0999999999999998E-6</v>
      </c>
      <c r="AN290">
        <v>1.81821E-2</v>
      </c>
      <c r="AO290">
        <v>1.81821E-2</v>
      </c>
      <c r="AP290">
        <v>-77.3977</v>
      </c>
      <c r="AQ290">
        <v>-77.3977</v>
      </c>
      <c r="AR290">
        <v>-111.4404</v>
      </c>
      <c r="AS290">
        <v>-111.4404</v>
      </c>
      <c r="AT290">
        <v>0</v>
      </c>
      <c r="AU290">
        <v>0</v>
      </c>
      <c r="AV290">
        <v>0</v>
      </c>
      <c r="AW290">
        <v>180</v>
      </c>
      <c r="AY290">
        <v>0.81474999999999997</v>
      </c>
      <c r="AZ290">
        <v>2.5882000000000001E-3</v>
      </c>
      <c r="BA290">
        <v>2.5882000000000001E-3</v>
      </c>
      <c r="BB290">
        <v>0.99720949999999997</v>
      </c>
      <c r="BC290">
        <v>0.99720949999999997</v>
      </c>
      <c r="BD290">
        <v>2.0239999999999999E-4</v>
      </c>
      <c r="BE290">
        <v>2.0239999999999999E-4</v>
      </c>
      <c r="BF290">
        <v>78.646900000000002</v>
      </c>
      <c r="BG290">
        <v>78.646900000000002</v>
      </c>
      <c r="BH290">
        <v>168.3065</v>
      </c>
      <c r="BI290">
        <v>168.3065</v>
      </c>
      <c r="BJ290">
        <v>0</v>
      </c>
      <c r="BK290">
        <v>0</v>
      </c>
      <c r="BL290">
        <v>0</v>
      </c>
      <c r="BM290">
        <v>180</v>
      </c>
      <c r="BP290">
        <v>0.81474999999999997</v>
      </c>
      <c r="BQ290">
        <v>0.86379010000000001</v>
      </c>
      <c r="BR290">
        <v>0.86379010000000001</v>
      </c>
      <c r="BS290">
        <v>0</v>
      </c>
      <c r="BT290">
        <v>0</v>
      </c>
      <c r="BU290">
        <v>0.13620979999999999</v>
      </c>
      <c r="BV290">
        <v>0.13620979999999999</v>
      </c>
      <c r="BW290">
        <v>-76.942099999999996</v>
      </c>
      <c r="BX290">
        <v>-76.942099999999996</v>
      </c>
      <c r="BY290">
        <v>165.0926</v>
      </c>
      <c r="BZ290">
        <v>165.0926</v>
      </c>
      <c r="CA290">
        <v>0</v>
      </c>
      <c r="CB290">
        <v>0</v>
      </c>
      <c r="CC290">
        <v>0</v>
      </c>
      <c r="CD290">
        <v>180</v>
      </c>
    </row>
    <row r="291" spans="19:82">
      <c r="S291">
        <v>0.81610000000000005</v>
      </c>
      <c r="T291">
        <v>0.98556889999999997</v>
      </c>
      <c r="U291">
        <v>0.98556889999999997</v>
      </c>
      <c r="V291">
        <v>1.3E-6</v>
      </c>
      <c r="W291">
        <v>1.3E-6</v>
      </c>
      <c r="X291">
        <v>1.44298E-2</v>
      </c>
      <c r="Y291">
        <v>1.44298E-2</v>
      </c>
      <c r="Z291">
        <v>-88.816100000000006</v>
      </c>
      <c r="AA291">
        <v>-88.816100000000006</v>
      </c>
      <c r="AB291">
        <v>-132.4504</v>
      </c>
      <c r="AC291">
        <v>-132.4504</v>
      </c>
      <c r="AD291">
        <v>0</v>
      </c>
      <c r="AE291">
        <v>0</v>
      </c>
      <c r="AF291">
        <v>0</v>
      </c>
      <c r="AG291">
        <v>180</v>
      </c>
      <c r="AI291">
        <v>0.81610000000000005</v>
      </c>
      <c r="AJ291">
        <v>0.98175610000000002</v>
      </c>
      <c r="AK291">
        <v>0.98175610000000002</v>
      </c>
      <c r="AL291">
        <v>1.9999999999999999E-6</v>
      </c>
      <c r="AM291">
        <v>1.9999999999999999E-6</v>
      </c>
      <c r="AN291">
        <v>1.8241799999999999E-2</v>
      </c>
      <c r="AO291">
        <v>1.8241799999999999E-2</v>
      </c>
      <c r="AP291">
        <v>-77.198400000000007</v>
      </c>
      <c r="AQ291">
        <v>-77.198400000000007</v>
      </c>
      <c r="AR291">
        <v>-111.0808</v>
      </c>
      <c r="AS291">
        <v>-111.0808</v>
      </c>
      <c r="AT291">
        <v>0</v>
      </c>
      <c r="AU291">
        <v>0</v>
      </c>
      <c r="AV291">
        <v>0</v>
      </c>
      <c r="AW291">
        <v>180</v>
      </c>
      <c r="AY291">
        <v>0.81610000000000005</v>
      </c>
      <c r="AZ291">
        <v>2.5270000000000002E-3</v>
      </c>
      <c r="BA291">
        <v>2.5270000000000002E-3</v>
      </c>
      <c r="BB291">
        <v>0.99727120000000002</v>
      </c>
      <c r="BC291">
        <v>0.99727120000000002</v>
      </c>
      <c r="BD291">
        <v>2.018E-4</v>
      </c>
      <c r="BE291">
        <v>2.018E-4</v>
      </c>
      <c r="BF291">
        <v>79.124700000000004</v>
      </c>
      <c r="BG291">
        <v>79.124700000000004</v>
      </c>
      <c r="BH291">
        <v>168.07679999999999</v>
      </c>
      <c r="BI291">
        <v>168.07679999999999</v>
      </c>
      <c r="BJ291">
        <v>0</v>
      </c>
      <c r="BK291">
        <v>0</v>
      </c>
      <c r="BL291">
        <v>0</v>
      </c>
      <c r="BM291">
        <v>180</v>
      </c>
      <c r="BP291">
        <v>0.81610000000000005</v>
      </c>
      <c r="BQ291">
        <v>0.86374770000000001</v>
      </c>
      <c r="BR291">
        <v>0.86374770000000001</v>
      </c>
      <c r="BS291">
        <v>0</v>
      </c>
      <c r="BT291">
        <v>0</v>
      </c>
      <c r="BU291">
        <v>0.13625219999999999</v>
      </c>
      <c r="BV291">
        <v>0.13625219999999999</v>
      </c>
      <c r="BW291">
        <v>-76.885199999999998</v>
      </c>
      <c r="BX291">
        <v>-76.885199999999998</v>
      </c>
      <c r="BY291">
        <v>165.1</v>
      </c>
      <c r="BZ291">
        <v>165.1</v>
      </c>
      <c r="CA291">
        <v>0</v>
      </c>
      <c r="CB291">
        <v>0</v>
      </c>
      <c r="CC291">
        <v>0</v>
      </c>
      <c r="CD291">
        <v>180</v>
      </c>
    </row>
    <row r="292" spans="19:82">
      <c r="S292">
        <v>0.81745000000000001</v>
      </c>
      <c r="T292">
        <v>0.98553409999999997</v>
      </c>
      <c r="U292">
        <v>0.98553409999999997</v>
      </c>
      <c r="V292">
        <v>1.3E-6</v>
      </c>
      <c r="W292">
        <v>1.3E-6</v>
      </c>
      <c r="X292">
        <v>1.4464599999999999E-2</v>
      </c>
      <c r="Y292">
        <v>1.4464599999999999E-2</v>
      </c>
      <c r="Z292">
        <v>-88.642600000000002</v>
      </c>
      <c r="AA292">
        <v>-88.642600000000002</v>
      </c>
      <c r="AB292">
        <v>-132.1465</v>
      </c>
      <c r="AC292">
        <v>-132.1465</v>
      </c>
      <c r="AD292">
        <v>0</v>
      </c>
      <c r="AE292">
        <v>0</v>
      </c>
      <c r="AF292">
        <v>0</v>
      </c>
      <c r="AG292">
        <v>180</v>
      </c>
      <c r="AI292">
        <v>0.81745000000000001</v>
      </c>
      <c r="AJ292">
        <v>0.98169649999999997</v>
      </c>
      <c r="AK292">
        <v>0.98169649999999997</v>
      </c>
      <c r="AL292">
        <v>1.9999999999999999E-6</v>
      </c>
      <c r="AM292">
        <v>1.9999999999999999E-6</v>
      </c>
      <c r="AN292">
        <v>1.8301399999999999E-2</v>
      </c>
      <c r="AO292">
        <v>1.8301399999999999E-2</v>
      </c>
      <c r="AP292">
        <v>-76.998900000000006</v>
      </c>
      <c r="AQ292">
        <v>-76.998900000000006</v>
      </c>
      <c r="AR292">
        <v>-110.7208</v>
      </c>
      <c r="AS292">
        <v>-110.7208</v>
      </c>
      <c r="AT292">
        <v>0</v>
      </c>
      <c r="AU292">
        <v>0</v>
      </c>
      <c r="AV292">
        <v>0</v>
      </c>
      <c r="AW292">
        <v>180</v>
      </c>
      <c r="AY292">
        <v>0.81745000000000001</v>
      </c>
      <c r="AZ292">
        <v>2.4662999999999998E-3</v>
      </c>
      <c r="BA292">
        <v>2.4662999999999998E-3</v>
      </c>
      <c r="BB292">
        <v>0.99733260000000001</v>
      </c>
      <c r="BC292">
        <v>0.99733260000000001</v>
      </c>
      <c r="BD292">
        <v>2.0120000000000001E-4</v>
      </c>
      <c r="BE292">
        <v>2.0120000000000001E-4</v>
      </c>
      <c r="BF292">
        <v>79.600999999999999</v>
      </c>
      <c r="BG292">
        <v>79.600999999999999</v>
      </c>
      <c r="BH292">
        <v>167.83090000000001</v>
      </c>
      <c r="BI292">
        <v>167.83090000000001</v>
      </c>
      <c r="BJ292">
        <v>0</v>
      </c>
      <c r="BK292">
        <v>0</v>
      </c>
      <c r="BL292">
        <v>0</v>
      </c>
      <c r="BM292">
        <v>180</v>
      </c>
      <c r="BP292">
        <v>0.81745000000000001</v>
      </c>
      <c r="BQ292">
        <v>0.86370550000000001</v>
      </c>
      <c r="BR292">
        <v>0.86370550000000001</v>
      </c>
      <c r="BS292">
        <v>0</v>
      </c>
      <c r="BT292">
        <v>0</v>
      </c>
      <c r="BU292">
        <v>0.13629450000000001</v>
      </c>
      <c r="BV292">
        <v>0.13629450000000001</v>
      </c>
      <c r="BW292">
        <v>-76.828500000000005</v>
      </c>
      <c r="BX292">
        <v>-76.828500000000005</v>
      </c>
      <c r="BY292">
        <v>165.10740000000001</v>
      </c>
      <c r="BZ292">
        <v>165.10740000000001</v>
      </c>
      <c r="CA292">
        <v>0</v>
      </c>
      <c r="CB292">
        <v>0</v>
      </c>
      <c r="CC292">
        <v>0</v>
      </c>
      <c r="CD292">
        <v>180</v>
      </c>
    </row>
    <row r="293" spans="19:82">
      <c r="S293">
        <v>0.81879999999999997</v>
      </c>
      <c r="T293">
        <v>0.98549900000000001</v>
      </c>
      <c r="U293">
        <v>0.98549900000000001</v>
      </c>
      <c r="V293">
        <v>1.3E-6</v>
      </c>
      <c r="W293">
        <v>1.3E-6</v>
      </c>
      <c r="X293">
        <v>1.4499700000000001E-2</v>
      </c>
      <c r="Y293">
        <v>1.4499700000000001E-2</v>
      </c>
      <c r="Z293">
        <v>-88.468999999999994</v>
      </c>
      <c r="AA293">
        <v>-88.468999999999994</v>
      </c>
      <c r="AB293">
        <v>-131.84229999999999</v>
      </c>
      <c r="AC293">
        <v>-131.84229999999999</v>
      </c>
      <c r="AD293">
        <v>0</v>
      </c>
      <c r="AE293">
        <v>0</v>
      </c>
      <c r="AF293">
        <v>0</v>
      </c>
      <c r="AG293">
        <v>180</v>
      </c>
      <c r="AI293">
        <v>0.81879999999999997</v>
      </c>
      <c r="AJ293">
        <v>0.98163670000000003</v>
      </c>
      <c r="AK293">
        <v>0.98163670000000003</v>
      </c>
      <c r="AL293">
        <v>1.9999999999999999E-6</v>
      </c>
      <c r="AM293">
        <v>1.9999999999999999E-6</v>
      </c>
      <c r="AN293">
        <v>1.8361200000000001E-2</v>
      </c>
      <c r="AO293">
        <v>1.8361200000000001E-2</v>
      </c>
      <c r="AP293">
        <v>-76.799300000000002</v>
      </c>
      <c r="AQ293">
        <v>-76.799300000000002</v>
      </c>
      <c r="AR293">
        <v>-110.3603</v>
      </c>
      <c r="AS293">
        <v>-110.3603</v>
      </c>
      <c r="AT293">
        <v>0</v>
      </c>
      <c r="AU293">
        <v>0</v>
      </c>
      <c r="AV293">
        <v>0</v>
      </c>
      <c r="AW293">
        <v>180</v>
      </c>
      <c r="AY293">
        <v>0.81879999999999997</v>
      </c>
      <c r="AZ293">
        <v>2.4060000000000002E-3</v>
      </c>
      <c r="BA293">
        <v>2.4060000000000002E-3</v>
      </c>
      <c r="BB293">
        <v>0.99739339999999999</v>
      </c>
      <c r="BC293">
        <v>0.99739339999999999</v>
      </c>
      <c r="BD293">
        <v>2.006E-4</v>
      </c>
      <c r="BE293">
        <v>2.006E-4</v>
      </c>
      <c r="BF293">
        <v>80.075900000000004</v>
      </c>
      <c r="BG293">
        <v>80.075900000000004</v>
      </c>
      <c r="BH293">
        <v>167.56809999999999</v>
      </c>
      <c r="BI293">
        <v>167.56809999999999</v>
      </c>
      <c r="BJ293">
        <v>0</v>
      </c>
      <c r="BK293">
        <v>0</v>
      </c>
      <c r="BL293">
        <v>0</v>
      </c>
      <c r="BM293">
        <v>180</v>
      </c>
      <c r="BP293">
        <v>0.81879999999999997</v>
      </c>
      <c r="BQ293">
        <v>0.86366330000000002</v>
      </c>
      <c r="BR293">
        <v>0.86366330000000002</v>
      </c>
      <c r="BS293">
        <v>0</v>
      </c>
      <c r="BT293">
        <v>0</v>
      </c>
      <c r="BU293">
        <v>0.13633670000000001</v>
      </c>
      <c r="BV293">
        <v>0.13633670000000001</v>
      </c>
      <c r="BW293">
        <v>-76.772000000000006</v>
      </c>
      <c r="BX293">
        <v>-76.772000000000006</v>
      </c>
      <c r="BY293">
        <v>165.11490000000001</v>
      </c>
      <c r="BZ293">
        <v>165.11490000000001</v>
      </c>
      <c r="CA293">
        <v>0</v>
      </c>
      <c r="CB293">
        <v>0</v>
      </c>
      <c r="CC293">
        <v>0</v>
      </c>
      <c r="CD293">
        <v>180</v>
      </c>
    </row>
    <row r="294" spans="19:82">
      <c r="S294">
        <v>0.82015000000000005</v>
      </c>
      <c r="T294">
        <v>0.98546370000000005</v>
      </c>
      <c r="U294">
        <v>0.98546370000000005</v>
      </c>
      <c r="V294">
        <v>1.3E-6</v>
      </c>
      <c r="W294">
        <v>1.3E-6</v>
      </c>
      <c r="X294">
        <v>1.4534999999999999E-2</v>
      </c>
      <c r="Y294">
        <v>1.4534999999999999E-2</v>
      </c>
      <c r="Z294">
        <v>-88.295299999999997</v>
      </c>
      <c r="AA294">
        <v>-88.295299999999997</v>
      </c>
      <c r="AB294">
        <v>-131.53790000000001</v>
      </c>
      <c r="AC294">
        <v>-131.53790000000001</v>
      </c>
      <c r="AD294">
        <v>0</v>
      </c>
      <c r="AE294">
        <v>0</v>
      </c>
      <c r="AF294">
        <v>0</v>
      </c>
      <c r="AG294">
        <v>180</v>
      </c>
      <c r="AI294">
        <v>0.82015000000000005</v>
      </c>
      <c r="AJ294">
        <v>0.98157669999999997</v>
      </c>
      <c r="AK294">
        <v>0.98157669999999997</v>
      </c>
      <c r="AL294">
        <v>1.9999999999999999E-6</v>
      </c>
      <c r="AM294">
        <v>1.9999999999999999E-6</v>
      </c>
      <c r="AN294">
        <v>1.8421199999999999E-2</v>
      </c>
      <c r="AO294">
        <v>1.8421199999999999E-2</v>
      </c>
      <c r="AP294">
        <v>-76.599500000000006</v>
      </c>
      <c r="AQ294">
        <v>-76.599500000000006</v>
      </c>
      <c r="AR294">
        <v>-109.99930000000001</v>
      </c>
      <c r="AS294">
        <v>-109.99930000000001</v>
      </c>
      <c r="AT294">
        <v>0</v>
      </c>
      <c r="AU294">
        <v>0</v>
      </c>
      <c r="AV294">
        <v>0</v>
      </c>
      <c r="AW294">
        <v>180</v>
      </c>
      <c r="AY294">
        <v>0.82015000000000005</v>
      </c>
      <c r="AZ294">
        <v>2.3462000000000001E-3</v>
      </c>
      <c r="BA294">
        <v>2.3462000000000001E-3</v>
      </c>
      <c r="BB294">
        <v>0.99745379999999995</v>
      </c>
      <c r="BC294">
        <v>0.99745379999999995</v>
      </c>
      <c r="BD294">
        <v>2.0000000000000001E-4</v>
      </c>
      <c r="BE294">
        <v>2.0000000000000001E-4</v>
      </c>
      <c r="BF294">
        <v>80.549199999999999</v>
      </c>
      <c r="BG294">
        <v>80.549199999999999</v>
      </c>
      <c r="BH294">
        <v>167.28749999999999</v>
      </c>
      <c r="BI294">
        <v>167.28749999999999</v>
      </c>
      <c r="BJ294">
        <v>0</v>
      </c>
      <c r="BK294">
        <v>0</v>
      </c>
      <c r="BL294">
        <v>0</v>
      </c>
      <c r="BM294">
        <v>180</v>
      </c>
      <c r="BP294">
        <v>0.82015000000000005</v>
      </c>
      <c r="BQ294">
        <v>0.86362130000000004</v>
      </c>
      <c r="BR294">
        <v>0.86362130000000004</v>
      </c>
      <c r="BS294">
        <v>0</v>
      </c>
      <c r="BT294">
        <v>0</v>
      </c>
      <c r="BU294">
        <v>0.13637869999999999</v>
      </c>
      <c r="BV294">
        <v>0.13637869999999999</v>
      </c>
      <c r="BW294">
        <v>-76.715699999999998</v>
      </c>
      <c r="BX294">
        <v>-76.715699999999998</v>
      </c>
      <c r="BY294">
        <v>165.1223</v>
      </c>
      <c r="BZ294">
        <v>165.1223</v>
      </c>
      <c r="CA294">
        <v>0</v>
      </c>
      <c r="CB294">
        <v>0</v>
      </c>
      <c r="CC294">
        <v>0</v>
      </c>
      <c r="CD294">
        <v>180</v>
      </c>
    </row>
    <row r="295" spans="19:82">
      <c r="S295">
        <v>0.82150000000000001</v>
      </c>
      <c r="T295">
        <v>0.98542810000000003</v>
      </c>
      <c r="U295">
        <v>0.98542810000000003</v>
      </c>
      <c r="V295">
        <v>1.3E-6</v>
      </c>
      <c r="W295">
        <v>1.3E-6</v>
      </c>
      <c r="X295">
        <v>1.45706E-2</v>
      </c>
      <c r="Y295">
        <v>1.45706E-2</v>
      </c>
      <c r="Z295">
        <v>-88.121700000000004</v>
      </c>
      <c r="AA295">
        <v>-88.121700000000004</v>
      </c>
      <c r="AB295">
        <v>-131.23330000000001</v>
      </c>
      <c r="AC295">
        <v>-131.23330000000001</v>
      </c>
      <c r="AD295">
        <v>0</v>
      </c>
      <c r="AE295">
        <v>0</v>
      </c>
      <c r="AF295">
        <v>0</v>
      </c>
      <c r="AG295">
        <v>180</v>
      </c>
      <c r="AI295">
        <v>0.82150000000000001</v>
      </c>
      <c r="AJ295">
        <v>0.98151650000000001</v>
      </c>
      <c r="AK295">
        <v>0.98151650000000001</v>
      </c>
      <c r="AL295">
        <v>1.9999999999999999E-6</v>
      </c>
      <c r="AM295">
        <v>1.9999999999999999E-6</v>
      </c>
      <c r="AN295">
        <v>1.8481399999999999E-2</v>
      </c>
      <c r="AO295">
        <v>1.8481399999999999E-2</v>
      </c>
      <c r="AP295">
        <v>-76.399500000000003</v>
      </c>
      <c r="AQ295">
        <v>-76.399500000000003</v>
      </c>
      <c r="AR295">
        <v>-109.6379</v>
      </c>
      <c r="AS295">
        <v>-109.6379</v>
      </c>
      <c r="AT295">
        <v>0</v>
      </c>
      <c r="AU295">
        <v>0</v>
      </c>
      <c r="AV295">
        <v>0</v>
      </c>
      <c r="AW295">
        <v>180</v>
      </c>
      <c r="AY295">
        <v>0.82150000000000001</v>
      </c>
      <c r="AZ295">
        <v>2.2869000000000001E-3</v>
      </c>
      <c r="BA295">
        <v>2.2869000000000001E-3</v>
      </c>
      <c r="BB295">
        <v>0.9975136</v>
      </c>
      <c r="BC295">
        <v>0.9975136</v>
      </c>
      <c r="BD295">
        <v>1.994E-4</v>
      </c>
      <c r="BE295">
        <v>1.994E-4</v>
      </c>
      <c r="BF295">
        <v>81.021100000000004</v>
      </c>
      <c r="BG295">
        <v>81.021100000000004</v>
      </c>
      <c r="BH295">
        <v>166.98840000000001</v>
      </c>
      <c r="BI295">
        <v>166.98840000000001</v>
      </c>
      <c r="BJ295">
        <v>0</v>
      </c>
      <c r="BK295">
        <v>0</v>
      </c>
      <c r="BL295">
        <v>0</v>
      </c>
      <c r="BM295">
        <v>180</v>
      </c>
      <c r="BP295">
        <v>0.82150000000000001</v>
      </c>
      <c r="BQ295">
        <v>0.8635794</v>
      </c>
      <c r="BR295">
        <v>0.8635794</v>
      </c>
      <c r="BS295">
        <v>0</v>
      </c>
      <c r="BT295">
        <v>0</v>
      </c>
      <c r="BU295">
        <v>0.1364205</v>
      </c>
      <c r="BV295">
        <v>0.1364205</v>
      </c>
      <c r="BW295">
        <v>-76.659499999999994</v>
      </c>
      <c r="BX295">
        <v>-76.659499999999994</v>
      </c>
      <c r="BY295">
        <v>165.12970000000001</v>
      </c>
      <c r="BZ295">
        <v>165.12970000000001</v>
      </c>
      <c r="CA295">
        <v>0</v>
      </c>
      <c r="CB295">
        <v>0</v>
      </c>
      <c r="CC295">
        <v>0</v>
      </c>
      <c r="CD295">
        <v>180</v>
      </c>
    </row>
    <row r="296" spans="19:82">
      <c r="S296">
        <v>0.82284999999999997</v>
      </c>
      <c r="T296">
        <v>0.9853923</v>
      </c>
      <c r="U296">
        <v>0.9853923</v>
      </c>
      <c r="V296">
        <v>1.3E-6</v>
      </c>
      <c r="W296">
        <v>1.3E-6</v>
      </c>
      <c r="X296">
        <v>1.46064E-2</v>
      </c>
      <c r="Y296">
        <v>1.46064E-2</v>
      </c>
      <c r="Z296">
        <v>-87.947900000000004</v>
      </c>
      <c r="AA296">
        <v>-87.947900000000004</v>
      </c>
      <c r="AB296">
        <v>-130.92840000000001</v>
      </c>
      <c r="AC296">
        <v>-130.92840000000001</v>
      </c>
      <c r="AD296">
        <v>0</v>
      </c>
      <c r="AE296">
        <v>0</v>
      </c>
      <c r="AF296">
        <v>0</v>
      </c>
      <c r="AG296">
        <v>180</v>
      </c>
      <c r="AI296">
        <v>0.82284999999999997</v>
      </c>
      <c r="AJ296">
        <v>0.98145610000000005</v>
      </c>
      <c r="AK296">
        <v>0.98145610000000005</v>
      </c>
      <c r="AL296">
        <v>1.9999999999999999E-6</v>
      </c>
      <c r="AM296">
        <v>1.9999999999999999E-6</v>
      </c>
      <c r="AN296">
        <v>1.85419E-2</v>
      </c>
      <c r="AO296">
        <v>1.85419E-2</v>
      </c>
      <c r="AP296">
        <v>-76.199399999999997</v>
      </c>
      <c r="AQ296">
        <v>-76.199399999999997</v>
      </c>
      <c r="AR296">
        <v>-109.27589999999999</v>
      </c>
      <c r="AS296">
        <v>-109.27589999999999</v>
      </c>
      <c r="AT296">
        <v>0</v>
      </c>
      <c r="AU296">
        <v>0</v>
      </c>
      <c r="AV296">
        <v>0</v>
      </c>
      <c r="AW296">
        <v>180</v>
      </c>
      <c r="AY296">
        <v>0.82284999999999997</v>
      </c>
      <c r="AZ296">
        <v>2.2282999999999999E-3</v>
      </c>
      <c r="BA296">
        <v>2.2282999999999999E-3</v>
      </c>
      <c r="BB296">
        <v>0.99757280000000004</v>
      </c>
      <c r="BC296">
        <v>0.99757280000000004</v>
      </c>
      <c r="BD296">
        <v>1.9890000000000001E-4</v>
      </c>
      <c r="BE296">
        <v>1.9890000000000001E-4</v>
      </c>
      <c r="BF296">
        <v>81.491500000000002</v>
      </c>
      <c r="BG296">
        <v>81.491500000000002</v>
      </c>
      <c r="BH296">
        <v>166.66990000000001</v>
      </c>
      <c r="BI296">
        <v>166.66990000000001</v>
      </c>
      <c r="BJ296">
        <v>0</v>
      </c>
      <c r="BK296">
        <v>0</v>
      </c>
      <c r="BL296">
        <v>0</v>
      </c>
      <c r="BM296">
        <v>180</v>
      </c>
      <c r="BP296">
        <v>0.82284999999999997</v>
      </c>
      <c r="BQ296">
        <v>0.86353769999999996</v>
      </c>
      <c r="BR296">
        <v>0.86353769999999996</v>
      </c>
      <c r="BS296">
        <v>0</v>
      </c>
      <c r="BT296">
        <v>0</v>
      </c>
      <c r="BU296">
        <v>0.13646230000000001</v>
      </c>
      <c r="BV296">
        <v>0.13646230000000001</v>
      </c>
      <c r="BW296">
        <v>-76.6036</v>
      </c>
      <c r="BX296">
        <v>-76.6036</v>
      </c>
      <c r="BY296">
        <v>165.1371</v>
      </c>
      <c r="BZ296">
        <v>165.1371</v>
      </c>
      <c r="CA296">
        <v>0</v>
      </c>
      <c r="CB296">
        <v>0</v>
      </c>
      <c r="CC296">
        <v>0</v>
      </c>
      <c r="CD296">
        <v>180</v>
      </c>
    </row>
    <row r="297" spans="19:82">
      <c r="S297">
        <v>0.82420000000000004</v>
      </c>
      <c r="T297">
        <v>0.98535629999999996</v>
      </c>
      <c r="U297">
        <v>0.98535629999999996</v>
      </c>
      <c r="V297">
        <v>1.3E-6</v>
      </c>
      <c r="W297">
        <v>1.3E-6</v>
      </c>
      <c r="X297">
        <v>1.46424E-2</v>
      </c>
      <c r="Y297">
        <v>1.46424E-2</v>
      </c>
      <c r="Z297">
        <v>-87.774199999999993</v>
      </c>
      <c r="AA297">
        <v>-87.774199999999993</v>
      </c>
      <c r="AB297">
        <v>-130.6232</v>
      </c>
      <c r="AC297">
        <v>-130.6232</v>
      </c>
      <c r="AD297">
        <v>0</v>
      </c>
      <c r="AE297">
        <v>0</v>
      </c>
      <c r="AF297">
        <v>0</v>
      </c>
      <c r="AG297">
        <v>180</v>
      </c>
      <c r="AI297">
        <v>0.82420000000000004</v>
      </c>
      <c r="AJ297">
        <v>0.98139549999999998</v>
      </c>
      <c r="AK297">
        <v>0.98139549999999998</v>
      </c>
      <c r="AL297">
        <v>1.9999999999999999E-6</v>
      </c>
      <c r="AM297">
        <v>1.9999999999999999E-6</v>
      </c>
      <c r="AN297">
        <v>1.8602500000000001E-2</v>
      </c>
      <c r="AO297">
        <v>1.8602500000000001E-2</v>
      </c>
      <c r="AP297">
        <v>-75.999099999999999</v>
      </c>
      <c r="AQ297">
        <v>-75.999099999999999</v>
      </c>
      <c r="AR297">
        <v>-108.9134</v>
      </c>
      <c r="AS297">
        <v>-108.9134</v>
      </c>
      <c r="AT297">
        <v>0</v>
      </c>
      <c r="AU297">
        <v>0</v>
      </c>
      <c r="AV297">
        <v>0</v>
      </c>
      <c r="AW297">
        <v>180</v>
      </c>
      <c r="AY297">
        <v>0.82420000000000004</v>
      </c>
      <c r="AZ297">
        <v>2.1703E-3</v>
      </c>
      <c r="BA297">
        <v>2.1703E-3</v>
      </c>
      <c r="BB297">
        <v>0.9976315</v>
      </c>
      <c r="BC297">
        <v>0.9976315</v>
      </c>
      <c r="BD297">
        <v>1.983E-4</v>
      </c>
      <c r="BE297">
        <v>1.983E-4</v>
      </c>
      <c r="BF297">
        <v>81.960499999999996</v>
      </c>
      <c r="BG297">
        <v>81.960499999999996</v>
      </c>
      <c r="BH297">
        <v>166.33109999999999</v>
      </c>
      <c r="BI297">
        <v>166.33109999999999</v>
      </c>
      <c r="BJ297">
        <v>0</v>
      </c>
      <c r="BK297">
        <v>0</v>
      </c>
      <c r="BL297">
        <v>0</v>
      </c>
      <c r="BM297">
        <v>180</v>
      </c>
      <c r="BP297">
        <v>0.82420000000000004</v>
      </c>
      <c r="BQ297">
        <v>0.86349609999999999</v>
      </c>
      <c r="BR297">
        <v>0.86349609999999999</v>
      </c>
      <c r="BS297">
        <v>0</v>
      </c>
      <c r="BT297">
        <v>0</v>
      </c>
      <c r="BU297">
        <v>0.13650390000000001</v>
      </c>
      <c r="BV297">
        <v>0.13650390000000001</v>
      </c>
      <c r="BW297">
        <v>-76.547799999999995</v>
      </c>
      <c r="BX297">
        <v>-76.547799999999995</v>
      </c>
      <c r="BY297">
        <v>165.14449999999999</v>
      </c>
      <c r="BZ297">
        <v>165.14449999999999</v>
      </c>
      <c r="CA297">
        <v>0</v>
      </c>
      <c r="CB297">
        <v>0</v>
      </c>
      <c r="CC297">
        <v>0</v>
      </c>
      <c r="CD297">
        <v>180</v>
      </c>
    </row>
    <row r="298" spans="19:82">
      <c r="S298">
        <v>0.82555000000000001</v>
      </c>
      <c r="T298">
        <v>0.98531999999999997</v>
      </c>
      <c r="U298">
        <v>0.98531999999999997</v>
      </c>
      <c r="V298">
        <v>1.3E-6</v>
      </c>
      <c r="W298">
        <v>1.3E-6</v>
      </c>
      <c r="X298">
        <v>1.4678699999999999E-2</v>
      </c>
      <c r="Y298">
        <v>1.4678699999999999E-2</v>
      </c>
      <c r="Z298">
        <v>-87.600399999999993</v>
      </c>
      <c r="AA298">
        <v>-87.600399999999993</v>
      </c>
      <c r="AB298">
        <v>-130.31780000000001</v>
      </c>
      <c r="AC298">
        <v>-130.31780000000001</v>
      </c>
      <c r="AD298">
        <v>0</v>
      </c>
      <c r="AE298">
        <v>0</v>
      </c>
      <c r="AF298">
        <v>0</v>
      </c>
      <c r="AG298">
        <v>180</v>
      </c>
      <c r="AI298">
        <v>0.82555000000000001</v>
      </c>
      <c r="AJ298">
        <v>0.9813347</v>
      </c>
      <c r="AK298">
        <v>0.9813347</v>
      </c>
      <c r="AL298">
        <v>1.9999999999999999E-6</v>
      </c>
      <c r="AM298">
        <v>1.9999999999999999E-6</v>
      </c>
      <c r="AN298">
        <v>1.8663300000000001E-2</v>
      </c>
      <c r="AO298">
        <v>1.8663300000000001E-2</v>
      </c>
      <c r="AP298">
        <v>-75.798599999999993</v>
      </c>
      <c r="AQ298">
        <v>-75.798599999999993</v>
      </c>
      <c r="AR298">
        <v>-108.5505</v>
      </c>
      <c r="AS298">
        <v>-108.5505</v>
      </c>
      <c r="AT298">
        <v>0</v>
      </c>
      <c r="AU298">
        <v>0</v>
      </c>
      <c r="AV298">
        <v>0</v>
      </c>
      <c r="AW298">
        <v>180</v>
      </c>
      <c r="AY298">
        <v>0.82555000000000001</v>
      </c>
      <c r="AZ298">
        <v>2.1129E-3</v>
      </c>
      <c r="BA298">
        <v>2.1129E-3</v>
      </c>
      <c r="BB298">
        <v>0.99768939999999995</v>
      </c>
      <c r="BC298">
        <v>0.99768939999999995</v>
      </c>
      <c r="BD298">
        <v>1.9770000000000001E-4</v>
      </c>
      <c r="BE298">
        <v>1.9770000000000001E-4</v>
      </c>
      <c r="BF298">
        <v>82.427999999999997</v>
      </c>
      <c r="BG298">
        <v>82.427999999999997</v>
      </c>
      <c r="BH298">
        <v>165.97110000000001</v>
      </c>
      <c r="BI298">
        <v>165.97110000000001</v>
      </c>
      <c r="BJ298">
        <v>0</v>
      </c>
      <c r="BK298">
        <v>0</v>
      </c>
      <c r="BL298">
        <v>0</v>
      </c>
      <c r="BM298">
        <v>180</v>
      </c>
      <c r="BP298">
        <v>0.82555000000000001</v>
      </c>
      <c r="BQ298">
        <v>0.86345459999999996</v>
      </c>
      <c r="BR298">
        <v>0.86345459999999996</v>
      </c>
      <c r="BS298">
        <v>0</v>
      </c>
      <c r="BT298">
        <v>0</v>
      </c>
      <c r="BU298">
        <v>0.13654530000000001</v>
      </c>
      <c r="BV298">
        <v>0.13654530000000001</v>
      </c>
      <c r="BW298">
        <v>-76.4923</v>
      </c>
      <c r="BX298">
        <v>-76.4923</v>
      </c>
      <c r="BY298">
        <v>165.15190000000001</v>
      </c>
      <c r="BZ298">
        <v>165.15190000000001</v>
      </c>
      <c r="CA298">
        <v>0</v>
      </c>
      <c r="CB298">
        <v>0</v>
      </c>
      <c r="CC298">
        <v>0</v>
      </c>
      <c r="CD298">
        <v>180</v>
      </c>
    </row>
    <row r="299" spans="19:82">
      <c r="S299">
        <v>0.82689999999999997</v>
      </c>
      <c r="T299">
        <v>0.9852841</v>
      </c>
      <c r="U299">
        <v>0.9852841</v>
      </c>
      <c r="V299">
        <v>1.3E-6</v>
      </c>
      <c r="W299">
        <v>1.3E-6</v>
      </c>
      <c r="X299">
        <v>1.4714700000000001E-2</v>
      </c>
      <c r="Y299">
        <v>1.4714700000000001E-2</v>
      </c>
      <c r="Z299">
        <v>-87.426400000000001</v>
      </c>
      <c r="AA299">
        <v>-87.426400000000001</v>
      </c>
      <c r="AB299">
        <v>-130.012</v>
      </c>
      <c r="AC299">
        <v>-130.012</v>
      </c>
      <c r="AD299">
        <v>0</v>
      </c>
      <c r="AE299">
        <v>0</v>
      </c>
      <c r="AF299">
        <v>0</v>
      </c>
      <c r="AG299">
        <v>180</v>
      </c>
      <c r="AI299">
        <v>0.82689999999999997</v>
      </c>
      <c r="AJ299">
        <v>0.98127410000000004</v>
      </c>
      <c r="AK299">
        <v>0.98127410000000004</v>
      </c>
      <c r="AL299">
        <v>1.9999999999999999E-6</v>
      </c>
      <c r="AM299">
        <v>1.9999999999999999E-6</v>
      </c>
      <c r="AN299">
        <v>1.8723799999999999E-2</v>
      </c>
      <c r="AO299">
        <v>1.8723799999999999E-2</v>
      </c>
      <c r="AP299">
        <v>-75.597999999999999</v>
      </c>
      <c r="AQ299">
        <v>-75.597999999999999</v>
      </c>
      <c r="AR299">
        <v>-108.187</v>
      </c>
      <c r="AS299">
        <v>-108.187</v>
      </c>
      <c r="AT299">
        <v>0</v>
      </c>
      <c r="AU299">
        <v>0</v>
      </c>
      <c r="AV299">
        <v>0</v>
      </c>
      <c r="AW299">
        <v>180</v>
      </c>
      <c r="AY299">
        <v>0.82689999999999997</v>
      </c>
      <c r="AZ299">
        <v>2.0563000000000001E-3</v>
      </c>
      <c r="BA299">
        <v>2.0563000000000001E-3</v>
      </c>
      <c r="BB299">
        <v>0.99774660000000004</v>
      </c>
      <c r="BC299">
        <v>0.99774660000000004</v>
      </c>
      <c r="BD299">
        <v>1.9709999999999999E-4</v>
      </c>
      <c r="BE299">
        <v>1.9709999999999999E-4</v>
      </c>
      <c r="BF299">
        <v>82.894199999999998</v>
      </c>
      <c r="BG299">
        <v>82.894199999999998</v>
      </c>
      <c r="BH299">
        <v>165.5889</v>
      </c>
      <c r="BI299">
        <v>165.5889</v>
      </c>
      <c r="BJ299">
        <v>0</v>
      </c>
      <c r="BK299">
        <v>0</v>
      </c>
      <c r="BL299">
        <v>0</v>
      </c>
      <c r="BM299">
        <v>180</v>
      </c>
      <c r="BP299">
        <v>0.82689999999999997</v>
      </c>
      <c r="BQ299">
        <v>0.86341330000000005</v>
      </c>
      <c r="BR299">
        <v>0.86341330000000005</v>
      </c>
      <c r="BS299">
        <v>0</v>
      </c>
      <c r="BT299">
        <v>0</v>
      </c>
      <c r="BU299">
        <v>0.13658670000000001</v>
      </c>
      <c r="BV299">
        <v>0.13658670000000001</v>
      </c>
      <c r="BW299">
        <v>-76.436899999999994</v>
      </c>
      <c r="BX299">
        <v>-76.436899999999994</v>
      </c>
      <c r="BY299">
        <v>165.1592</v>
      </c>
      <c r="BZ299">
        <v>165.1592</v>
      </c>
      <c r="CA299">
        <v>0</v>
      </c>
      <c r="CB299">
        <v>0</v>
      </c>
      <c r="CC299">
        <v>0</v>
      </c>
      <c r="CD299">
        <v>180</v>
      </c>
    </row>
    <row r="300" spans="19:82">
      <c r="S300">
        <v>0.82825000000000004</v>
      </c>
      <c r="T300">
        <v>0.98524990000000001</v>
      </c>
      <c r="U300">
        <v>0.98524990000000001</v>
      </c>
      <c r="V300">
        <v>1.3E-6</v>
      </c>
      <c r="W300">
        <v>1.3E-6</v>
      </c>
      <c r="X300">
        <v>1.4748799999999999E-2</v>
      </c>
      <c r="Y300">
        <v>1.4748799999999999E-2</v>
      </c>
      <c r="Z300">
        <v>-87.251800000000003</v>
      </c>
      <c r="AA300">
        <v>-87.251800000000003</v>
      </c>
      <c r="AB300">
        <v>-129.70599999999999</v>
      </c>
      <c r="AC300">
        <v>-129.70599999999999</v>
      </c>
      <c r="AD300">
        <v>0</v>
      </c>
      <c r="AE300">
        <v>0</v>
      </c>
      <c r="AF300">
        <v>0</v>
      </c>
      <c r="AG300">
        <v>180</v>
      </c>
      <c r="AI300">
        <v>0.82825000000000004</v>
      </c>
      <c r="AJ300">
        <v>0.98121499999999995</v>
      </c>
      <c r="AK300">
        <v>0.98121499999999995</v>
      </c>
      <c r="AL300">
        <v>1.9999999999999999E-6</v>
      </c>
      <c r="AM300">
        <v>1.9999999999999999E-6</v>
      </c>
      <c r="AN300">
        <v>1.8783000000000001E-2</v>
      </c>
      <c r="AO300">
        <v>1.8783000000000001E-2</v>
      </c>
      <c r="AP300">
        <v>-75.397000000000006</v>
      </c>
      <c r="AQ300">
        <v>-75.397000000000006</v>
      </c>
      <c r="AR300">
        <v>-107.82299999999999</v>
      </c>
      <c r="AS300">
        <v>-107.82299999999999</v>
      </c>
      <c r="AT300">
        <v>0</v>
      </c>
      <c r="AU300">
        <v>0</v>
      </c>
      <c r="AV300">
        <v>0</v>
      </c>
      <c r="AW300">
        <v>180</v>
      </c>
      <c r="AY300">
        <v>0.82825000000000004</v>
      </c>
      <c r="AZ300">
        <v>2.0003999999999998E-3</v>
      </c>
      <c r="BA300">
        <v>2.0003999999999998E-3</v>
      </c>
      <c r="BB300">
        <v>0.99780310000000005</v>
      </c>
      <c r="BC300">
        <v>0.99780310000000005</v>
      </c>
      <c r="BD300">
        <v>1.9660000000000001E-4</v>
      </c>
      <c r="BE300">
        <v>1.9660000000000001E-4</v>
      </c>
      <c r="BF300">
        <v>83.358800000000002</v>
      </c>
      <c r="BG300">
        <v>83.358800000000002</v>
      </c>
      <c r="BH300">
        <v>165.18350000000001</v>
      </c>
      <c r="BI300">
        <v>165.18350000000001</v>
      </c>
      <c r="BJ300">
        <v>0</v>
      </c>
      <c r="BK300">
        <v>0</v>
      </c>
      <c r="BL300">
        <v>0</v>
      </c>
      <c r="BM300">
        <v>180</v>
      </c>
      <c r="BP300">
        <v>0.82825000000000004</v>
      </c>
      <c r="BQ300">
        <v>0.86337209999999998</v>
      </c>
      <c r="BR300">
        <v>0.86337209999999998</v>
      </c>
      <c r="BS300">
        <v>0</v>
      </c>
      <c r="BT300">
        <v>0</v>
      </c>
      <c r="BU300">
        <v>0.1366279</v>
      </c>
      <c r="BV300">
        <v>0.1366279</v>
      </c>
      <c r="BW300">
        <v>-76.381699999999995</v>
      </c>
      <c r="BX300">
        <v>-76.381699999999995</v>
      </c>
      <c r="BY300">
        <v>165.16659999999999</v>
      </c>
      <c r="BZ300">
        <v>165.16659999999999</v>
      </c>
      <c r="CA300">
        <v>0</v>
      </c>
      <c r="CB300">
        <v>0</v>
      </c>
      <c r="CC300">
        <v>0</v>
      </c>
      <c r="CD300">
        <v>180</v>
      </c>
    </row>
    <row r="301" spans="19:82">
      <c r="S301">
        <v>0.8296</v>
      </c>
      <c r="T301">
        <v>0.98521559999999997</v>
      </c>
      <c r="U301">
        <v>0.98521559999999997</v>
      </c>
      <c r="V301">
        <v>1.3E-6</v>
      </c>
      <c r="W301">
        <v>1.3E-6</v>
      </c>
      <c r="X301">
        <v>1.47832E-2</v>
      </c>
      <c r="Y301">
        <v>1.47832E-2</v>
      </c>
      <c r="Z301">
        <v>-87.077299999999994</v>
      </c>
      <c r="AA301">
        <v>-87.077299999999994</v>
      </c>
      <c r="AB301">
        <v>-129.39959999999999</v>
      </c>
      <c r="AC301">
        <v>-129.39959999999999</v>
      </c>
      <c r="AD301">
        <v>0</v>
      </c>
      <c r="AE301">
        <v>0</v>
      </c>
      <c r="AF301">
        <v>0</v>
      </c>
      <c r="AG301">
        <v>180</v>
      </c>
      <c r="AI301">
        <v>0.8296</v>
      </c>
      <c r="AJ301">
        <v>0.98115560000000002</v>
      </c>
      <c r="AK301">
        <v>0.98115560000000002</v>
      </c>
      <c r="AL301">
        <v>1.9999999999999999E-6</v>
      </c>
      <c r="AM301">
        <v>1.9999999999999999E-6</v>
      </c>
      <c r="AN301">
        <v>1.8842399999999999E-2</v>
      </c>
      <c r="AO301">
        <v>1.8842399999999999E-2</v>
      </c>
      <c r="AP301">
        <v>-75.195899999999995</v>
      </c>
      <c r="AQ301">
        <v>-75.195899999999995</v>
      </c>
      <c r="AR301">
        <v>-107.4585</v>
      </c>
      <c r="AS301">
        <v>-107.4585</v>
      </c>
      <c r="AT301">
        <v>0</v>
      </c>
      <c r="AU301">
        <v>0</v>
      </c>
      <c r="AV301">
        <v>0</v>
      </c>
      <c r="AW301">
        <v>180</v>
      </c>
      <c r="AY301">
        <v>0.8296</v>
      </c>
      <c r="AZ301">
        <v>1.9453000000000001E-3</v>
      </c>
      <c r="BA301">
        <v>1.9453000000000001E-3</v>
      </c>
      <c r="BB301">
        <v>0.99785869999999999</v>
      </c>
      <c r="BC301">
        <v>0.99785869999999999</v>
      </c>
      <c r="BD301">
        <v>1.9599999999999999E-4</v>
      </c>
      <c r="BE301">
        <v>1.9599999999999999E-4</v>
      </c>
      <c r="BF301">
        <v>83.822100000000006</v>
      </c>
      <c r="BG301">
        <v>83.822100000000006</v>
      </c>
      <c r="BH301">
        <v>164.75389999999999</v>
      </c>
      <c r="BI301">
        <v>164.75389999999999</v>
      </c>
      <c r="BJ301">
        <v>0</v>
      </c>
      <c r="BK301">
        <v>0</v>
      </c>
      <c r="BL301">
        <v>0</v>
      </c>
      <c r="BM301">
        <v>180</v>
      </c>
      <c r="BP301">
        <v>0.8296</v>
      </c>
      <c r="BQ301">
        <v>0.86333099999999996</v>
      </c>
      <c r="BR301">
        <v>0.86333099999999996</v>
      </c>
      <c r="BS301">
        <v>0</v>
      </c>
      <c r="BT301">
        <v>0</v>
      </c>
      <c r="BU301">
        <v>0.13666890000000001</v>
      </c>
      <c r="BV301">
        <v>0.13666890000000001</v>
      </c>
      <c r="BW301">
        <v>-76.326700000000002</v>
      </c>
      <c r="BX301">
        <v>-76.326700000000002</v>
      </c>
      <c r="BY301">
        <v>165.17400000000001</v>
      </c>
      <c r="BZ301">
        <v>165.17400000000001</v>
      </c>
      <c r="CA301">
        <v>0</v>
      </c>
      <c r="CB301">
        <v>0</v>
      </c>
      <c r="CC301">
        <v>0</v>
      </c>
      <c r="CD301">
        <v>180</v>
      </c>
    </row>
    <row r="302" spans="19:82">
      <c r="S302">
        <v>0.83094999999999997</v>
      </c>
      <c r="T302">
        <v>0.98518099999999997</v>
      </c>
      <c r="U302">
        <v>0.98518099999999997</v>
      </c>
      <c r="V302">
        <v>1.3E-6</v>
      </c>
      <c r="W302">
        <v>1.3E-6</v>
      </c>
      <c r="X302">
        <v>1.4817800000000001E-2</v>
      </c>
      <c r="Y302">
        <v>1.4817800000000001E-2</v>
      </c>
      <c r="Z302">
        <v>-86.902600000000007</v>
      </c>
      <c r="AA302">
        <v>-86.902600000000007</v>
      </c>
      <c r="AB302">
        <v>-129.09299999999999</v>
      </c>
      <c r="AC302">
        <v>-129.09299999999999</v>
      </c>
      <c r="AD302">
        <v>0</v>
      </c>
      <c r="AE302">
        <v>0</v>
      </c>
      <c r="AF302">
        <v>0</v>
      </c>
      <c r="AG302">
        <v>180</v>
      </c>
      <c r="AI302">
        <v>0.83094999999999997</v>
      </c>
      <c r="AJ302">
        <v>0.98109610000000003</v>
      </c>
      <c r="AK302">
        <v>0.98109610000000003</v>
      </c>
      <c r="AL302">
        <v>1.9999999999999999E-6</v>
      </c>
      <c r="AM302">
        <v>1.9999999999999999E-6</v>
      </c>
      <c r="AN302">
        <v>1.8901899999999999E-2</v>
      </c>
      <c r="AO302">
        <v>1.8901899999999999E-2</v>
      </c>
      <c r="AP302">
        <v>-74.994600000000005</v>
      </c>
      <c r="AQ302">
        <v>-74.994600000000005</v>
      </c>
      <c r="AR302">
        <v>-107.0934</v>
      </c>
      <c r="AS302">
        <v>-107.0934</v>
      </c>
      <c r="AT302">
        <v>0</v>
      </c>
      <c r="AU302">
        <v>0</v>
      </c>
      <c r="AV302">
        <v>0</v>
      </c>
      <c r="AW302">
        <v>180</v>
      </c>
      <c r="AY302">
        <v>0.83094999999999997</v>
      </c>
      <c r="AZ302">
        <v>1.8910000000000001E-3</v>
      </c>
      <c r="BA302">
        <v>1.8910000000000001E-3</v>
      </c>
      <c r="BB302">
        <v>0.99791350000000001</v>
      </c>
      <c r="BC302">
        <v>0.99791350000000001</v>
      </c>
      <c r="BD302">
        <v>1.9540000000000001E-4</v>
      </c>
      <c r="BE302">
        <v>1.9540000000000001E-4</v>
      </c>
      <c r="BF302">
        <v>84.283900000000003</v>
      </c>
      <c r="BG302">
        <v>84.283900000000003</v>
      </c>
      <c r="BH302">
        <v>164.2989</v>
      </c>
      <c r="BI302">
        <v>164.2989</v>
      </c>
      <c r="BJ302">
        <v>0</v>
      </c>
      <c r="BK302">
        <v>0</v>
      </c>
      <c r="BL302">
        <v>0</v>
      </c>
      <c r="BM302">
        <v>180</v>
      </c>
      <c r="BP302">
        <v>0.83094999999999997</v>
      </c>
      <c r="BQ302">
        <v>0.86329009999999995</v>
      </c>
      <c r="BR302">
        <v>0.86329009999999995</v>
      </c>
      <c r="BS302">
        <v>0</v>
      </c>
      <c r="BT302">
        <v>0</v>
      </c>
      <c r="BU302">
        <v>0.1367099</v>
      </c>
      <c r="BV302">
        <v>0.1367099</v>
      </c>
      <c r="BW302">
        <v>-76.271900000000002</v>
      </c>
      <c r="BX302">
        <v>-76.271900000000002</v>
      </c>
      <c r="BY302">
        <v>165.18129999999999</v>
      </c>
      <c r="BZ302">
        <v>165.18129999999999</v>
      </c>
      <c r="CA302">
        <v>0</v>
      </c>
      <c r="CB302">
        <v>0</v>
      </c>
      <c r="CC302">
        <v>0</v>
      </c>
      <c r="CD302">
        <v>180</v>
      </c>
    </row>
    <row r="303" spans="19:82">
      <c r="S303">
        <v>0.83230000000000004</v>
      </c>
      <c r="T303">
        <v>0.98514610000000002</v>
      </c>
      <c r="U303">
        <v>0.98514610000000002</v>
      </c>
      <c r="V303">
        <v>1.3E-6</v>
      </c>
      <c r="W303">
        <v>1.3E-6</v>
      </c>
      <c r="X303">
        <v>1.4852600000000001E-2</v>
      </c>
      <c r="Y303">
        <v>1.4852600000000001E-2</v>
      </c>
      <c r="Z303">
        <v>-86.727900000000005</v>
      </c>
      <c r="AA303">
        <v>-86.727900000000005</v>
      </c>
      <c r="AB303">
        <v>-128.7861</v>
      </c>
      <c r="AC303">
        <v>-128.7861</v>
      </c>
      <c r="AD303">
        <v>0</v>
      </c>
      <c r="AE303">
        <v>0</v>
      </c>
      <c r="AF303">
        <v>0</v>
      </c>
      <c r="AG303">
        <v>180</v>
      </c>
      <c r="AI303">
        <v>0.83230000000000004</v>
      </c>
      <c r="AJ303">
        <v>0.98103640000000003</v>
      </c>
      <c r="AK303">
        <v>0.98103640000000003</v>
      </c>
      <c r="AL303">
        <v>1.9999999999999999E-6</v>
      </c>
      <c r="AM303">
        <v>1.9999999999999999E-6</v>
      </c>
      <c r="AN303">
        <v>1.8961599999999999E-2</v>
      </c>
      <c r="AO303">
        <v>1.8961599999999999E-2</v>
      </c>
      <c r="AP303">
        <v>-74.793199999999999</v>
      </c>
      <c r="AQ303">
        <v>-74.793199999999999</v>
      </c>
      <c r="AR303">
        <v>-106.72790000000001</v>
      </c>
      <c r="AS303">
        <v>-106.72790000000001</v>
      </c>
      <c r="AT303">
        <v>0</v>
      </c>
      <c r="AU303">
        <v>0</v>
      </c>
      <c r="AV303">
        <v>0</v>
      </c>
      <c r="AW303">
        <v>180</v>
      </c>
      <c r="AY303">
        <v>0.83230000000000004</v>
      </c>
      <c r="AZ303">
        <v>1.8377000000000001E-3</v>
      </c>
      <c r="BA303">
        <v>1.8377000000000001E-3</v>
      </c>
      <c r="BB303">
        <v>0.99796750000000001</v>
      </c>
      <c r="BC303">
        <v>0.99796750000000001</v>
      </c>
      <c r="BD303">
        <v>1.9489999999999999E-4</v>
      </c>
      <c r="BE303">
        <v>1.9489999999999999E-4</v>
      </c>
      <c r="BF303">
        <v>84.744399999999999</v>
      </c>
      <c r="BG303">
        <v>84.744399999999999</v>
      </c>
      <c r="BH303">
        <v>163.81739999999999</v>
      </c>
      <c r="BI303">
        <v>163.81739999999999</v>
      </c>
      <c r="BJ303">
        <v>0</v>
      </c>
      <c r="BK303">
        <v>0</v>
      </c>
      <c r="BL303">
        <v>0</v>
      </c>
      <c r="BM303">
        <v>180</v>
      </c>
      <c r="BP303">
        <v>0.83230000000000004</v>
      </c>
      <c r="BQ303">
        <v>0.8632493</v>
      </c>
      <c r="BR303">
        <v>0.8632493</v>
      </c>
      <c r="BS303">
        <v>0</v>
      </c>
      <c r="BT303">
        <v>0</v>
      </c>
      <c r="BU303">
        <v>0.1367507</v>
      </c>
      <c r="BV303">
        <v>0.1367507</v>
      </c>
      <c r="BW303">
        <v>-76.217299999999994</v>
      </c>
      <c r="BX303">
        <v>-76.217299999999994</v>
      </c>
      <c r="BY303">
        <v>165.18870000000001</v>
      </c>
      <c r="BZ303">
        <v>165.18870000000001</v>
      </c>
      <c r="CA303">
        <v>0</v>
      </c>
      <c r="CB303">
        <v>0</v>
      </c>
      <c r="CC303">
        <v>0</v>
      </c>
      <c r="CD303">
        <v>180</v>
      </c>
    </row>
    <row r="304" spans="19:82">
      <c r="S304">
        <v>0.83365</v>
      </c>
      <c r="T304">
        <v>0.98511099999999996</v>
      </c>
      <c r="U304">
        <v>0.98511099999999996</v>
      </c>
      <c r="V304">
        <v>1.3E-6</v>
      </c>
      <c r="W304">
        <v>1.3E-6</v>
      </c>
      <c r="X304">
        <v>1.48877E-2</v>
      </c>
      <c r="Y304">
        <v>1.48877E-2</v>
      </c>
      <c r="Z304">
        <v>-86.553200000000004</v>
      </c>
      <c r="AA304">
        <v>-86.553200000000004</v>
      </c>
      <c r="AB304">
        <v>-128.47890000000001</v>
      </c>
      <c r="AC304">
        <v>-128.47890000000001</v>
      </c>
      <c r="AD304">
        <v>0</v>
      </c>
      <c r="AE304">
        <v>0</v>
      </c>
      <c r="AF304">
        <v>0</v>
      </c>
      <c r="AG304">
        <v>180</v>
      </c>
      <c r="AI304">
        <v>0.83365</v>
      </c>
      <c r="AJ304">
        <v>0.98097650000000003</v>
      </c>
      <c r="AK304">
        <v>0.98097650000000003</v>
      </c>
      <c r="AL304">
        <v>1.9999999999999999E-6</v>
      </c>
      <c r="AM304">
        <v>1.9999999999999999E-6</v>
      </c>
      <c r="AN304">
        <v>1.90215E-2</v>
      </c>
      <c r="AO304">
        <v>1.90215E-2</v>
      </c>
      <c r="AP304">
        <v>-74.591499999999996</v>
      </c>
      <c r="AQ304">
        <v>-74.591499999999996</v>
      </c>
      <c r="AR304">
        <v>-106.36190000000001</v>
      </c>
      <c r="AS304">
        <v>-106.36190000000001</v>
      </c>
      <c r="AT304">
        <v>0</v>
      </c>
      <c r="AU304">
        <v>0</v>
      </c>
      <c r="AV304">
        <v>0</v>
      </c>
      <c r="AW304">
        <v>180</v>
      </c>
      <c r="AY304">
        <v>0.83365</v>
      </c>
      <c r="AZ304">
        <v>1.7852E-3</v>
      </c>
      <c r="BA304">
        <v>1.7852E-3</v>
      </c>
      <c r="BB304">
        <v>0.99802049999999998</v>
      </c>
      <c r="BC304">
        <v>0.99802049999999998</v>
      </c>
      <c r="BD304">
        <v>1.9430000000000001E-4</v>
      </c>
      <c r="BE304">
        <v>1.9430000000000001E-4</v>
      </c>
      <c r="BF304">
        <v>85.203400000000002</v>
      </c>
      <c r="BG304">
        <v>85.203400000000002</v>
      </c>
      <c r="BH304">
        <v>163.3083</v>
      </c>
      <c r="BI304">
        <v>163.3083</v>
      </c>
      <c r="BJ304">
        <v>0</v>
      </c>
      <c r="BK304">
        <v>0</v>
      </c>
      <c r="BL304">
        <v>0</v>
      </c>
      <c r="BM304">
        <v>180</v>
      </c>
      <c r="BP304">
        <v>0.83365</v>
      </c>
      <c r="BQ304">
        <v>0.86320859999999999</v>
      </c>
      <c r="BR304">
        <v>0.86320859999999999</v>
      </c>
      <c r="BS304">
        <v>0</v>
      </c>
      <c r="BT304">
        <v>0</v>
      </c>
      <c r="BU304">
        <v>0.1367913</v>
      </c>
      <c r="BV304">
        <v>0.1367913</v>
      </c>
      <c r="BW304">
        <v>-76.162899999999993</v>
      </c>
      <c r="BX304">
        <v>-76.162899999999993</v>
      </c>
      <c r="BY304">
        <v>165.1961</v>
      </c>
      <c r="BZ304">
        <v>165.1961</v>
      </c>
      <c r="CA304">
        <v>0</v>
      </c>
      <c r="CB304">
        <v>0</v>
      </c>
      <c r="CC304">
        <v>0</v>
      </c>
      <c r="CD304">
        <v>180</v>
      </c>
    </row>
    <row r="305" spans="19:82">
      <c r="S305">
        <v>0.83499999999999996</v>
      </c>
      <c r="T305">
        <v>0.9850757</v>
      </c>
      <c r="U305">
        <v>0.9850757</v>
      </c>
      <c r="V305">
        <v>1.3E-6</v>
      </c>
      <c r="W305">
        <v>1.3E-6</v>
      </c>
      <c r="X305">
        <v>1.4923000000000001E-2</v>
      </c>
      <c r="Y305">
        <v>1.4923000000000001E-2</v>
      </c>
      <c r="Z305">
        <v>-86.378399999999999</v>
      </c>
      <c r="AA305">
        <v>-86.378399999999999</v>
      </c>
      <c r="AB305">
        <v>-128.17150000000001</v>
      </c>
      <c r="AC305">
        <v>-128.17150000000001</v>
      </c>
      <c r="AD305">
        <v>0</v>
      </c>
      <c r="AE305">
        <v>0</v>
      </c>
      <c r="AF305">
        <v>0</v>
      </c>
      <c r="AG305">
        <v>180</v>
      </c>
      <c r="AI305">
        <v>0.83499999999999996</v>
      </c>
      <c r="AJ305">
        <v>0.98091640000000002</v>
      </c>
      <c r="AK305">
        <v>0.98091640000000002</v>
      </c>
      <c r="AL305">
        <v>1.9999999999999999E-6</v>
      </c>
      <c r="AM305">
        <v>1.9999999999999999E-6</v>
      </c>
      <c r="AN305">
        <v>1.9081600000000001E-2</v>
      </c>
      <c r="AO305">
        <v>1.9081600000000001E-2</v>
      </c>
      <c r="AP305">
        <v>-74.389700000000005</v>
      </c>
      <c r="AQ305">
        <v>-74.389700000000005</v>
      </c>
      <c r="AR305">
        <v>-105.9953</v>
      </c>
      <c r="AS305">
        <v>-105.9953</v>
      </c>
      <c r="AT305">
        <v>0</v>
      </c>
      <c r="AU305">
        <v>0</v>
      </c>
      <c r="AV305">
        <v>0</v>
      </c>
      <c r="AW305">
        <v>180</v>
      </c>
      <c r="AY305">
        <v>0.83499999999999996</v>
      </c>
      <c r="AZ305">
        <v>1.7336999999999999E-3</v>
      </c>
      <c r="BA305">
        <v>1.7336999999999999E-3</v>
      </c>
      <c r="BB305">
        <v>0.99807250000000003</v>
      </c>
      <c r="BC305">
        <v>0.99807250000000003</v>
      </c>
      <c r="BD305">
        <v>1.9369999999999999E-4</v>
      </c>
      <c r="BE305">
        <v>1.9369999999999999E-4</v>
      </c>
      <c r="BF305">
        <v>85.661100000000005</v>
      </c>
      <c r="BG305">
        <v>85.661100000000005</v>
      </c>
      <c r="BH305">
        <v>162.77019999999999</v>
      </c>
      <c r="BI305">
        <v>162.77019999999999</v>
      </c>
      <c r="BJ305">
        <v>0</v>
      </c>
      <c r="BK305">
        <v>0</v>
      </c>
      <c r="BL305">
        <v>0</v>
      </c>
      <c r="BM305">
        <v>180</v>
      </c>
      <c r="BP305">
        <v>0.83499999999999996</v>
      </c>
      <c r="BQ305">
        <v>0.86316809999999999</v>
      </c>
      <c r="BR305">
        <v>0.86316809999999999</v>
      </c>
      <c r="BS305">
        <v>0</v>
      </c>
      <c r="BT305">
        <v>0</v>
      </c>
      <c r="BU305">
        <v>0.13683190000000001</v>
      </c>
      <c r="BV305">
        <v>0.13683190000000001</v>
      </c>
      <c r="BW305">
        <v>-76.108599999999996</v>
      </c>
      <c r="BX305">
        <v>-76.108599999999996</v>
      </c>
      <c r="BY305">
        <v>165.20339999999999</v>
      </c>
      <c r="BZ305">
        <v>165.20339999999999</v>
      </c>
      <c r="CA305">
        <v>0</v>
      </c>
      <c r="CB305">
        <v>0</v>
      </c>
      <c r="CC305">
        <v>0</v>
      </c>
      <c r="CD305">
        <v>180</v>
      </c>
    </row>
    <row r="306" spans="19:82">
      <c r="S306">
        <v>0.83635000000000004</v>
      </c>
      <c r="T306">
        <v>0.98504009999999997</v>
      </c>
      <c r="U306">
        <v>0.98504009999999997</v>
      </c>
      <c r="V306">
        <v>1.3E-6</v>
      </c>
      <c r="W306">
        <v>1.3E-6</v>
      </c>
      <c r="X306">
        <v>1.4958600000000001E-2</v>
      </c>
      <c r="Y306">
        <v>1.4958600000000001E-2</v>
      </c>
      <c r="Z306">
        <v>-86.203500000000005</v>
      </c>
      <c r="AA306">
        <v>-86.203500000000005</v>
      </c>
      <c r="AB306">
        <v>-127.86369999999999</v>
      </c>
      <c r="AC306">
        <v>-127.86369999999999</v>
      </c>
      <c r="AD306">
        <v>0</v>
      </c>
      <c r="AE306">
        <v>0</v>
      </c>
      <c r="AF306">
        <v>0</v>
      </c>
      <c r="AG306">
        <v>180</v>
      </c>
      <c r="AI306">
        <v>0.83635000000000004</v>
      </c>
      <c r="AJ306">
        <v>0.98085619999999996</v>
      </c>
      <c r="AK306">
        <v>0.98085619999999996</v>
      </c>
      <c r="AL306">
        <v>1.9999999999999999E-6</v>
      </c>
      <c r="AM306">
        <v>1.9999999999999999E-6</v>
      </c>
      <c r="AN306">
        <v>1.91419E-2</v>
      </c>
      <c r="AO306">
        <v>1.91419E-2</v>
      </c>
      <c r="AP306">
        <v>-74.187700000000007</v>
      </c>
      <c r="AQ306">
        <v>-74.187700000000007</v>
      </c>
      <c r="AR306">
        <v>-105.6283</v>
      </c>
      <c r="AS306">
        <v>-105.6283</v>
      </c>
      <c r="AT306">
        <v>0</v>
      </c>
      <c r="AU306">
        <v>0</v>
      </c>
      <c r="AV306">
        <v>0</v>
      </c>
      <c r="AW306">
        <v>180</v>
      </c>
      <c r="AY306">
        <v>0.83635000000000004</v>
      </c>
      <c r="AZ306">
        <v>1.6833E-3</v>
      </c>
      <c r="BA306">
        <v>1.6833E-3</v>
      </c>
      <c r="BB306">
        <v>0.9981236</v>
      </c>
      <c r="BC306">
        <v>0.9981236</v>
      </c>
      <c r="BD306">
        <v>1.9320000000000001E-4</v>
      </c>
      <c r="BE306">
        <v>1.9320000000000001E-4</v>
      </c>
      <c r="BF306">
        <v>86.117400000000004</v>
      </c>
      <c r="BG306">
        <v>86.117400000000004</v>
      </c>
      <c r="BH306">
        <v>162.202</v>
      </c>
      <c r="BI306">
        <v>162.202</v>
      </c>
      <c r="BJ306">
        <v>0</v>
      </c>
      <c r="BK306">
        <v>0</v>
      </c>
      <c r="BL306">
        <v>0</v>
      </c>
      <c r="BM306">
        <v>180</v>
      </c>
      <c r="BP306">
        <v>0.83635000000000004</v>
      </c>
      <c r="BQ306">
        <v>0.86312770000000005</v>
      </c>
      <c r="BR306">
        <v>0.86312770000000005</v>
      </c>
      <c r="BS306">
        <v>0</v>
      </c>
      <c r="BT306">
        <v>0</v>
      </c>
      <c r="BU306">
        <v>0.1368723</v>
      </c>
      <c r="BV306">
        <v>0.1368723</v>
      </c>
      <c r="BW306">
        <v>-76.054599999999994</v>
      </c>
      <c r="BX306">
        <v>-76.054599999999994</v>
      </c>
      <c r="BY306">
        <v>165.2107</v>
      </c>
      <c r="BZ306">
        <v>165.2107</v>
      </c>
      <c r="CA306">
        <v>0</v>
      </c>
      <c r="CB306">
        <v>0</v>
      </c>
      <c r="CC306">
        <v>0</v>
      </c>
      <c r="CD306">
        <v>180</v>
      </c>
    </row>
    <row r="307" spans="19:82">
      <c r="S307">
        <v>0.8377</v>
      </c>
      <c r="T307">
        <v>0.98500430000000005</v>
      </c>
      <c r="U307">
        <v>0.98500430000000005</v>
      </c>
      <c r="V307">
        <v>1.3E-6</v>
      </c>
      <c r="W307">
        <v>1.3E-6</v>
      </c>
      <c r="X307">
        <v>1.49944E-2</v>
      </c>
      <c r="Y307">
        <v>1.49944E-2</v>
      </c>
      <c r="Z307">
        <v>-86.028599999999997</v>
      </c>
      <c r="AA307">
        <v>-86.028599999999997</v>
      </c>
      <c r="AB307">
        <v>-127.5557</v>
      </c>
      <c r="AC307">
        <v>-127.5557</v>
      </c>
      <c r="AD307">
        <v>0</v>
      </c>
      <c r="AE307">
        <v>0</v>
      </c>
      <c r="AF307">
        <v>0</v>
      </c>
      <c r="AG307">
        <v>180</v>
      </c>
      <c r="AI307">
        <v>0.8377</v>
      </c>
      <c r="AJ307">
        <v>0.98079570000000005</v>
      </c>
      <c r="AK307">
        <v>0.98079570000000005</v>
      </c>
      <c r="AL307">
        <v>1.9999999999999999E-6</v>
      </c>
      <c r="AM307">
        <v>1.9999999999999999E-6</v>
      </c>
      <c r="AN307">
        <v>1.9202299999999999E-2</v>
      </c>
      <c r="AO307">
        <v>1.9202299999999999E-2</v>
      </c>
      <c r="AP307">
        <v>-73.985500000000002</v>
      </c>
      <c r="AQ307">
        <v>-73.985500000000002</v>
      </c>
      <c r="AR307">
        <v>-105.2608</v>
      </c>
      <c r="AS307">
        <v>-105.2608</v>
      </c>
      <c r="AT307">
        <v>0</v>
      </c>
      <c r="AU307">
        <v>0</v>
      </c>
      <c r="AV307">
        <v>0</v>
      </c>
      <c r="AW307">
        <v>180</v>
      </c>
      <c r="AY307">
        <v>0.8377</v>
      </c>
      <c r="AZ307">
        <v>1.6337999999999999E-3</v>
      </c>
      <c r="BA307">
        <v>1.6337999999999999E-3</v>
      </c>
      <c r="BB307">
        <v>0.99817359999999999</v>
      </c>
      <c r="BC307">
        <v>0.99817359999999999</v>
      </c>
      <c r="BD307">
        <v>1.9259999999999999E-4</v>
      </c>
      <c r="BE307">
        <v>1.9259999999999999E-4</v>
      </c>
      <c r="BF307">
        <v>86.572199999999995</v>
      </c>
      <c r="BG307">
        <v>86.572199999999995</v>
      </c>
      <c r="BH307">
        <v>161.60230000000001</v>
      </c>
      <c r="BI307">
        <v>161.60230000000001</v>
      </c>
      <c r="BJ307">
        <v>0</v>
      </c>
      <c r="BK307">
        <v>0</v>
      </c>
      <c r="BL307">
        <v>0</v>
      </c>
      <c r="BM307">
        <v>180</v>
      </c>
      <c r="BP307">
        <v>0.8377</v>
      </c>
      <c r="BQ307">
        <v>0.86308739999999995</v>
      </c>
      <c r="BR307">
        <v>0.86308739999999995</v>
      </c>
      <c r="BS307">
        <v>0</v>
      </c>
      <c r="BT307">
        <v>0</v>
      </c>
      <c r="BU307">
        <v>0.13691249999999999</v>
      </c>
      <c r="BV307">
        <v>0.13691249999999999</v>
      </c>
      <c r="BW307">
        <v>-76.000699999999995</v>
      </c>
      <c r="BX307">
        <v>-76.000699999999995</v>
      </c>
      <c r="BY307">
        <v>165.21809999999999</v>
      </c>
      <c r="BZ307">
        <v>165.21809999999999</v>
      </c>
      <c r="CA307">
        <v>0</v>
      </c>
      <c r="CB307">
        <v>0</v>
      </c>
      <c r="CC307">
        <v>0</v>
      </c>
      <c r="CD307">
        <v>180</v>
      </c>
    </row>
    <row r="308" spans="19:82">
      <c r="S308">
        <v>0.83904999999999996</v>
      </c>
      <c r="T308">
        <v>0.98496830000000002</v>
      </c>
      <c r="U308">
        <v>0.98496830000000002</v>
      </c>
      <c r="V308">
        <v>1.3E-6</v>
      </c>
      <c r="W308">
        <v>1.3E-6</v>
      </c>
      <c r="X308">
        <v>1.5030399999999999E-2</v>
      </c>
      <c r="Y308">
        <v>1.5030399999999999E-2</v>
      </c>
      <c r="Z308">
        <v>-85.8536</v>
      </c>
      <c r="AA308">
        <v>-85.8536</v>
      </c>
      <c r="AB308">
        <v>-127.2474</v>
      </c>
      <c r="AC308">
        <v>-127.2474</v>
      </c>
      <c r="AD308">
        <v>0</v>
      </c>
      <c r="AE308">
        <v>0</v>
      </c>
      <c r="AF308">
        <v>0</v>
      </c>
      <c r="AG308">
        <v>180</v>
      </c>
      <c r="AI308">
        <v>0.83904999999999996</v>
      </c>
      <c r="AJ308">
        <v>0.98073509999999997</v>
      </c>
      <c r="AK308">
        <v>0.98073509999999997</v>
      </c>
      <c r="AL308">
        <v>1.9999999999999999E-6</v>
      </c>
      <c r="AM308">
        <v>1.9999999999999999E-6</v>
      </c>
      <c r="AN308">
        <v>1.9262899999999999E-2</v>
      </c>
      <c r="AO308">
        <v>1.9262899999999999E-2</v>
      </c>
      <c r="AP308">
        <v>-73.783199999999994</v>
      </c>
      <c r="AQ308">
        <v>-73.783199999999994</v>
      </c>
      <c r="AR308">
        <v>-104.8927</v>
      </c>
      <c r="AS308">
        <v>-104.8927</v>
      </c>
      <c r="AT308">
        <v>0</v>
      </c>
      <c r="AU308">
        <v>0</v>
      </c>
      <c r="AV308">
        <v>0</v>
      </c>
      <c r="AW308">
        <v>180</v>
      </c>
      <c r="AY308">
        <v>0.83904999999999996</v>
      </c>
      <c r="AZ308">
        <v>1.5855000000000001E-3</v>
      </c>
      <c r="BA308">
        <v>1.5855000000000001E-3</v>
      </c>
      <c r="BB308">
        <v>0.99822250000000001</v>
      </c>
      <c r="BC308">
        <v>0.99822250000000001</v>
      </c>
      <c r="BD308">
        <v>1.92E-4</v>
      </c>
      <c r="BE308">
        <v>1.92E-4</v>
      </c>
      <c r="BF308">
        <v>87.025800000000004</v>
      </c>
      <c r="BG308">
        <v>87.025800000000004</v>
      </c>
      <c r="BH308">
        <v>160.96979999999999</v>
      </c>
      <c r="BI308">
        <v>160.96979999999999</v>
      </c>
      <c r="BJ308">
        <v>0</v>
      </c>
      <c r="BK308">
        <v>0</v>
      </c>
      <c r="BL308">
        <v>0</v>
      </c>
      <c r="BM308">
        <v>180</v>
      </c>
      <c r="BP308">
        <v>0.83904999999999996</v>
      </c>
      <c r="BQ308">
        <v>0.86304729999999996</v>
      </c>
      <c r="BR308">
        <v>0.86304729999999996</v>
      </c>
      <c r="BS308">
        <v>0</v>
      </c>
      <c r="BT308">
        <v>0</v>
      </c>
      <c r="BU308">
        <v>0.13695270000000001</v>
      </c>
      <c r="BV308">
        <v>0.13695270000000001</v>
      </c>
      <c r="BW308">
        <v>-75.947000000000003</v>
      </c>
      <c r="BX308">
        <v>-75.947000000000003</v>
      </c>
      <c r="BY308">
        <v>165.22540000000001</v>
      </c>
      <c r="BZ308">
        <v>165.22540000000001</v>
      </c>
      <c r="CA308">
        <v>0</v>
      </c>
      <c r="CB308">
        <v>0</v>
      </c>
      <c r="CC308">
        <v>0</v>
      </c>
      <c r="CD308">
        <v>180</v>
      </c>
    </row>
    <row r="309" spans="19:82">
      <c r="S309">
        <v>0.84040000000000004</v>
      </c>
      <c r="T309">
        <v>0.98493209999999998</v>
      </c>
      <c r="U309">
        <v>0.98493209999999998</v>
      </c>
      <c r="V309">
        <v>1.3E-6</v>
      </c>
      <c r="W309">
        <v>1.3E-6</v>
      </c>
      <c r="X309">
        <v>1.5066700000000001E-2</v>
      </c>
      <c r="Y309">
        <v>1.5066700000000001E-2</v>
      </c>
      <c r="Z309">
        <v>-85.678600000000003</v>
      </c>
      <c r="AA309">
        <v>-85.678600000000003</v>
      </c>
      <c r="AB309">
        <v>-126.9388</v>
      </c>
      <c r="AC309">
        <v>-126.9388</v>
      </c>
      <c r="AD309">
        <v>0</v>
      </c>
      <c r="AE309">
        <v>0</v>
      </c>
      <c r="AF309">
        <v>0</v>
      </c>
      <c r="AG309">
        <v>180</v>
      </c>
      <c r="AI309">
        <v>0.84040000000000004</v>
      </c>
      <c r="AJ309">
        <v>0.98067439999999995</v>
      </c>
      <c r="AK309">
        <v>0.98067439999999995</v>
      </c>
      <c r="AL309">
        <v>1.9999999999999999E-6</v>
      </c>
      <c r="AM309">
        <v>1.9999999999999999E-6</v>
      </c>
      <c r="AN309">
        <v>1.93236E-2</v>
      </c>
      <c r="AO309">
        <v>1.93236E-2</v>
      </c>
      <c r="AP309">
        <v>-73.580699999999993</v>
      </c>
      <c r="AQ309">
        <v>-73.580699999999993</v>
      </c>
      <c r="AR309">
        <v>-104.52419999999999</v>
      </c>
      <c r="AS309">
        <v>-104.52419999999999</v>
      </c>
      <c r="AT309">
        <v>0</v>
      </c>
      <c r="AU309">
        <v>0</v>
      </c>
      <c r="AV309">
        <v>0</v>
      </c>
      <c r="AW309">
        <v>180</v>
      </c>
      <c r="AY309">
        <v>0.84040000000000004</v>
      </c>
      <c r="AZ309">
        <v>1.5383E-3</v>
      </c>
      <c r="BA309">
        <v>1.5383E-3</v>
      </c>
      <c r="BB309">
        <v>0.9982702</v>
      </c>
      <c r="BC309">
        <v>0.9982702</v>
      </c>
      <c r="BD309">
        <v>1.9149999999999999E-4</v>
      </c>
      <c r="BE309">
        <v>1.9149999999999999E-4</v>
      </c>
      <c r="BF309">
        <v>87.477900000000005</v>
      </c>
      <c r="BG309">
        <v>87.477900000000005</v>
      </c>
      <c r="BH309">
        <v>160.3032</v>
      </c>
      <c r="BI309">
        <v>160.3032</v>
      </c>
      <c r="BJ309">
        <v>0</v>
      </c>
      <c r="BK309">
        <v>0</v>
      </c>
      <c r="BL309">
        <v>0</v>
      </c>
      <c r="BM309">
        <v>180</v>
      </c>
      <c r="BP309">
        <v>0.84040000000000004</v>
      </c>
      <c r="BQ309">
        <v>0.86300730000000003</v>
      </c>
      <c r="BR309">
        <v>0.86300730000000003</v>
      </c>
      <c r="BS309">
        <v>0</v>
      </c>
      <c r="BT309">
        <v>0</v>
      </c>
      <c r="BU309">
        <v>0.1369927</v>
      </c>
      <c r="BV309">
        <v>0.1369927</v>
      </c>
      <c r="BW309">
        <v>-75.8934</v>
      </c>
      <c r="BX309">
        <v>-75.8934</v>
      </c>
      <c r="BY309">
        <v>165.23269999999999</v>
      </c>
      <c r="BZ309">
        <v>165.23269999999999</v>
      </c>
      <c r="CA309">
        <v>0</v>
      </c>
      <c r="CB309">
        <v>0</v>
      </c>
      <c r="CC309">
        <v>0</v>
      </c>
      <c r="CD309">
        <v>180</v>
      </c>
    </row>
    <row r="310" spans="19:82">
      <c r="S310">
        <v>0.84175</v>
      </c>
      <c r="T310">
        <v>0.98489559999999998</v>
      </c>
      <c r="U310">
        <v>0.98489559999999998</v>
      </c>
      <c r="V310">
        <v>1.3E-6</v>
      </c>
      <c r="W310">
        <v>1.3E-6</v>
      </c>
      <c r="X310">
        <v>1.5103200000000001E-2</v>
      </c>
      <c r="Y310">
        <v>1.5103200000000001E-2</v>
      </c>
      <c r="Z310">
        <v>-85.503500000000003</v>
      </c>
      <c r="AA310">
        <v>-85.503500000000003</v>
      </c>
      <c r="AB310">
        <v>-126.6298</v>
      </c>
      <c r="AC310">
        <v>-126.6298</v>
      </c>
      <c r="AD310">
        <v>0</v>
      </c>
      <c r="AE310">
        <v>0</v>
      </c>
      <c r="AF310">
        <v>0</v>
      </c>
      <c r="AG310">
        <v>180</v>
      </c>
      <c r="AI310">
        <v>0.84175</v>
      </c>
      <c r="AJ310">
        <v>0.98061350000000003</v>
      </c>
      <c r="AK310">
        <v>0.98061350000000003</v>
      </c>
      <c r="AL310">
        <v>1.9999999999999999E-6</v>
      </c>
      <c r="AM310">
        <v>1.9999999999999999E-6</v>
      </c>
      <c r="AN310">
        <v>1.9384599999999998E-2</v>
      </c>
      <c r="AO310">
        <v>1.9384599999999998E-2</v>
      </c>
      <c r="AP310">
        <v>-73.378</v>
      </c>
      <c r="AQ310">
        <v>-73.378</v>
      </c>
      <c r="AR310">
        <v>-104.1551</v>
      </c>
      <c r="AS310">
        <v>-104.1551</v>
      </c>
      <c r="AT310">
        <v>0</v>
      </c>
      <c r="AU310">
        <v>0</v>
      </c>
      <c r="AV310">
        <v>0</v>
      </c>
      <c r="AW310">
        <v>180</v>
      </c>
      <c r="AY310">
        <v>0.84175</v>
      </c>
      <c r="AZ310">
        <v>1.4923E-3</v>
      </c>
      <c r="BA310">
        <v>1.4923E-3</v>
      </c>
      <c r="BB310">
        <v>0.9983168</v>
      </c>
      <c r="BC310">
        <v>0.9983168</v>
      </c>
      <c r="BD310">
        <v>1.9090000000000001E-4</v>
      </c>
      <c r="BE310">
        <v>1.9090000000000001E-4</v>
      </c>
      <c r="BF310">
        <v>87.928700000000006</v>
      </c>
      <c r="BG310">
        <v>87.928700000000006</v>
      </c>
      <c r="BH310">
        <v>159.601</v>
      </c>
      <c r="BI310">
        <v>159.601</v>
      </c>
      <c r="BJ310">
        <v>0</v>
      </c>
      <c r="BK310">
        <v>0</v>
      </c>
      <c r="BL310">
        <v>0</v>
      </c>
      <c r="BM310">
        <v>180</v>
      </c>
      <c r="BP310">
        <v>0.84175</v>
      </c>
      <c r="BQ310">
        <v>0.86296740000000005</v>
      </c>
      <c r="BR310">
        <v>0.86296740000000005</v>
      </c>
      <c r="BS310">
        <v>0</v>
      </c>
      <c r="BT310">
        <v>0</v>
      </c>
      <c r="BU310">
        <v>0.1370326</v>
      </c>
      <c r="BV310">
        <v>0.1370326</v>
      </c>
      <c r="BW310">
        <v>-75.840100000000007</v>
      </c>
      <c r="BX310">
        <v>-75.840100000000007</v>
      </c>
      <c r="BY310">
        <v>165.24</v>
      </c>
      <c r="BZ310">
        <v>165.24</v>
      </c>
      <c r="CA310">
        <v>0</v>
      </c>
      <c r="CB310">
        <v>0</v>
      </c>
      <c r="CC310">
        <v>0</v>
      </c>
      <c r="CD310">
        <v>180</v>
      </c>
    </row>
    <row r="311" spans="19:82">
      <c r="S311">
        <v>0.84309999999999996</v>
      </c>
      <c r="T311">
        <v>0.98485889999999998</v>
      </c>
      <c r="U311">
        <v>0.98485889999999998</v>
      </c>
      <c r="V311">
        <v>1.1999999999999999E-6</v>
      </c>
      <c r="W311">
        <v>1.1999999999999999E-6</v>
      </c>
      <c r="X311">
        <v>1.51399E-2</v>
      </c>
      <c r="Y311">
        <v>1.51399E-2</v>
      </c>
      <c r="Z311">
        <v>-85.328299999999999</v>
      </c>
      <c r="AA311">
        <v>-85.328299999999999</v>
      </c>
      <c r="AB311">
        <v>-126.3206</v>
      </c>
      <c r="AC311">
        <v>-126.3206</v>
      </c>
      <c r="AD311">
        <v>0</v>
      </c>
      <c r="AE311">
        <v>0</v>
      </c>
      <c r="AF311">
        <v>0</v>
      </c>
      <c r="AG311">
        <v>180</v>
      </c>
      <c r="AI311">
        <v>0.84309999999999996</v>
      </c>
      <c r="AJ311">
        <v>0.98055239999999999</v>
      </c>
      <c r="AK311">
        <v>0.98055239999999999</v>
      </c>
      <c r="AL311">
        <v>1.9999999999999999E-6</v>
      </c>
      <c r="AM311">
        <v>1.9999999999999999E-6</v>
      </c>
      <c r="AN311">
        <v>1.94457E-2</v>
      </c>
      <c r="AO311">
        <v>1.94457E-2</v>
      </c>
      <c r="AP311">
        <v>-73.1751</v>
      </c>
      <c r="AQ311">
        <v>-73.1751</v>
      </c>
      <c r="AR311">
        <v>-103.7856</v>
      </c>
      <c r="AS311">
        <v>-103.7856</v>
      </c>
      <c r="AT311">
        <v>0</v>
      </c>
      <c r="AU311">
        <v>0</v>
      </c>
      <c r="AV311">
        <v>0</v>
      </c>
      <c r="AW311">
        <v>180</v>
      </c>
      <c r="AY311">
        <v>0.84309999999999996</v>
      </c>
      <c r="AZ311">
        <v>1.4473999999999999E-3</v>
      </c>
      <c r="BA311">
        <v>1.4473999999999999E-3</v>
      </c>
      <c r="BB311">
        <v>0.99836219999999998</v>
      </c>
      <c r="BC311">
        <v>0.99836219999999998</v>
      </c>
      <c r="BD311">
        <v>1.9039999999999999E-4</v>
      </c>
      <c r="BE311">
        <v>1.9039999999999999E-4</v>
      </c>
      <c r="BF311">
        <v>88.378200000000007</v>
      </c>
      <c r="BG311">
        <v>88.378200000000007</v>
      </c>
      <c r="BH311">
        <v>158.86179999999999</v>
      </c>
      <c r="BI311">
        <v>158.86179999999999</v>
      </c>
      <c r="BJ311">
        <v>0</v>
      </c>
      <c r="BK311">
        <v>0</v>
      </c>
      <c r="BL311">
        <v>0</v>
      </c>
      <c r="BM311">
        <v>180</v>
      </c>
      <c r="BP311">
        <v>0.84309999999999996</v>
      </c>
      <c r="BQ311">
        <v>0.86292760000000002</v>
      </c>
      <c r="BR311">
        <v>0.86292760000000002</v>
      </c>
      <c r="BS311">
        <v>0</v>
      </c>
      <c r="BT311">
        <v>0</v>
      </c>
      <c r="BU311">
        <v>0.13707230000000001</v>
      </c>
      <c r="BV311">
        <v>0.13707230000000001</v>
      </c>
      <c r="BW311">
        <v>-75.786900000000003</v>
      </c>
      <c r="BX311">
        <v>-75.786900000000003</v>
      </c>
      <c r="BY311">
        <v>165.2474</v>
      </c>
      <c r="BZ311">
        <v>165.2474</v>
      </c>
      <c r="CA311">
        <v>0</v>
      </c>
      <c r="CB311">
        <v>0</v>
      </c>
      <c r="CC311">
        <v>0</v>
      </c>
      <c r="CD311">
        <v>180</v>
      </c>
    </row>
    <row r="312" spans="19:82">
      <c r="S312">
        <v>0.84445000000000003</v>
      </c>
      <c r="T312">
        <v>0.98482190000000003</v>
      </c>
      <c r="U312">
        <v>0.98482190000000003</v>
      </c>
      <c r="V312">
        <v>1.1999999999999999E-6</v>
      </c>
      <c r="W312">
        <v>1.1999999999999999E-6</v>
      </c>
      <c r="X312">
        <v>1.5176800000000001E-2</v>
      </c>
      <c r="Y312">
        <v>1.5176800000000001E-2</v>
      </c>
      <c r="Z312">
        <v>-85.153000000000006</v>
      </c>
      <c r="AA312">
        <v>-85.153000000000006</v>
      </c>
      <c r="AB312">
        <v>-126.0111</v>
      </c>
      <c r="AC312">
        <v>-126.0111</v>
      </c>
      <c r="AD312">
        <v>0</v>
      </c>
      <c r="AE312">
        <v>0</v>
      </c>
      <c r="AF312">
        <v>0</v>
      </c>
      <c r="AG312">
        <v>180</v>
      </c>
      <c r="AI312">
        <v>0.84445000000000003</v>
      </c>
      <c r="AJ312">
        <v>0.98049109999999995</v>
      </c>
      <c r="AK312">
        <v>0.98049109999999995</v>
      </c>
      <c r="AL312">
        <v>1.9999999999999999E-6</v>
      </c>
      <c r="AM312">
        <v>1.9999999999999999E-6</v>
      </c>
      <c r="AN312">
        <v>1.9506900000000001E-2</v>
      </c>
      <c r="AO312">
        <v>1.9506900000000001E-2</v>
      </c>
      <c r="AP312">
        <v>-72.971999999999994</v>
      </c>
      <c r="AQ312">
        <v>-72.971999999999994</v>
      </c>
      <c r="AR312">
        <v>-103.41549999999999</v>
      </c>
      <c r="AS312">
        <v>-103.41549999999999</v>
      </c>
      <c r="AT312">
        <v>0</v>
      </c>
      <c r="AU312">
        <v>0</v>
      </c>
      <c r="AV312">
        <v>0</v>
      </c>
      <c r="AW312">
        <v>180</v>
      </c>
      <c r="AY312">
        <v>0.84445000000000003</v>
      </c>
      <c r="AZ312">
        <v>1.4039E-3</v>
      </c>
      <c r="BA312">
        <v>1.4039E-3</v>
      </c>
      <c r="BB312">
        <v>0.99840629999999997</v>
      </c>
      <c r="BC312">
        <v>0.99840629999999997</v>
      </c>
      <c r="BD312">
        <v>1.8980000000000001E-4</v>
      </c>
      <c r="BE312">
        <v>1.8980000000000001E-4</v>
      </c>
      <c r="BF312">
        <v>88.826300000000003</v>
      </c>
      <c r="BG312">
        <v>88.826300000000003</v>
      </c>
      <c r="BH312">
        <v>158.08420000000001</v>
      </c>
      <c r="BI312">
        <v>158.08420000000001</v>
      </c>
      <c r="BJ312">
        <v>0</v>
      </c>
      <c r="BK312">
        <v>0</v>
      </c>
      <c r="BL312">
        <v>0</v>
      </c>
      <c r="BM312">
        <v>180</v>
      </c>
      <c r="BP312">
        <v>0.84445000000000003</v>
      </c>
      <c r="BQ312">
        <v>0.86288799999999999</v>
      </c>
      <c r="BR312">
        <v>0.86288799999999999</v>
      </c>
      <c r="BS312">
        <v>0</v>
      </c>
      <c r="BT312">
        <v>0</v>
      </c>
      <c r="BU312">
        <v>0.13711190000000001</v>
      </c>
      <c r="BV312">
        <v>0.13711190000000001</v>
      </c>
      <c r="BW312">
        <v>-75.733900000000006</v>
      </c>
      <c r="BX312">
        <v>-75.733900000000006</v>
      </c>
      <c r="BY312">
        <v>165.25470000000001</v>
      </c>
      <c r="BZ312">
        <v>165.25470000000001</v>
      </c>
      <c r="CA312">
        <v>0</v>
      </c>
      <c r="CB312">
        <v>0</v>
      </c>
      <c r="CC312">
        <v>0</v>
      </c>
      <c r="CD312">
        <v>180</v>
      </c>
    </row>
    <row r="313" spans="19:82">
      <c r="S313">
        <v>0.8458</v>
      </c>
      <c r="T313">
        <v>0.98478480000000002</v>
      </c>
      <c r="U313">
        <v>0.98478480000000002</v>
      </c>
      <c r="V313">
        <v>1.1999999999999999E-6</v>
      </c>
      <c r="W313">
        <v>1.1999999999999999E-6</v>
      </c>
      <c r="X313">
        <v>1.5214E-2</v>
      </c>
      <c r="Y313">
        <v>1.5214E-2</v>
      </c>
      <c r="Z313">
        <v>-84.977699999999999</v>
      </c>
      <c r="AA313">
        <v>-84.977699999999999</v>
      </c>
      <c r="AB313">
        <v>-125.7012</v>
      </c>
      <c r="AC313">
        <v>-125.7012</v>
      </c>
      <c r="AD313">
        <v>0</v>
      </c>
      <c r="AE313">
        <v>0</v>
      </c>
      <c r="AF313">
        <v>0</v>
      </c>
      <c r="AG313">
        <v>180</v>
      </c>
      <c r="AI313">
        <v>0.8458</v>
      </c>
      <c r="AJ313">
        <v>0.98042980000000002</v>
      </c>
      <c r="AK313">
        <v>0.98042980000000002</v>
      </c>
      <c r="AL313">
        <v>1.9999999999999999E-6</v>
      </c>
      <c r="AM313">
        <v>1.9999999999999999E-6</v>
      </c>
      <c r="AN313">
        <v>1.95683E-2</v>
      </c>
      <c r="AO313">
        <v>1.95683E-2</v>
      </c>
      <c r="AP313">
        <v>-72.768799999999999</v>
      </c>
      <c r="AQ313">
        <v>-72.768799999999999</v>
      </c>
      <c r="AR313">
        <v>-103.0449</v>
      </c>
      <c r="AS313">
        <v>-103.0449</v>
      </c>
      <c r="AT313">
        <v>0</v>
      </c>
      <c r="AU313">
        <v>0</v>
      </c>
      <c r="AV313">
        <v>0</v>
      </c>
      <c r="AW313">
        <v>180</v>
      </c>
      <c r="AY313">
        <v>0.8458</v>
      </c>
      <c r="AZ313">
        <v>1.3615999999999999E-3</v>
      </c>
      <c r="BA313">
        <v>1.3615999999999999E-3</v>
      </c>
      <c r="BB313">
        <v>0.99844909999999998</v>
      </c>
      <c r="BC313">
        <v>0.99844909999999998</v>
      </c>
      <c r="BD313">
        <v>1.8929999999999999E-4</v>
      </c>
      <c r="BE313">
        <v>1.8929999999999999E-4</v>
      </c>
      <c r="BF313">
        <v>89.273099999999999</v>
      </c>
      <c r="BG313">
        <v>89.273099999999999</v>
      </c>
      <c r="BH313">
        <v>157.26689999999999</v>
      </c>
      <c r="BI313">
        <v>157.26689999999999</v>
      </c>
      <c r="BJ313">
        <v>0</v>
      </c>
      <c r="BK313">
        <v>0</v>
      </c>
      <c r="BL313">
        <v>0</v>
      </c>
      <c r="BM313">
        <v>180</v>
      </c>
      <c r="BP313">
        <v>0.8458</v>
      </c>
      <c r="BQ313">
        <v>0.86284850000000002</v>
      </c>
      <c r="BR313">
        <v>0.86284850000000002</v>
      </c>
      <c r="BS313">
        <v>0</v>
      </c>
      <c r="BT313">
        <v>0</v>
      </c>
      <c r="BU313">
        <v>0.13715140000000001</v>
      </c>
      <c r="BV313">
        <v>0.13715140000000001</v>
      </c>
      <c r="BW313">
        <v>-75.681100000000001</v>
      </c>
      <c r="BX313">
        <v>-75.681100000000001</v>
      </c>
      <c r="BY313">
        <v>165.262</v>
      </c>
      <c r="BZ313">
        <v>165.262</v>
      </c>
      <c r="CA313">
        <v>0</v>
      </c>
      <c r="CB313">
        <v>0</v>
      </c>
      <c r="CC313">
        <v>0</v>
      </c>
      <c r="CD313">
        <v>180</v>
      </c>
    </row>
    <row r="314" spans="19:82">
      <c r="S314">
        <v>0.84714999999999996</v>
      </c>
      <c r="T314">
        <v>0.98474740000000005</v>
      </c>
      <c r="U314">
        <v>0.98474740000000005</v>
      </c>
      <c r="V314">
        <v>1.1999999999999999E-6</v>
      </c>
      <c r="W314">
        <v>1.1999999999999999E-6</v>
      </c>
      <c r="X314">
        <v>1.52514E-2</v>
      </c>
      <c r="Y314">
        <v>1.52514E-2</v>
      </c>
      <c r="Z314">
        <v>-84.802199999999999</v>
      </c>
      <c r="AA314">
        <v>-84.802199999999999</v>
      </c>
      <c r="AB314">
        <v>-125.39109999999999</v>
      </c>
      <c r="AC314">
        <v>-125.39109999999999</v>
      </c>
      <c r="AD314">
        <v>0</v>
      </c>
      <c r="AE314">
        <v>0</v>
      </c>
      <c r="AF314">
        <v>0</v>
      </c>
      <c r="AG314">
        <v>180</v>
      </c>
      <c r="AI314">
        <v>0.84714999999999996</v>
      </c>
      <c r="AJ314">
        <v>0.98036820000000002</v>
      </c>
      <c r="AK314">
        <v>0.98036820000000002</v>
      </c>
      <c r="AL314">
        <v>1.9999999999999999E-6</v>
      </c>
      <c r="AM314">
        <v>1.9999999999999999E-6</v>
      </c>
      <c r="AN314">
        <v>1.9629799999999999E-2</v>
      </c>
      <c r="AO314">
        <v>1.9629799999999999E-2</v>
      </c>
      <c r="AP314">
        <v>-72.565399999999997</v>
      </c>
      <c r="AQ314">
        <v>-72.565399999999997</v>
      </c>
      <c r="AR314">
        <v>-102.6739</v>
      </c>
      <c r="AS314">
        <v>-102.6739</v>
      </c>
      <c r="AT314">
        <v>0</v>
      </c>
      <c r="AU314">
        <v>0</v>
      </c>
      <c r="AV314">
        <v>0</v>
      </c>
      <c r="AW314">
        <v>180</v>
      </c>
      <c r="AY314">
        <v>0.84714999999999996</v>
      </c>
      <c r="AZ314">
        <v>1.3205999999999999E-3</v>
      </c>
      <c r="BA314">
        <v>1.3205999999999999E-3</v>
      </c>
      <c r="BB314">
        <v>0.99849060000000001</v>
      </c>
      <c r="BC314">
        <v>0.99849060000000001</v>
      </c>
      <c r="BD314">
        <v>1.8870000000000001E-4</v>
      </c>
      <c r="BE314">
        <v>1.8870000000000001E-4</v>
      </c>
      <c r="BF314">
        <v>89.718500000000006</v>
      </c>
      <c r="BG314">
        <v>89.718500000000006</v>
      </c>
      <c r="BH314">
        <v>156.4083</v>
      </c>
      <c r="BI314">
        <v>156.4083</v>
      </c>
      <c r="BJ314">
        <v>0</v>
      </c>
      <c r="BK314">
        <v>0</v>
      </c>
      <c r="BL314">
        <v>0</v>
      </c>
      <c r="BM314">
        <v>180</v>
      </c>
      <c r="BP314">
        <v>0.84714999999999996</v>
      </c>
      <c r="BQ314">
        <v>0.86280920000000005</v>
      </c>
      <c r="BR314">
        <v>0.86280920000000005</v>
      </c>
      <c r="BS314">
        <v>0</v>
      </c>
      <c r="BT314">
        <v>0</v>
      </c>
      <c r="BU314">
        <v>0.1371908</v>
      </c>
      <c r="BV314">
        <v>0.1371908</v>
      </c>
      <c r="BW314">
        <v>-75.628500000000003</v>
      </c>
      <c r="BX314">
        <v>-75.628500000000003</v>
      </c>
      <c r="BY314">
        <v>165.26929999999999</v>
      </c>
      <c r="BZ314">
        <v>165.26929999999999</v>
      </c>
      <c r="CA314">
        <v>0</v>
      </c>
      <c r="CB314">
        <v>0</v>
      </c>
      <c r="CC314">
        <v>0</v>
      </c>
      <c r="CD314">
        <v>180</v>
      </c>
    </row>
    <row r="315" spans="19:82">
      <c r="S315">
        <v>0.84850000000000003</v>
      </c>
      <c r="T315">
        <v>0.98470979999999997</v>
      </c>
      <c r="U315">
        <v>0.98470979999999997</v>
      </c>
      <c r="V315">
        <v>1.1999999999999999E-6</v>
      </c>
      <c r="W315">
        <v>1.1999999999999999E-6</v>
      </c>
      <c r="X315">
        <v>1.5289000000000001E-2</v>
      </c>
      <c r="Y315">
        <v>1.5289000000000001E-2</v>
      </c>
      <c r="Z315">
        <v>-84.626800000000003</v>
      </c>
      <c r="AA315">
        <v>-84.626800000000003</v>
      </c>
      <c r="AB315">
        <v>-125.0806</v>
      </c>
      <c r="AC315">
        <v>-125.0806</v>
      </c>
      <c r="AD315">
        <v>0</v>
      </c>
      <c r="AE315">
        <v>0</v>
      </c>
      <c r="AF315">
        <v>0</v>
      </c>
      <c r="AG315">
        <v>180</v>
      </c>
      <c r="AI315">
        <v>0.84850000000000003</v>
      </c>
      <c r="AJ315">
        <v>0.98030649999999997</v>
      </c>
      <c r="AK315">
        <v>0.98030649999999997</v>
      </c>
      <c r="AL315">
        <v>1.9999999999999999E-6</v>
      </c>
      <c r="AM315">
        <v>1.9999999999999999E-6</v>
      </c>
      <c r="AN315">
        <v>1.9691500000000001E-2</v>
      </c>
      <c r="AO315">
        <v>1.9691500000000001E-2</v>
      </c>
      <c r="AP315">
        <v>-72.361800000000002</v>
      </c>
      <c r="AQ315">
        <v>-72.361800000000002</v>
      </c>
      <c r="AR315">
        <v>-102.3023</v>
      </c>
      <c r="AS315">
        <v>-102.3023</v>
      </c>
      <c r="AT315">
        <v>0</v>
      </c>
      <c r="AU315">
        <v>0</v>
      </c>
      <c r="AV315">
        <v>0</v>
      </c>
      <c r="AW315">
        <v>180</v>
      </c>
      <c r="AY315">
        <v>0.84850000000000003</v>
      </c>
      <c r="AZ315">
        <v>1.281E-3</v>
      </c>
      <c r="BA315">
        <v>1.281E-3</v>
      </c>
      <c r="BB315">
        <v>0.99853080000000005</v>
      </c>
      <c r="BC315">
        <v>0.99853080000000005</v>
      </c>
      <c r="BD315">
        <v>1.8819999999999999E-4</v>
      </c>
      <c r="BE315">
        <v>1.8819999999999999E-4</v>
      </c>
      <c r="BF315">
        <v>90.162599999999998</v>
      </c>
      <c r="BG315">
        <v>90.162599999999998</v>
      </c>
      <c r="BH315">
        <v>155.50710000000001</v>
      </c>
      <c r="BI315">
        <v>155.50710000000001</v>
      </c>
      <c r="BJ315">
        <v>0</v>
      </c>
      <c r="BK315">
        <v>0</v>
      </c>
      <c r="BL315">
        <v>0</v>
      </c>
      <c r="BM315">
        <v>180</v>
      </c>
      <c r="BP315">
        <v>0.84850000000000003</v>
      </c>
      <c r="BQ315">
        <v>0.86277000000000004</v>
      </c>
      <c r="BR315">
        <v>0.86277000000000004</v>
      </c>
      <c r="BS315">
        <v>0</v>
      </c>
      <c r="BT315">
        <v>0</v>
      </c>
      <c r="BU315">
        <v>0.13722999999999999</v>
      </c>
      <c r="BV315">
        <v>0.13722999999999999</v>
      </c>
      <c r="BW315">
        <v>-75.575999999999993</v>
      </c>
      <c r="BX315">
        <v>-75.575999999999993</v>
      </c>
      <c r="BY315">
        <v>165.2766</v>
      </c>
      <c r="BZ315">
        <v>165.2766</v>
      </c>
      <c r="CA315">
        <v>0</v>
      </c>
      <c r="CB315">
        <v>0</v>
      </c>
      <c r="CC315">
        <v>0</v>
      </c>
      <c r="CD315">
        <v>180</v>
      </c>
    </row>
    <row r="316" spans="19:82">
      <c r="S316">
        <v>0.84984999999999999</v>
      </c>
      <c r="T316">
        <v>0.98467170000000004</v>
      </c>
      <c r="U316">
        <v>0.98467170000000004</v>
      </c>
      <c r="V316">
        <v>1.1999999999999999E-6</v>
      </c>
      <c r="W316">
        <v>1.1999999999999999E-6</v>
      </c>
      <c r="X316">
        <v>1.53271E-2</v>
      </c>
      <c r="Y316">
        <v>1.53271E-2</v>
      </c>
      <c r="Z316">
        <v>-84.4512</v>
      </c>
      <c r="AA316">
        <v>-84.4512</v>
      </c>
      <c r="AB316">
        <v>-124.7698</v>
      </c>
      <c r="AC316">
        <v>-124.7698</v>
      </c>
      <c r="AD316">
        <v>0</v>
      </c>
      <c r="AE316">
        <v>0</v>
      </c>
      <c r="AF316">
        <v>0</v>
      </c>
      <c r="AG316">
        <v>180</v>
      </c>
      <c r="AI316">
        <v>0.84984999999999999</v>
      </c>
      <c r="AJ316">
        <v>0.98024449999999996</v>
      </c>
      <c r="AK316">
        <v>0.98024449999999996</v>
      </c>
      <c r="AL316">
        <v>1.9E-6</v>
      </c>
      <c r="AM316">
        <v>1.9E-6</v>
      </c>
      <c r="AN316">
        <v>1.97536E-2</v>
      </c>
      <c r="AO316">
        <v>1.97536E-2</v>
      </c>
      <c r="AP316">
        <v>-72.158000000000001</v>
      </c>
      <c r="AQ316">
        <v>-72.158000000000001</v>
      </c>
      <c r="AR316">
        <v>-101.9302</v>
      </c>
      <c r="AS316">
        <v>-101.9302</v>
      </c>
      <c r="AT316">
        <v>0</v>
      </c>
      <c r="AU316">
        <v>0</v>
      </c>
      <c r="AV316">
        <v>0</v>
      </c>
      <c r="AW316">
        <v>180</v>
      </c>
      <c r="AY316">
        <v>0.84984999999999999</v>
      </c>
      <c r="AZ316">
        <v>1.2428999999999999E-3</v>
      </c>
      <c r="BA316">
        <v>1.2428999999999999E-3</v>
      </c>
      <c r="BB316">
        <v>0.9985695</v>
      </c>
      <c r="BC316">
        <v>0.9985695</v>
      </c>
      <c r="BD316">
        <v>1.8760000000000001E-4</v>
      </c>
      <c r="BE316">
        <v>1.8760000000000001E-4</v>
      </c>
      <c r="BF316">
        <v>90.605400000000003</v>
      </c>
      <c r="BG316">
        <v>90.605400000000003</v>
      </c>
      <c r="BH316">
        <v>154.56200000000001</v>
      </c>
      <c r="BI316">
        <v>154.56200000000001</v>
      </c>
      <c r="BJ316">
        <v>0</v>
      </c>
      <c r="BK316">
        <v>0</v>
      </c>
      <c r="BL316">
        <v>0</v>
      </c>
      <c r="BM316">
        <v>180</v>
      </c>
      <c r="BP316">
        <v>0.84984999999999999</v>
      </c>
      <c r="BQ316">
        <v>0.86273089999999997</v>
      </c>
      <c r="BR316">
        <v>0.86273089999999997</v>
      </c>
      <c r="BS316">
        <v>0</v>
      </c>
      <c r="BT316">
        <v>0</v>
      </c>
      <c r="BU316">
        <v>0.13726910000000001</v>
      </c>
      <c r="BV316">
        <v>0.13726910000000001</v>
      </c>
      <c r="BW316">
        <v>-75.523700000000005</v>
      </c>
      <c r="BX316">
        <v>-75.523700000000005</v>
      </c>
      <c r="BY316">
        <v>165.28380000000001</v>
      </c>
      <c r="BZ316">
        <v>165.28380000000001</v>
      </c>
      <c r="CA316">
        <v>0</v>
      </c>
      <c r="CB316">
        <v>0</v>
      </c>
      <c r="CC316">
        <v>0</v>
      </c>
      <c r="CD316">
        <v>180</v>
      </c>
    </row>
    <row r="317" spans="19:82">
      <c r="S317">
        <v>0.85119999999999996</v>
      </c>
      <c r="T317">
        <v>0.98464180000000001</v>
      </c>
      <c r="U317">
        <v>0.98464180000000001</v>
      </c>
      <c r="V317">
        <v>1.1999999999999999E-6</v>
      </c>
      <c r="W317">
        <v>1.1999999999999999E-6</v>
      </c>
      <c r="X317">
        <v>1.53569E-2</v>
      </c>
      <c r="Y317">
        <v>1.53569E-2</v>
      </c>
      <c r="Z317">
        <v>-84.27</v>
      </c>
      <c r="AA317">
        <v>-84.27</v>
      </c>
      <c r="AB317">
        <v>-124.46080000000001</v>
      </c>
      <c r="AC317">
        <v>-124.46080000000001</v>
      </c>
      <c r="AD317">
        <v>0</v>
      </c>
      <c r="AE317">
        <v>0</v>
      </c>
      <c r="AF317">
        <v>0</v>
      </c>
      <c r="AG317">
        <v>180</v>
      </c>
      <c r="AI317">
        <v>0.85119999999999996</v>
      </c>
      <c r="AJ317">
        <v>0.98019670000000003</v>
      </c>
      <c r="AK317">
        <v>0.98019670000000003</v>
      </c>
      <c r="AL317">
        <v>1.9E-6</v>
      </c>
      <c r="AM317">
        <v>1.9E-6</v>
      </c>
      <c r="AN317">
        <v>1.9801300000000001E-2</v>
      </c>
      <c r="AO317">
        <v>1.9801300000000001E-2</v>
      </c>
      <c r="AP317">
        <v>-71.948999999999998</v>
      </c>
      <c r="AQ317">
        <v>-71.948999999999998</v>
      </c>
      <c r="AR317">
        <v>-101.5608</v>
      </c>
      <c r="AS317">
        <v>-101.5608</v>
      </c>
      <c r="AT317">
        <v>0</v>
      </c>
      <c r="AU317">
        <v>0</v>
      </c>
      <c r="AV317">
        <v>0</v>
      </c>
      <c r="AW317">
        <v>180</v>
      </c>
      <c r="AY317">
        <v>0.85119999999999996</v>
      </c>
      <c r="AZ317">
        <v>1.2061000000000001E-3</v>
      </c>
      <c r="BA317">
        <v>1.2061000000000001E-3</v>
      </c>
      <c r="BB317">
        <v>0.99860680000000002</v>
      </c>
      <c r="BC317">
        <v>0.99860680000000002</v>
      </c>
      <c r="BD317">
        <v>1.8709999999999999E-4</v>
      </c>
      <c r="BE317">
        <v>1.8709999999999999E-4</v>
      </c>
      <c r="BF317">
        <v>91.046899999999994</v>
      </c>
      <c r="BG317">
        <v>91.046899999999994</v>
      </c>
      <c r="BH317">
        <v>153.57169999999999</v>
      </c>
      <c r="BI317">
        <v>153.57169999999999</v>
      </c>
      <c r="BJ317">
        <v>0</v>
      </c>
      <c r="BK317">
        <v>0</v>
      </c>
      <c r="BL317">
        <v>0</v>
      </c>
      <c r="BM317">
        <v>180</v>
      </c>
      <c r="BP317">
        <v>0.85119999999999996</v>
      </c>
      <c r="BQ317">
        <v>0.86330269999999998</v>
      </c>
      <c r="BR317">
        <v>0.86330269999999998</v>
      </c>
      <c r="BS317">
        <v>0</v>
      </c>
      <c r="BT317">
        <v>0</v>
      </c>
      <c r="BU317">
        <v>0.13669719999999999</v>
      </c>
      <c r="BV317">
        <v>0.13669719999999999</v>
      </c>
      <c r="BW317">
        <v>-75.080100000000002</v>
      </c>
      <c r="BX317">
        <v>-75.080100000000002</v>
      </c>
      <c r="BY317">
        <v>165.30430000000001</v>
      </c>
      <c r="BZ317">
        <v>165.30430000000001</v>
      </c>
      <c r="CA317">
        <v>0</v>
      </c>
      <c r="CB317">
        <v>0</v>
      </c>
      <c r="CC317">
        <v>0</v>
      </c>
      <c r="CD317">
        <v>180</v>
      </c>
    </row>
    <row r="318" spans="19:82">
      <c r="S318">
        <v>0.85255000000000003</v>
      </c>
      <c r="T318">
        <v>0.98461290000000001</v>
      </c>
      <c r="U318">
        <v>0.98461290000000001</v>
      </c>
      <c r="V318">
        <v>1.1999999999999999E-6</v>
      </c>
      <c r="W318">
        <v>1.1999999999999999E-6</v>
      </c>
      <c r="X318">
        <v>1.5385899999999999E-2</v>
      </c>
      <c r="Y318">
        <v>1.5385899999999999E-2</v>
      </c>
      <c r="Z318">
        <v>-84.087999999999994</v>
      </c>
      <c r="AA318">
        <v>-84.087999999999994</v>
      </c>
      <c r="AB318">
        <v>-124.1516</v>
      </c>
      <c r="AC318">
        <v>-124.1516</v>
      </c>
      <c r="AD318">
        <v>0</v>
      </c>
      <c r="AE318">
        <v>0</v>
      </c>
      <c r="AF318">
        <v>0</v>
      </c>
      <c r="AG318">
        <v>180</v>
      </c>
      <c r="AI318">
        <v>0.85255000000000003</v>
      </c>
      <c r="AJ318">
        <v>0.98015070000000004</v>
      </c>
      <c r="AK318">
        <v>0.98015070000000004</v>
      </c>
      <c r="AL318">
        <v>1.9E-6</v>
      </c>
      <c r="AM318">
        <v>1.9E-6</v>
      </c>
      <c r="AN318">
        <v>1.9847299999999998E-2</v>
      </c>
      <c r="AO318">
        <v>1.9847299999999998E-2</v>
      </c>
      <c r="AP318">
        <v>-71.739099999999993</v>
      </c>
      <c r="AQ318">
        <v>-71.739099999999993</v>
      </c>
      <c r="AR318">
        <v>-101.1913</v>
      </c>
      <c r="AS318">
        <v>-101.1913</v>
      </c>
      <c r="AT318">
        <v>0</v>
      </c>
      <c r="AU318">
        <v>0</v>
      </c>
      <c r="AV318">
        <v>0</v>
      </c>
      <c r="AW318">
        <v>180</v>
      </c>
      <c r="AY318">
        <v>0.85255000000000003</v>
      </c>
      <c r="AZ318">
        <v>1.1708999999999999E-3</v>
      </c>
      <c r="BA318">
        <v>1.1708999999999999E-3</v>
      </c>
      <c r="BB318">
        <v>0.99864249999999999</v>
      </c>
      <c r="BC318">
        <v>0.99864249999999999</v>
      </c>
      <c r="BD318">
        <v>1.8650000000000001E-4</v>
      </c>
      <c r="BE318">
        <v>1.8650000000000001E-4</v>
      </c>
      <c r="BF318">
        <v>91.487099999999998</v>
      </c>
      <c r="BG318">
        <v>91.487099999999998</v>
      </c>
      <c r="BH318">
        <v>152.5351</v>
      </c>
      <c r="BI318">
        <v>152.5351</v>
      </c>
      <c r="BJ318">
        <v>0</v>
      </c>
      <c r="BK318">
        <v>0</v>
      </c>
      <c r="BL318">
        <v>0</v>
      </c>
      <c r="BM318">
        <v>180</v>
      </c>
      <c r="BP318">
        <v>0.85255000000000003</v>
      </c>
      <c r="BQ318">
        <v>0.8639481</v>
      </c>
      <c r="BR318">
        <v>0.8639481</v>
      </c>
      <c r="BS318">
        <v>0</v>
      </c>
      <c r="BT318">
        <v>0</v>
      </c>
      <c r="BU318">
        <v>0.1360519</v>
      </c>
      <c r="BV318">
        <v>0.1360519</v>
      </c>
      <c r="BW318">
        <v>-74.588899999999995</v>
      </c>
      <c r="BX318">
        <v>-74.588899999999995</v>
      </c>
      <c r="BY318">
        <v>165.32650000000001</v>
      </c>
      <c r="BZ318">
        <v>165.32650000000001</v>
      </c>
      <c r="CA318">
        <v>0</v>
      </c>
      <c r="CB318">
        <v>0</v>
      </c>
      <c r="CC318">
        <v>0</v>
      </c>
      <c r="CD318">
        <v>180</v>
      </c>
    </row>
    <row r="319" spans="19:82">
      <c r="S319">
        <v>0.85389999999999999</v>
      </c>
      <c r="T319">
        <v>0.98458369999999995</v>
      </c>
      <c r="U319">
        <v>0.98458369999999995</v>
      </c>
      <c r="V319">
        <v>1.1999999999999999E-6</v>
      </c>
      <c r="W319">
        <v>1.1999999999999999E-6</v>
      </c>
      <c r="X319">
        <v>1.5415E-2</v>
      </c>
      <c r="Y319">
        <v>1.5415E-2</v>
      </c>
      <c r="Z319">
        <v>-83.906000000000006</v>
      </c>
      <c r="AA319">
        <v>-83.906000000000006</v>
      </c>
      <c r="AB319">
        <v>-123.84220000000001</v>
      </c>
      <c r="AC319">
        <v>-123.84220000000001</v>
      </c>
      <c r="AD319">
        <v>0</v>
      </c>
      <c r="AE319">
        <v>0</v>
      </c>
      <c r="AF319">
        <v>0</v>
      </c>
      <c r="AG319">
        <v>180</v>
      </c>
      <c r="AI319">
        <v>0.85389999999999999</v>
      </c>
      <c r="AJ319">
        <v>0.98010459999999999</v>
      </c>
      <c r="AK319">
        <v>0.98010459999999999</v>
      </c>
      <c r="AL319">
        <v>1.9E-6</v>
      </c>
      <c r="AM319">
        <v>1.9E-6</v>
      </c>
      <c r="AN319">
        <v>1.9893399999999999E-2</v>
      </c>
      <c r="AO319">
        <v>1.9893399999999999E-2</v>
      </c>
      <c r="AP319">
        <v>-71.529300000000006</v>
      </c>
      <c r="AQ319">
        <v>-71.529300000000006</v>
      </c>
      <c r="AR319">
        <v>-100.8216</v>
      </c>
      <c r="AS319">
        <v>-100.8216</v>
      </c>
      <c r="AT319">
        <v>0</v>
      </c>
      <c r="AU319">
        <v>0</v>
      </c>
      <c r="AV319">
        <v>0</v>
      </c>
      <c r="AW319">
        <v>180</v>
      </c>
      <c r="AY319">
        <v>0.85389999999999999</v>
      </c>
      <c r="AZ319">
        <v>1.1372000000000001E-3</v>
      </c>
      <c r="BA319">
        <v>1.1372000000000001E-3</v>
      </c>
      <c r="BB319">
        <v>0.99867680000000003</v>
      </c>
      <c r="BC319">
        <v>0.99867680000000003</v>
      </c>
      <c r="BD319">
        <v>1.8599999999999999E-4</v>
      </c>
      <c r="BE319">
        <v>1.8599999999999999E-4</v>
      </c>
      <c r="BF319">
        <v>91.925899999999999</v>
      </c>
      <c r="BG319">
        <v>91.925899999999999</v>
      </c>
      <c r="BH319">
        <v>151.4511</v>
      </c>
      <c r="BI319">
        <v>151.4511</v>
      </c>
      <c r="BJ319">
        <v>0</v>
      </c>
      <c r="BK319">
        <v>0</v>
      </c>
      <c r="BL319">
        <v>0</v>
      </c>
      <c r="BM319">
        <v>180</v>
      </c>
      <c r="BP319">
        <v>0.85389999999999999</v>
      </c>
      <c r="BQ319">
        <v>0.86459030000000003</v>
      </c>
      <c r="BR319">
        <v>0.86459030000000003</v>
      </c>
      <c r="BS319">
        <v>0</v>
      </c>
      <c r="BT319">
        <v>0</v>
      </c>
      <c r="BU319">
        <v>0.13540959999999999</v>
      </c>
      <c r="BV319">
        <v>0.13540959999999999</v>
      </c>
      <c r="BW319">
        <v>-74.099299999999999</v>
      </c>
      <c r="BX319">
        <v>-74.099299999999999</v>
      </c>
      <c r="BY319">
        <v>165.3486</v>
      </c>
      <c r="BZ319">
        <v>165.3486</v>
      </c>
      <c r="CA319">
        <v>0</v>
      </c>
      <c r="CB319">
        <v>0</v>
      </c>
      <c r="CC319">
        <v>0</v>
      </c>
      <c r="CD319">
        <v>180</v>
      </c>
    </row>
    <row r="320" spans="19:82">
      <c r="S320">
        <v>0.85524999999999995</v>
      </c>
      <c r="T320">
        <v>0.98455440000000005</v>
      </c>
      <c r="U320">
        <v>0.98455440000000005</v>
      </c>
      <c r="V320">
        <v>1.1999999999999999E-6</v>
      </c>
      <c r="W320">
        <v>1.1999999999999999E-6</v>
      </c>
      <c r="X320">
        <v>1.54444E-2</v>
      </c>
      <c r="Y320">
        <v>1.54444E-2</v>
      </c>
      <c r="Z320">
        <v>-83.7239</v>
      </c>
      <c r="AA320">
        <v>-83.7239</v>
      </c>
      <c r="AB320">
        <v>-123.5324</v>
      </c>
      <c r="AC320">
        <v>-123.5324</v>
      </c>
      <c r="AD320">
        <v>0</v>
      </c>
      <c r="AE320">
        <v>0</v>
      </c>
      <c r="AF320">
        <v>0</v>
      </c>
      <c r="AG320">
        <v>180</v>
      </c>
      <c r="AI320">
        <v>0.85524999999999995</v>
      </c>
      <c r="AJ320">
        <v>0.98005850000000005</v>
      </c>
      <c r="AK320">
        <v>0.98005850000000005</v>
      </c>
      <c r="AL320">
        <v>1.9E-6</v>
      </c>
      <c r="AM320">
        <v>1.9E-6</v>
      </c>
      <c r="AN320">
        <v>1.9939599999999998E-2</v>
      </c>
      <c r="AO320">
        <v>1.9939599999999998E-2</v>
      </c>
      <c r="AP320">
        <v>-71.319199999999995</v>
      </c>
      <c r="AQ320">
        <v>-71.319199999999995</v>
      </c>
      <c r="AR320">
        <v>-100.4513</v>
      </c>
      <c r="AS320">
        <v>-100.4513</v>
      </c>
      <c r="AT320">
        <v>0</v>
      </c>
      <c r="AU320">
        <v>0</v>
      </c>
      <c r="AV320">
        <v>0</v>
      </c>
      <c r="AW320">
        <v>180</v>
      </c>
      <c r="AY320">
        <v>0.85524999999999995</v>
      </c>
      <c r="AZ320">
        <v>1.1050000000000001E-3</v>
      </c>
      <c r="BA320">
        <v>1.1050000000000001E-3</v>
      </c>
      <c r="BB320">
        <v>0.99870950000000003</v>
      </c>
      <c r="BC320">
        <v>0.99870950000000003</v>
      </c>
      <c r="BD320">
        <v>1.8550000000000001E-4</v>
      </c>
      <c r="BE320">
        <v>1.8550000000000001E-4</v>
      </c>
      <c r="BF320">
        <v>92.363500000000002</v>
      </c>
      <c r="BG320">
        <v>92.363500000000002</v>
      </c>
      <c r="BH320">
        <v>150.31870000000001</v>
      </c>
      <c r="BI320">
        <v>150.31870000000001</v>
      </c>
      <c r="BJ320">
        <v>0</v>
      </c>
      <c r="BK320">
        <v>0</v>
      </c>
      <c r="BL320">
        <v>0</v>
      </c>
      <c r="BM320">
        <v>180</v>
      </c>
      <c r="BP320">
        <v>0.85524999999999995</v>
      </c>
      <c r="BQ320">
        <v>0.86522960000000004</v>
      </c>
      <c r="BR320">
        <v>0.86522960000000004</v>
      </c>
      <c r="BS320">
        <v>0</v>
      </c>
      <c r="BT320">
        <v>0</v>
      </c>
      <c r="BU320">
        <v>0.13477040000000001</v>
      </c>
      <c r="BV320">
        <v>0.13477040000000001</v>
      </c>
      <c r="BW320">
        <v>-73.611199999999997</v>
      </c>
      <c r="BX320">
        <v>-73.611199999999997</v>
      </c>
      <c r="BY320">
        <v>165.3706</v>
      </c>
      <c r="BZ320">
        <v>165.3706</v>
      </c>
      <c r="CA320">
        <v>0</v>
      </c>
      <c r="CB320">
        <v>0</v>
      </c>
      <c r="CC320">
        <v>0</v>
      </c>
      <c r="CD320">
        <v>180</v>
      </c>
    </row>
    <row r="321" spans="19:82">
      <c r="S321">
        <v>0.85660000000000003</v>
      </c>
      <c r="T321">
        <v>0.98452490000000004</v>
      </c>
      <c r="U321">
        <v>0.98452490000000004</v>
      </c>
      <c r="V321">
        <v>1.1999999999999999E-6</v>
      </c>
      <c r="W321">
        <v>1.1999999999999999E-6</v>
      </c>
      <c r="X321">
        <v>1.5473900000000001E-2</v>
      </c>
      <c r="Y321">
        <v>1.5473900000000001E-2</v>
      </c>
      <c r="Z321">
        <v>-83.541700000000006</v>
      </c>
      <c r="AA321">
        <v>-83.541700000000006</v>
      </c>
      <c r="AB321">
        <v>-123.2223</v>
      </c>
      <c r="AC321">
        <v>-123.2223</v>
      </c>
      <c r="AD321">
        <v>0</v>
      </c>
      <c r="AE321">
        <v>0</v>
      </c>
      <c r="AF321">
        <v>0</v>
      </c>
      <c r="AG321">
        <v>180</v>
      </c>
      <c r="AI321">
        <v>0.85660000000000003</v>
      </c>
      <c r="AJ321">
        <v>0.9800122</v>
      </c>
      <c r="AK321">
        <v>0.9800122</v>
      </c>
      <c r="AL321">
        <v>1.9E-6</v>
      </c>
      <c r="AM321">
        <v>1.9E-6</v>
      </c>
      <c r="AN321">
        <v>1.9985800000000001E-2</v>
      </c>
      <c r="AO321">
        <v>1.9985800000000001E-2</v>
      </c>
      <c r="AP321">
        <v>-71.108999999999995</v>
      </c>
      <c r="AQ321">
        <v>-71.108999999999995</v>
      </c>
      <c r="AR321">
        <v>-100.0805</v>
      </c>
      <c r="AS321">
        <v>-100.0805</v>
      </c>
      <c r="AT321">
        <v>0</v>
      </c>
      <c r="AU321">
        <v>0</v>
      </c>
      <c r="AV321">
        <v>0</v>
      </c>
      <c r="AW321">
        <v>180</v>
      </c>
      <c r="AY321">
        <v>0.85660000000000003</v>
      </c>
      <c r="AZ321">
        <v>1.0744999999999999E-3</v>
      </c>
      <c r="BA321">
        <v>1.0744999999999999E-3</v>
      </c>
      <c r="BB321">
        <v>0.99874059999999998</v>
      </c>
      <c r="BC321">
        <v>0.99874059999999998</v>
      </c>
      <c r="BD321">
        <v>1.8489999999999999E-4</v>
      </c>
      <c r="BE321">
        <v>1.8489999999999999E-4</v>
      </c>
      <c r="BF321">
        <v>92.799800000000005</v>
      </c>
      <c r="BG321">
        <v>92.799800000000005</v>
      </c>
      <c r="BH321">
        <v>149.13720000000001</v>
      </c>
      <c r="BI321">
        <v>149.13720000000001</v>
      </c>
      <c r="BJ321">
        <v>0</v>
      </c>
      <c r="BK321">
        <v>0</v>
      </c>
      <c r="BL321">
        <v>0</v>
      </c>
      <c r="BM321">
        <v>180</v>
      </c>
      <c r="BP321">
        <v>0.85660000000000003</v>
      </c>
      <c r="BQ321">
        <v>0.86586580000000002</v>
      </c>
      <c r="BR321">
        <v>0.86586580000000002</v>
      </c>
      <c r="BS321">
        <v>0</v>
      </c>
      <c r="BT321">
        <v>0</v>
      </c>
      <c r="BU321">
        <v>0.13413420000000001</v>
      </c>
      <c r="BV321">
        <v>0.13413420000000001</v>
      </c>
      <c r="BW321">
        <v>-73.124600000000001</v>
      </c>
      <c r="BX321">
        <v>-73.124600000000001</v>
      </c>
      <c r="BY321">
        <v>165.39259999999999</v>
      </c>
      <c r="BZ321">
        <v>165.39259999999999</v>
      </c>
      <c r="CA321">
        <v>0</v>
      </c>
      <c r="CB321">
        <v>0</v>
      </c>
      <c r="CC321">
        <v>0</v>
      </c>
      <c r="CD321">
        <v>180</v>
      </c>
    </row>
    <row r="322" spans="19:82">
      <c r="S322">
        <v>0.85794999999999999</v>
      </c>
      <c r="T322">
        <v>0.98449520000000001</v>
      </c>
      <c r="U322">
        <v>0.98449520000000001</v>
      </c>
      <c r="V322">
        <v>1.1999999999999999E-6</v>
      </c>
      <c r="W322">
        <v>1.1999999999999999E-6</v>
      </c>
      <c r="X322">
        <v>1.5503599999999999E-2</v>
      </c>
      <c r="Y322">
        <v>1.5503599999999999E-2</v>
      </c>
      <c r="Z322">
        <v>-83.359499999999997</v>
      </c>
      <c r="AA322">
        <v>-83.359499999999997</v>
      </c>
      <c r="AB322">
        <v>-122.9119</v>
      </c>
      <c r="AC322">
        <v>-122.9119</v>
      </c>
      <c r="AD322">
        <v>0</v>
      </c>
      <c r="AE322">
        <v>0</v>
      </c>
      <c r="AF322">
        <v>0</v>
      </c>
      <c r="AG322">
        <v>180</v>
      </c>
      <c r="AI322">
        <v>0.85794999999999999</v>
      </c>
      <c r="AJ322">
        <v>0.97996589999999995</v>
      </c>
      <c r="AK322">
        <v>0.97996589999999995</v>
      </c>
      <c r="AL322">
        <v>1.9E-6</v>
      </c>
      <c r="AM322">
        <v>1.9E-6</v>
      </c>
      <c r="AN322">
        <v>2.00322E-2</v>
      </c>
      <c r="AO322">
        <v>2.00322E-2</v>
      </c>
      <c r="AP322">
        <v>-70.898600000000002</v>
      </c>
      <c r="AQ322">
        <v>-70.898600000000002</v>
      </c>
      <c r="AR322">
        <v>-99.709199999999996</v>
      </c>
      <c r="AS322">
        <v>-99.709199999999996</v>
      </c>
      <c r="AT322">
        <v>0</v>
      </c>
      <c r="AU322">
        <v>0</v>
      </c>
      <c r="AV322">
        <v>0</v>
      </c>
      <c r="AW322">
        <v>180</v>
      </c>
      <c r="AY322">
        <v>0.85794999999999999</v>
      </c>
      <c r="AZ322">
        <v>1.0456E-3</v>
      </c>
      <c r="BA322">
        <v>1.0456E-3</v>
      </c>
      <c r="BB322">
        <v>0.99877000000000005</v>
      </c>
      <c r="BC322">
        <v>0.99877000000000005</v>
      </c>
      <c r="BD322">
        <v>1.8440000000000001E-4</v>
      </c>
      <c r="BE322">
        <v>1.8440000000000001E-4</v>
      </c>
      <c r="BF322">
        <v>93.234800000000007</v>
      </c>
      <c r="BG322">
        <v>93.234800000000007</v>
      </c>
      <c r="BH322">
        <v>147.90620000000001</v>
      </c>
      <c r="BI322">
        <v>147.90620000000001</v>
      </c>
      <c r="BJ322">
        <v>0</v>
      </c>
      <c r="BK322">
        <v>0</v>
      </c>
      <c r="BL322">
        <v>0</v>
      </c>
      <c r="BM322">
        <v>180</v>
      </c>
      <c r="BP322">
        <v>0.85794999999999999</v>
      </c>
      <c r="BQ322">
        <v>0.86649900000000002</v>
      </c>
      <c r="BR322">
        <v>0.86649900000000002</v>
      </c>
      <c r="BS322">
        <v>0</v>
      </c>
      <c r="BT322">
        <v>0</v>
      </c>
      <c r="BU322">
        <v>0.13350090000000001</v>
      </c>
      <c r="BV322">
        <v>0.13350090000000001</v>
      </c>
      <c r="BW322">
        <v>-72.639499999999998</v>
      </c>
      <c r="BX322">
        <v>-72.639499999999998</v>
      </c>
      <c r="BY322">
        <v>165.41460000000001</v>
      </c>
      <c r="BZ322">
        <v>165.41460000000001</v>
      </c>
      <c r="CA322">
        <v>0</v>
      </c>
      <c r="CB322">
        <v>0</v>
      </c>
      <c r="CC322">
        <v>0</v>
      </c>
      <c r="CD322">
        <v>180</v>
      </c>
    </row>
    <row r="323" spans="19:82">
      <c r="S323">
        <v>0.85929999999999995</v>
      </c>
      <c r="T323">
        <v>0.98446540000000005</v>
      </c>
      <c r="U323">
        <v>0.98446540000000005</v>
      </c>
      <c r="V323">
        <v>1.1999999999999999E-6</v>
      </c>
      <c r="W323">
        <v>1.1999999999999999E-6</v>
      </c>
      <c r="X323">
        <v>1.5533399999999999E-2</v>
      </c>
      <c r="Y323">
        <v>1.5533399999999999E-2</v>
      </c>
      <c r="Z323">
        <v>-83.177199999999999</v>
      </c>
      <c r="AA323">
        <v>-83.177199999999999</v>
      </c>
      <c r="AB323">
        <v>-122.6011</v>
      </c>
      <c r="AC323">
        <v>-122.6011</v>
      </c>
      <c r="AD323">
        <v>0</v>
      </c>
      <c r="AE323">
        <v>0</v>
      </c>
      <c r="AF323">
        <v>0</v>
      </c>
      <c r="AG323">
        <v>180</v>
      </c>
      <c r="AI323">
        <v>0.85929999999999995</v>
      </c>
      <c r="AJ323">
        <v>0.97991950000000005</v>
      </c>
      <c r="AK323">
        <v>0.97991950000000005</v>
      </c>
      <c r="AL323">
        <v>1.9E-6</v>
      </c>
      <c r="AM323">
        <v>1.9E-6</v>
      </c>
      <c r="AN323">
        <v>2.0078599999999999E-2</v>
      </c>
      <c r="AO323">
        <v>2.0078599999999999E-2</v>
      </c>
      <c r="AP323">
        <v>-70.688100000000006</v>
      </c>
      <c r="AQ323">
        <v>-70.688100000000006</v>
      </c>
      <c r="AR323">
        <v>-99.337400000000002</v>
      </c>
      <c r="AS323">
        <v>-99.337400000000002</v>
      </c>
      <c r="AT323">
        <v>0</v>
      </c>
      <c r="AU323">
        <v>0</v>
      </c>
      <c r="AV323">
        <v>0</v>
      </c>
      <c r="AW323">
        <v>180</v>
      </c>
      <c r="AY323">
        <v>0.85929999999999995</v>
      </c>
      <c r="AZ323">
        <v>1.0183E-3</v>
      </c>
      <c r="BA323">
        <v>1.0183E-3</v>
      </c>
      <c r="BB323">
        <v>0.99879779999999996</v>
      </c>
      <c r="BC323">
        <v>0.99879779999999996</v>
      </c>
      <c r="BD323">
        <v>1.838E-4</v>
      </c>
      <c r="BE323">
        <v>1.838E-4</v>
      </c>
      <c r="BF323">
        <v>93.668599999999998</v>
      </c>
      <c r="BG323">
        <v>93.668599999999998</v>
      </c>
      <c r="BH323">
        <v>146.62520000000001</v>
      </c>
      <c r="BI323">
        <v>146.62520000000001</v>
      </c>
      <c r="BJ323">
        <v>0</v>
      </c>
      <c r="BK323">
        <v>0</v>
      </c>
      <c r="BL323">
        <v>0</v>
      </c>
      <c r="BM323">
        <v>180</v>
      </c>
      <c r="BP323">
        <v>0.85929999999999995</v>
      </c>
      <c r="BQ323">
        <v>0.86712920000000004</v>
      </c>
      <c r="BR323">
        <v>0.86712920000000004</v>
      </c>
      <c r="BS323">
        <v>0</v>
      </c>
      <c r="BT323">
        <v>0</v>
      </c>
      <c r="BU323">
        <v>0.13287070000000001</v>
      </c>
      <c r="BV323">
        <v>0.13287070000000001</v>
      </c>
      <c r="BW323">
        <v>-72.155900000000003</v>
      </c>
      <c r="BX323">
        <v>-72.155900000000003</v>
      </c>
      <c r="BY323">
        <v>165.4365</v>
      </c>
      <c r="BZ323">
        <v>165.4365</v>
      </c>
      <c r="CA323">
        <v>0</v>
      </c>
      <c r="CB323">
        <v>0</v>
      </c>
      <c r="CC323">
        <v>0</v>
      </c>
      <c r="CD323">
        <v>180</v>
      </c>
    </row>
    <row r="324" spans="19:82">
      <c r="S324">
        <v>0.86065000000000003</v>
      </c>
      <c r="T324">
        <v>0.98443530000000001</v>
      </c>
      <c r="U324">
        <v>0.98443530000000001</v>
      </c>
      <c r="V324">
        <v>1.1999999999999999E-6</v>
      </c>
      <c r="W324">
        <v>1.1999999999999999E-6</v>
      </c>
      <c r="X324">
        <v>1.55634E-2</v>
      </c>
      <c r="Y324">
        <v>1.55634E-2</v>
      </c>
      <c r="Z324">
        <v>-82.994799999999998</v>
      </c>
      <c r="AA324">
        <v>-82.994799999999998</v>
      </c>
      <c r="AB324">
        <v>-122.2901</v>
      </c>
      <c r="AC324">
        <v>-122.2901</v>
      </c>
      <c r="AD324">
        <v>0</v>
      </c>
      <c r="AE324">
        <v>0</v>
      </c>
      <c r="AF324">
        <v>0</v>
      </c>
      <c r="AG324">
        <v>180</v>
      </c>
      <c r="AI324">
        <v>0.86065000000000003</v>
      </c>
      <c r="AJ324">
        <v>0.97987299999999999</v>
      </c>
      <c r="AK324">
        <v>0.97987299999999999</v>
      </c>
      <c r="AL324">
        <v>1.9E-6</v>
      </c>
      <c r="AM324">
        <v>1.9E-6</v>
      </c>
      <c r="AN324">
        <v>2.0125000000000001E-2</v>
      </c>
      <c r="AO324">
        <v>2.0125000000000001E-2</v>
      </c>
      <c r="AP324">
        <v>-70.477400000000003</v>
      </c>
      <c r="AQ324">
        <v>-70.477400000000003</v>
      </c>
      <c r="AR324">
        <v>-98.965100000000007</v>
      </c>
      <c r="AS324">
        <v>-98.965100000000007</v>
      </c>
      <c r="AT324">
        <v>0</v>
      </c>
      <c r="AU324">
        <v>0</v>
      </c>
      <c r="AV324">
        <v>0</v>
      </c>
      <c r="AW324">
        <v>180</v>
      </c>
      <c r="AY324">
        <v>0.86065000000000003</v>
      </c>
      <c r="AZ324">
        <v>9.9280000000000006E-4</v>
      </c>
      <c r="BA324">
        <v>9.9280000000000006E-4</v>
      </c>
      <c r="BB324">
        <v>0.99882389999999999</v>
      </c>
      <c r="BC324">
        <v>0.99882389999999999</v>
      </c>
      <c r="BD324">
        <v>1.8330000000000001E-4</v>
      </c>
      <c r="BE324">
        <v>1.8330000000000001E-4</v>
      </c>
      <c r="BF324">
        <v>94.100999999999999</v>
      </c>
      <c r="BG324">
        <v>94.100999999999999</v>
      </c>
      <c r="BH324">
        <v>145.29429999999999</v>
      </c>
      <c r="BI324">
        <v>145.29429999999999</v>
      </c>
      <c r="BJ324">
        <v>0</v>
      </c>
      <c r="BK324">
        <v>0</v>
      </c>
      <c r="BL324">
        <v>0</v>
      </c>
      <c r="BM324">
        <v>180</v>
      </c>
      <c r="BP324">
        <v>0.86065000000000003</v>
      </c>
      <c r="BQ324">
        <v>0.86775650000000004</v>
      </c>
      <c r="BR324">
        <v>0.86775650000000004</v>
      </c>
      <c r="BS324">
        <v>0</v>
      </c>
      <c r="BT324">
        <v>0</v>
      </c>
      <c r="BU324">
        <v>0.13224350000000001</v>
      </c>
      <c r="BV324">
        <v>0.13224350000000001</v>
      </c>
      <c r="BW324">
        <v>-71.6738</v>
      </c>
      <c r="BX324">
        <v>-71.6738</v>
      </c>
      <c r="BY324">
        <v>165.45840000000001</v>
      </c>
      <c r="BZ324">
        <v>165.45840000000001</v>
      </c>
      <c r="CA324">
        <v>0</v>
      </c>
      <c r="CB324">
        <v>0</v>
      </c>
      <c r="CC324">
        <v>0</v>
      </c>
      <c r="CD324">
        <v>180</v>
      </c>
    </row>
    <row r="325" spans="19:82">
      <c r="S325">
        <v>0.86199999999999999</v>
      </c>
      <c r="T325">
        <v>0.98440519999999998</v>
      </c>
      <c r="U325">
        <v>0.98440519999999998</v>
      </c>
      <c r="V325">
        <v>1.1999999999999999E-6</v>
      </c>
      <c r="W325">
        <v>1.1999999999999999E-6</v>
      </c>
      <c r="X325">
        <v>1.5593600000000001E-2</v>
      </c>
      <c r="Y325">
        <v>1.5593600000000001E-2</v>
      </c>
      <c r="Z325">
        <v>-82.812399999999997</v>
      </c>
      <c r="AA325">
        <v>-82.812399999999997</v>
      </c>
      <c r="AB325">
        <v>-121.9787</v>
      </c>
      <c r="AC325">
        <v>-121.9787</v>
      </c>
      <c r="AD325">
        <v>0</v>
      </c>
      <c r="AE325">
        <v>0</v>
      </c>
      <c r="AF325">
        <v>0</v>
      </c>
      <c r="AG325">
        <v>180</v>
      </c>
      <c r="AI325">
        <v>0.86199999999999999</v>
      </c>
      <c r="AJ325">
        <v>0.97982650000000004</v>
      </c>
      <c r="AK325">
        <v>0.97982650000000004</v>
      </c>
      <c r="AL325">
        <v>1.9999999999999999E-6</v>
      </c>
      <c r="AM325">
        <v>1.9999999999999999E-6</v>
      </c>
      <c r="AN325">
        <v>2.0171499999999998E-2</v>
      </c>
      <c r="AO325">
        <v>2.0171499999999998E-2</v>
      </c>
      <c r="AP325">
        <v>-70.266599999999997</v>
      </c>
      <c r="AQ325">
        <v>-70.266599999999997</v>
      </c>
      <c r="AR325">
        <v>-98.592299999999994</v>
      </c>
      <c r="AS325">
        <v>-98.592299999999994</v>
      </c>
      <c r="AT325">
        <v>0</v>
      </c>
      <c r="AU325">
        <v>0</v>
      </c>
      <c r="AV325">
        <v>0</v>
      </c>
      <c r="AW325">
        <v>180</v>
      </c>
      <c r="AY325">
        <v>0.86199999999999999</v>
      </c>
      <c r="AZ325">
        <v>9.6900000000000003E-4</v>
      </c>
      <c r="BA325">
        <v>9.6900000000000003E-4</v>
      </c>
      <c r="BB325">
        <v>0.99884819999999996</v>
      </c>
      <c r="BC325">
        <v>0.99884819999999996</v>
      </c>
      <c r="BD325">
        <v>1.828E-4</v>
      </c>
      <c r="BE325">
        <v>1.828E-4</v>
      </c>
      <c r="BF325">
        <v>94.532300000000006</v>
      </c>
      <c r="BG325">
        <v>94.532300000000006</v>
      </c>
      <c r="BH325">
        <v>143.91390000000001</v>
      </c>
      <c r="BI325">
        <v>143.91390000000001</v>
      </c>
      <c r="BJ325">
        <v>0</v>
      </c>
      <c r="BK325">
        <v>0</v>
      </c>
      <c r="BL325">
        <v>0</v>
      </c>
      <c r="BM325">
        <v>180</v>
      </c>
      <c r="BP325">
        <v>0.86199999999999999</v>
      </c>
      <c r="BQ325">
        <v>0.86838079999999995</v>
      </c>
      <c r="BR325">
        <v>0.86838079999999995</v>
      </c>
      <c r="BS325">
        <v>0</v>
      </c>
      <c r="BT325">
        <v>0</v>
      </c>
      <c r="BU325">
        <v>0.13161919999999999</v>
      </c>
      <c r="BV325">
        <v>0.13161919999999999</v>
      </c>
      <c r="BW325">
        <v>-71.193100000000001</v>
      </c>
      <c r="BX325">
        <v>-71.193100000000001</v>
      </c>
      <c r="BY325">
        <v>165.4803</v>
      </c>
      <c r="BZ325">
        <v>165.4803</v>
      </c>
      <c r="CA325">
        <v>0</v>
      </c>
      <c r="CB325">
        <v>0</v>
      </c>
      <c r="CC325">
        <v>0</v>
      </c>
      <c r="CD325">
        <v>180</v>
      </c>
    </row>
    <row r="326" spans="19:82">
      <c r="S326">
        <v>0.86334999999999995</v>
      </c>
      <c r="T326">
        <v>0.98437479999999999</v>
      </c>
      <c r="U326">
        <v>0.98437479999999999</v>
      </c>
      <c r="V326">
        <v>1.1999999999999999E-6</v>
      </c>
      <c r="W326">
        <v>1.1999999999999999E-6</v>
      </c>
      <c r="X326">
        <v>1.56239E-2</v>
      </c>
      <c r="Y326">
        <v>1.56239E-2</v>
      </c>
      <c r="Z326">
        <v>-82.629900000000006</v>
      </c>
      <c r="AA326">
        <v>-82.629900000000006</v>
      </c>
      <c r="AB326">
        <v>-121.6669</v>
      </c>
      <c r="AC326">
        <v>-121.6669</v>
      </c>
      <c r="AD326">
        <v>0</v>
      </c>
      <c r="AE326">
        <v>0</v>
      </c>
      <c r="AF326">
        <v>0</v>
      </c>
      <c r="AG326">
        <v>180</v>
      </c>
      <c r="AI326">
        <v>0.86334999999999995</v>
      </c>
      <c r="AJ326">
        <v>0.97977999999999998</v>
      </c>
      <c r="AK326">
        <v>0.97977999999999998</v>
      </c>
      <c r="AL326">
        <v>1.9999999999999999E-6</v>
      </c>
      <c r="AM326">
        <v>1.9999999999999999E-6</v>
      </c>
      <c r="AN326">
        <v>2.0218099999999999E-2</v>
      </c>
      <c r="AO326">
        <v>2.0218099999999999E-2</v>
      </c>
      <c r="AP326">
        <v>-70.055599999999998</v>
      </c>
      <c r="AQ326">
        <v>-70.055599999999998</v>
      </c>
      <c r="AR326">
        <v>-98.219099999999997</v>
      </c>
      <c r="AS326">
        <v>-98.219099999999997</v>
      </c>
      <c r="AT326">
        <v>0</v>
      </c>
      <c r="AU326">
        <v>0</v>
      </c>
      <c r="AV326">
        <v>0</v>
      </c>
      <c r="AW326">
        <v>180</v>
      </c>
      <c r="AY326">
        <v>0.86334999999999995</v>
      </c>
      <c r="AZ326">
        <v>9.4700000000000003E-4</v>
      </c>
      <c r="BA326">
        <v>9.4700000000000003E-4</v>
      </c>
      <c r="BB326">
        <v>0.9988707</v>
      </c>
      <c r="BC326">
        <v>0.9988707</v>
      </c>
      <c r="BD326">
        <v>1.8220000000000001E-4</v>
      </c>
      <c r="BE326">
        <v>1.8220000000000001E-4</v>
      </c>
      <c r="BF326">
        <v>94.962199999999996</v>
      </c>
      <c r="BG326">
        <v>94.962199999999996</v>
      </c>
      <c r="BH326">
        <v>142.4845</v>
      </c>
      <c r="BI326">
        <v>142.4845</v>
      </c>
      <c r="BJ326">
        <v>0</v>
      </c>
      <c r="BK326">
        <v>0</v>
      </c>
      <c r="BL326">
        <v>0</v>
      </c>
      <c r="BM326">
        <v>180</v>
      </c>
      <c r="BP326">
        <v>0.86334999999999995</v>
      </c>
      <c r="BQ326">
        <v>0.8690021</v>
      </c>
      <c r="BR326">
        <v>0.8690021</v>
      </c>
      <c r="BS326">
        <v>0</v>
      </c>
      <c r="BT326">
        <v>0</v>
      </c>
      <c r="BU326">
        <v>0.1309979</v>
      </c>
      <c r="BV326">
        <v>0.1309979</v>
      </c>
      <c r="BW326">
        <v>-70.713999999999999</v>
      </c>
      <c r="BX326">
        <v>-70.713999999999999</v>
      </c>
      <c r="BY326">
        <v>165.50210000000001</v>
      </c>
      <c r="BZ326">
        <v>165.50210000000001</v>
      </c>
      <c r="CA326">
        <v>0</v>
      </c>
      <c r="CB326">
        <v>0</v>
      </c>
      <c r="CC326">
        <v>0</v>
      </c>
      <c r="CD326">
        <v>180</v>
      </c>
    </row>
    <row r="327" spans="19:82">
      <c r="S327">
        <v>0.86470000000000002</v>
      </c>
      <c r="T327">
        <v>0.98434440000000001</v>
      </c>
      <c r="U327">
        <v>0.98434440000000001</v>
      </c>
      <c r="V327">
        <v>1.1999999999999999E-6</v>
      </c>
      <c r="W327">
        <v>1.1999999999999999E-6</v>
      </c>
      <c r="X327">
        <v>1.5654399999999999E-2</v>
      </c>
      <c r="Y327">
        <v>1.5654399999999999E-2</v>
      </c>
      <c r="Z327">
        <v>-82.447299999999998</v>
      </c>
      <c r="AA327">
        <v>-82.447299999999998</v>
      </c>
      <c r="AB327">
        <v>-121.3549</v>
      </c>
      <c r="AC327">
        <v>-121.3549</v>
      </c>
      <c r="AD327">
        <v>0</v>
      </c>
      <c r="AE327">
        <v>0</v>
      </c>
      <c r="AF327">
        <v>0</v>
      </c>
      <c r="AG327">
        <v>180</v>
      </c>
      <c r="AI327">
        <v>0.86470000000000002</v>
      </c>
      <c r="AJ327">
        <v>0.97973339999999998</v>
      </c>
      <c r="AK327">
        <v>0.97973339999999998</v>
      </c>
      <c r="AL327">
        <v>1.9999999999999999E-6</v>
      </c>
      <c r="AM327">
        <v>1.9999999999999999E-6</v>
      </c>
      <c r="AN327">
        <v>2.0264600000000001E-2</v>
      </c>
      <c r="AO327">
        <v>2.0264600000000001E-2</v>
      </c>
      <c r="AP327">
        <v>-69.844399999999993</v>
      </c>
      <c r="AQ327">
        <v>-69.844399999999993</v>
      </c>
      <c r="AR327">
        <v>-97.845299999999995</v>
      </c>
      <c r="AS327">
        <v>-97.845299999999995</v>
      </c>
      <c r="AT327">
        <v>0</v>
      </c>
      <c r="AU327">
        <v>0</v>
      </c>
      <c r="AV327">
        <v>0</v>
      </c>
      <c r="AW327">
        <v>180</v>
      </c>
      <c r="AY327">
        <v>0.86470000000000002</v>
      </c>
      <c r="AZ327">
        <v>9.2679999999999998E-4</v>
      </c>
      <c r="BA327">
        <v>9.2679999999999998E-4</v>
      </c>
      <c r="BB327">
        <v>0.99889150000000004</v>
      </c>
      <c r="BC327">
        <v>0.99889150000000004</v>
      </c>
      <c r="BD327">
        <v>1.817E-4</v>
      </c>
      <c r="BE327">
        <v>1.817E-4</v>
      </c>
      <c r="BF327">
        <v>95.390900000000002</v>
      </c>
      <c r="BG327">
        <v>95.390900000000002</v>
      </c>
      <c r="BH327">
        <v>141.00729999999999</v>
      </c>
      <c r="BI327">
        <v>141.00729999999999</v>
      </c>
      <c r="BJ327">
        <v>0</v>
      </c>
      <c r="BK327">
        <v>0</v>
      </c>
      <c r="BL327">
        <v>0</v>
      </c>
      <c r="BM327">
        <v>180</v>
      </c>
      <c r="BP327">
        <v>0.86470000000000002</v>
      </c>
      <c r="BQ327">
        <v>0.86962050000000002</v>
      </c>
      <c r="BR327">
        <v>0.86962050000000002</v>
      </c>
      <c r="BS327">
        <v>0</v>
      </c>
      <c r="BT327">
        <v>0</v>
      </c>
      <c r="BU327">
        <v>0.13037950000000001</v>
      </c>
      <c r="BV327">
        <v>0.13037950000000001</v>
      </c>
      <c r="BW327">
        <v>-70.2363</v>
      </c>
      <c r="BX327">
        <v>-70.2363</v>
      </c>
      <c r="BY327">
        <v>165.5239</v>
      </c>
      <c r="BZ327">
        <v>165.5239</v>
      </c>
      <c r="CA327">
        <v>0</v>
      </c>
      <c r="CB327">
        <v>0</v>
      </c>
      <c r="CC327">
        <v>0</v>
      </c>
      <c r="CD327">
        <v>180</v>
      </c>
    </row>
    <row r="328" spans="19:82">
      <c r="S328">
        <v>0.86604999999999999</v>
      </c>
      <c r="T328">
        <v>0.98431369999999996</v>
      </c>
      <c r="U328">
        <v>0.98431369999999996</v>
      </c>
      <c r="V328">
        <v>1.1999999999999999E-6</v>
      </c>
      <c r="W328">
        <v>1.1999999999999999E-6</v>
      </c>
      <c r="X328">
        <v>1.56851E-2</v>
      </c>
      <c r="Y328">
        <v>1.56851E-2</v>
      </c>
      <c r="Z328">
        <v>-82.264600000000002</v>
      </c>
      <c r="AA328">
        <v>-82.264600000000002</v>
      </c>
      <c r="AB328">
        <v>-121.0425</v>
      </c>
      <c r="AC328">
        <v>-121.0425</v>
      </c>
      <c r="AD328">
        <v>0</v>
      </c>
      <c r="AE328">
        <v>0</v>
      </c>
      <c r="AF328">
        <v>0</v>
      </c>
      <c r="AG328">
        <v>180</v>
      </c>
      <c r="AI328">
        <v>0.86604999999999999</v>
      </c>
      <c r="AJ328">
        <v>0.97968679999999997</v>
      </c>
      <c r="AK328">
        <v>0.97968679999999997</v>
      </c>
      <c r="AL328">
        <v>1.9999999999999999E-6</v>
      </c>
      <c r="AM328">
        <v>1.9999999999999999E-6</v>
      </c>
      <c r="AN328">
        <v>2.0311300000000001E-2</v>
      </c>
      <c r="AO328">
        <v>2.0311300000000001E-2</v>
      </c>
      <c r="AP328">
        <v>-69.632999999999996</v>
      </c>
      <c r="AQ328">
        <v>-69.632999999999996</v>
      </c>
      <c r="AR328">
        <v>-97.471100000000007</v>
      </c>
      <c r="AS328">
        <v>-97.471100000000007</v>
      </c>
      <c r="AT328">
        <v>0</v>
      </c>
      <c r="AU328">
        <v>0</v>
      </c>
      <c r="AV328">
        <v>0</v>
      </c>
      <c r="AW328">
        <v>180</v>
      </c>
      <c r="AY328">
        <v>0.86604999999999999</v>
      </c>
      <c r="AZ328">
        <v>9.0850000000000002E-4</v>
      </c>
      <c r="BA328">
        <v>9.0850000000000002E-4</v>
      </c>
      <c r="BB328">
        <v>0.99891030000000003</v>
      </c>
      <c r="BC328">
        <v>0.99891030000000003</v>
      </c>
      <c r="BD328">
        <v>1.8120000000000001E-4</v>
      </c>
      <c r="BE328">
        <v>1.8120000000000001E-4</v>
      </c>
      <c r="BF328">
        <v>95.818299999999994</v>
      </c>
      <c r="BG328">
        <v>95.818299999999994</v>
      </c>
      <c r="BH328">
        <v>139.4837</v>
      </c>
      <c r="BI328">
        <v>139.4837</v>
      </c>
      <c r="BJ328">
        <v>0</v>
      </c>
      <c r="BK328">
        <v>0</v>
      </c>
      <c r="BL328">
        <v>0</v>
      </c>
      <c r="BM328">
        <v>180</v>
      </c>
      <c r="BP328">
        <v>0.86604999999999999</v>
      </c>
      <c r="BQ328">
        <v>0.87023589999999995</v>
      </c>
      <c r="BR328">
        <v>0.87023589999999995</v>
      </c>
      <c r="BS328">
        <v>0</v>
      </c>
      <c r="BT328">
        <v>0</v>
      </c>
      <c r="BU328">
        <v>0.12976399999999999</v>
      </c>
      <c r="BV328">
        <v>0.12976399999999999</v>
      </c>
      <c r="BW328">
        <v>-69.760000000000005</v>
      </c>
      <c r="BX328">
        <v>-69.760000000000005</v>
      </c>
      <c r="BY328">
        <v>165.54560000000001</v>
      </c>
      <c r="BZ328">
        <v>165.54560000000001</v>
      </c>
      <c r="CA328">
        <v>0</v>
      </c>
      <c r="CB328">
        <v>0</v>
      </c>
      <c r="CC328">
        <v>0</v>
      </c>
      <c r="CD328">
        <v>180</v>
      </c>
    </row>
    <row r="329" spans="19:82">
      <c r="S329">
        <v>0.86739999999999995</v>
      </c>
      <c r="T329">
        <v>0.98428289999999996</v>
      </c>
      <c r="U329">
        <v>0.98428289999999996</v>
      </c>
      <c r="V329">
        <v>1.1999999999999999E-6</v>
      </c>
      <c r="W329">
        <v>1.1999999999999999E-6</v>
      </c>
      <c r="X329">
        <v>1.5715900000000001E-2</v>
      </c>
      <c r="Y329">
        <v>1.5715900000000001E-2</v>
      </c>
      <c r="Z329">
        <v>-82.081900000000005</v>
      </c>
      <c r="AA329">
        <v>-82.081900000000005</v>
      </c>
      <c r="AB329">
        <v>-120.72969999999999</v>
      </c>
      <c r="AC329">
        <v>-120.72969999999999</v>
      </c>
      <c r="AD329">
        <v>0</v>
      </c>
      <c r="AE329">
        <v>0</v>
      </c>
      <c r="AF329">
        <v>0</v>
      </c>
      <c r="AG329">
        <v>180</v>
      </c>
      <c r="AI329">
        <v>0.86739999999999995</v>
      </c>
      <c r="AJ329">
        <v>0.97964010000000001</v>
      </c>
      <c r="AK329">
        <v>0.97964010000000001</v>
      </c>
      <c r="AL329">
        <v>1.9999999999999999E-6</v>
      </c>
      <c r="AM329">
        <v>1.9999999999999999E-6</v>
      </c>
      <c r="AN329">
        <v>2.0358000000000001E-2</v>
      </c>
      <c r="AO329">
        <v>2.0358000000000001E-2</v>
      </c>
      <c r="AP329">
        <v>-69.421499999999995</v>
      </c>
      <c r="AQ329">
        <v>-69.421499999999995</v>
      </c>
      <c r="AR329">
        <v>-97.096299999999999</v>
      </c>
      <c r="AS329">
        <v>-97.096299999999999</v>
      </c>
      <c r="AT329">
        <v>0</v>
      </c>
      <c r="AU329">
        <v>0</v>
      </c>
      <c r="AV329">
        <v>0</v>
      </c>
      <c r="AW329">
        <v>180</v>
      </c>
      <c r="AY329">
        <v>0.86739999999999995</v>
      </c>
      <c r="AZ329">
        <v>8.92E-4</v>
      </c>
      <c r="BA329">
        <v>8.92E-4</v>
      </c>
      <c r="BB329">
        <v>0.99892729999999996</v>
      </c>
      <c r="BC329">
        <v>0.99892729999999996</v>
      </c>
      <c r="BD329">
        <v>1.807E-4</v>
      </c>
      <c r="BE329">
        <v>1.807E-4</v>
      </c>
      <c r="BF329">
        <v>96.244500000000002</v>
      </c>
      <c r="BG329">
        <v>96.244500000000002</v>
      </c>
      <c r="BH329">
        <v>137.91579999999999</v>
      </c>
      <c r="BI329">
        <v>137.91579999999999</v>
      </c>
      <c r="BJ329">
        <v>0</v>
      </c>
      <c r="BK329">
        <v>0</v>
      </c>
      <c r="BL329">
        <v>0</v>
      </c>
      <c r="BM329">
        <v>180</v>
      </c>
      <c r="BP329">
        <v>0.86739999999999995</v>
      </c>
      <c r="BQ329">
        <v>0.87084850000000003</v>
      </c>
      <c r="BR329">
        <v>0.87084850000000003</v>
      </c>
      <c r="BS329">
        <v>0</v>
      </c>
      <c r="BT329">
        <v>0</v>
      </c>
      <c r="BU329">
        <v>0.1291515</v>
      </c>
      <c r="BV329">
        <v>0.1291515</v>
      </c>
      <c r="BW329">
        <v>-69.285200000000003</v>
      </c>
      <c r="BX329">
        <v>-69.285200000000003</v>
      </c>
      <c r="BY329">
        <v>165.56729999999999</v>
      </c>
      <c r="BZ329">
        <v>165.56729999999999</v>
      </c>
      <c r="CA329">
        <v>0</v>
      </c>
      <c r="CB329">
        <v>0</v>
      </c>
      <c r="CC329">
        <v>0</v>
      </c>
      <c r="CD329">
        <v>180</v>
      </c>
    </row>
    <row r="330" spans="19:82">
      <c r="S330">
        <v>0.86875000000000002</v>
      </c>
      <c r="T330">
        <v>0.98425189999999996</v>
      </c>
      <c r="U330">
        <v>0.98425189999999996</v>
      </c>
      <c r="V330">
        <v>1.1999999999999999E-6</v>
      </c>
      <c r="W330">
        <v>1.1999999999999999E-6</v>
      </c>
      <c r="X330">
        <v>1.5746900000000001E-2</v>
      </c>
      <c r="Y330">
        <v>1.5746900000000001E-2</v>
      </c>
      <c r="Z330">
        <v>-81.899100000000004</v>
      </c>
      <c r="AA330">
        <v>-81.899100000000004</v>
      </c>
      <c r="AB330">
        <v>-120.4166</v>
      </c>
      <c r="AC330">
        <v>-120.4166</v>
      </c>
      <c r="AD330">
        <v>0</v>
      </c>
      <c r="AE330">
        <v>0</v>
      </c>
      <c r="AF330">
        <v>0</v>
      </c>
      <c r="AG330">
        <v>180</v>
      </c>
      <c r="AI330">
        <v>0.86875000000000002</v>
      </c>
      <c r="AJ330">
        <v>0.9795933</v>
      </c>
      <c r="AK330">
        <v>0.9795933</v>
      </c>
      <c r="AL330">
        <v>1.9999999999999999E-6</v>
      </c>
      <c r="AM330">
        <v>1.9999999999999999E-6</v>
      </c>
      <c r="AN330">
        <v>2.0404700000000001E-2</v>
      </c>
      <c r="AO330">
        <v>2.0404700000000001E-2</v>
      </c>
      <c r="AP330">
        <v>-69.209900000000005</v>
      </c>
      <c r="AQ330">
        <v>-69.209900000000005</v>
      </c>
      <c r="AR330">
        <v>-96.721100000000007</v>
      </c>
      <c r="AS330">
        <v>-96.721100000000007</v>
      </c>
      <c r="AT330">
        <v>0</v>
      </c>
      <c r="AU330">
        <v>0</v>
      </c>
      <c r="AV330">
        <v>0</v>
      </c>
      <c r="AW330">
        <v>180</v>
      </c>
      <c r="AY330">
        <v>0.86875000000000002</v>
      </c>
      <c r="AZ330">
        <v>8.7750000000000002E-4</v>
      </c>
      <c r="BA330">
        <v>8.7750000000000002E-4</v>
      </c>
      <c r="BB330">
        <v>0.99894240000000001</v>
      </c>
      <c r="BC330">
        <v>0.99894240000000001</v>
      </c>
      <c r="BD330">
        <v>1.8009999999999999E-4</v>
      </c>
      <c r="BE330">
        <v>1.8009999999999999E-4</v>
      </c>
      <c r="BF330">
        <v>96.669499999999999</v>
      </c>
      <c r="BG330">
        <v>96.669499999999999</v>
      </c>
      <c r="BH330">
        <v>136.3058</v>
      </c>
      <c r="BI330">
        <v>136.3058</v>
      </c>
      <c r="BJ330">
        <v>0</v>
      </c>
      <c r="BK330">
        <v>0</v>
      </c>
      <c r="BL330">
        <v>0</v>
      </c>
      <c r="BM330">
        <v>180</v>
      </c>
      <c r="BP330">
        <v>0.86875000000000002</v>
      </c>
      <c r="BQ330">
        <v>0.87145819999999996</v>
      </c>
      <c r="BR330">
        <v>0.87145819999999996</v>
      </c>
      <c r="BS330">
        <v>0</v>
      </c>
      <c r="BT330">
        <v>0</v>
      </c>
      <c r="BU330">
        <v>0.12854180000000001</v>
      </c>
      <c r="BV330">
        <v>0.12854180000000001</v>
      </c>
      <c r="BW330">
        <v>-68.811800000000005</v>
      </c>
      <c r="BX330">
        <v>-68.811800000000005</v>
      </c>
      <c r="BY330">
        <v>165.589</v>
      </c>
      <c r="BZ330">
        <v>165.589</v>
      </c>
      <c r="CA330">
        <v>0</v>
      </c>
      <c r="CB330">
        <v>0</v>
      </c>
      <c r="CC330">
        <v>0</v>
      </c>
      <c r="CD330">
        <v>180</v>
      </c>
    </row>
    <row r="331" spans="19:82">
      <c r="S331">
        <v>0.87009999999999998</v>
      </c>
      <c r="T331">
        <v>0.98422080000000001</v>
      </c>
      <c r="U331">
        <v>0.98422080000000001</v>
      </c>
      <c r="V331">
        <v>1.1999999999999999E-6</v>
      </c>
      <c r="W331">
        <v>1.1999999999999999E-6</v>
      </c>
      <c r="X331">
        <v>1.5778E-2</v>
      </c>
      <c r="Y331">
        <v>1.5778E-2</v>
      </c>
      <c r="Z331">
        <v>-81.716200000000001</v>
      </c>
      <c r="AA331">
        <v>-81.716200000000001</v>
      </c>
      <c r="AB331">
        <v>-120.1032</v>
      </c>
      <c r="AC331">
        <v>-120.1032</v>
      </c>
      <c r="AD331">
        <v>0</v>
      </c>
      <c r="AE331">
        <v>0</v>
      </c>
      <c r="AF331">
        <v>0</v>
      </c>
      <c r="AG331">
        <v>180</v>
      </c>
      <c r="AI331">
        <v>0.87009999999999998</v>
      </c>
      <c r="AJ331">
        <v>0.97954660000000005</v>
      </c>
      <c r="AK331">
        <v>0.97954660000000005</v>
      </c>
      <c r="AL331">
        <v>1.9999999999999999E-6</v>
      </c>
      <c r="AM331">
        <v>1.9999999999999999E-6</v>
      </c>
      <c r="AN331">
        <v>2.0451500000000001E-2</v>
      </c>
      <c r="AO331">
        <v>2.0451500000000001E-2</v>
      </c>
      <c r="AP331">
        <v>-68.998099999999994</v>
      </c>
      <c r="AQ331">
        <v>-68.998099999999994</v>
      </c>
      <c r="AR331">
        <v>-96.345299999999995</v>
      </c>
      <c r="AS331">
        <v>-96.345299999999995</v>
      </c>
      <c r="AT331">
        <v>0</v>
      </c>
      <c r="AU331">
        <v>0</v>
      </c>
      <c r="AV331">
        <v>0</v>
      </c>
      <c r="AW331">
        <v>180</v>
      </c>
      <c r="AY331">
        <v>0.87009999999999998</v>
      </c>
      <c r="AZ331">
        <v>8.6490000000000004E-4</v>
      </c>
      <c r="BA331">
        <v>8.6490000000000004E-4</v>
      </c>
      <c r="BB331">
        <v>0.9989555</v>
      </c>
      <c r="BC331">
        <v>0.9989555</v>
      </c>
      <c r="BD331">
        <v>1.796E-4</v>
      </c>
      <c r="BE331">
        <v>1.796E-4</v>
      </c>
      <c r="BF331">
        <v>97.093199999999996</v>
      </c>
      <c r="BG331">
        <v>97.093199999999996</v>
      </c>
      <c r="BH331">
        <v>134.6567</v>
      </c>
      <c r="BI331">
        <v>134.6567</v>
      </c>
      <c r="BJ331">
        <v>0</v>
      </c>
      <c r="BK331">
        <v>0</v>
      </c>
      <c r="BL331">
        <v>0</v>
      </c>
      <c r="BM331">
        <v>180</v>
      </c>
      <c r="BP331">
        <v>0.87009999999999998</v>
      </c>
      <c r="BQ331">
        <v>0.87206490000000003</v>
      </c>
      <c r="BR331">
        <v>0.87206490000000003</v>
      </c>
      <c r="BS331">
        <v>0</v>
      </c>
      <c r="BT331">
        <v>0</v>
      </c>
      <c r="BU331">
        <v>0.12793499999999999</v>
      </c>
      <c r="BV331">
        <v>0.12793499999999999</v>
      </c>
      <c r="BW331">
        <v>-68.3399</v>
      </c>
      <c r="BX331">
        <v>-68.3399</v>
      </c>
      <c r="BY331">
        <v>165.61060000000001</v>
      </c>
      <c r="BZ331">
        <v>165.61060000000001</v>
      </c>
      <c r="CA331">
        <v>0</v>
      </c>
      <c r="CB331">
        <v>0</v>
      </c>
      <c r="CC331">
        <v>0</v>
      </c>
      <c r="CD331">
        <v>180</v>
      </c>
    </row>
    <row r="332" spans="19:82">
      <c r="S332">
        <v>0.87144999999999995</v>
      </c>
      <c r="T332">
        <v>0.98418950000000005</v>
      </c>
      <c r="U332">
        <v>0.98418950000000005</v>
      </c>
      <c r="V332">
        <v>1.1999999999999999E-6</v>
      </c>
      <c r="W332">
        <v>1.1999999999999999E-6</v>
      </c>
      <c r="X332">
        <v>1.5809299999999998E-2</v>
      </c>
      <c r="Y332">
        <v>1.5809299999999998E-2</v>
      </c>
      <c r="Z332">
        <v>-81.533199999999994</v>
      </c>
      <c r="AA332">
        <v>-81.533199999999994</v>
      </c>
      <c r="AB332">
        <v>-119.7894</v>
      </c>
      <c r="AC332">
        <v>-119.7894</v>
      </c>
      <c r="AD332">
        <v>0</v>
      </c>
      <c r="AE332">
        <v>0</v>
      </c>
      <c r="AF332">
        <v>0</v>
      </c>
      <c r="AG332">
        <v>180</v>
      </c>
      <c r="AI332">
        <v>0.87144999999999995</v>
      </c>
      <c r="AJ332">
        <v>0.97949980000000003</v>
      </c>
      <c r="AK332">
        <v>0.97949980000000003</v>
      </c>
      <c r="AL332">
        <v>1.9999999999999999E-6</v>
      </c>
      <c r="AM332">
        <v>1.9999999999999999E-6</v>
      </c>
      <c r="AN332">
        <v>2.0498300000000001E-2</v>
      </c>
      <c r="AO332">
        <v>2.0498300000000001E-2</v>
      </c>
      <c r="AP332">
        <v>-68.786100000000005</v>
      </c>
      <c r="AQ332">
        <v>-68.786100000000005</v>
      </c>
      <c r="AR332">
        <v>-95.969099999999997</v>
      </c>
      <c r="AS332">
        <v>-95.969099999999997</v>
      </c>
      <c r="AT332">
        <v>0</v>
      </c>
      <c r="AU332">
        <v>0</v>
      </c>
      <c r="AV332">
        <v>0</v>
      </c>
      <c r="AW332">
        <v>180</v>
      </c>
      <c r="AY332">
        <v>0.87144999999999995</v>
      </c>
      <c r="AZ332">
        <v>8.543E-4</v>
      </c>
      <c r="BA332">
        <v>8.543E-4</v>
      </c>
      <c r="BB332">
        <v>0.99896660000000004</v>
      </c>
      <c r="BC332">
        <v>0.99896660000000004</v>
      </c>
      <c r="BD332">
        <v>1.7909999999999999E-4</v>
      </c>
      <c r="BE332">
        <v>1.7909999999999999E-4</v>
      </c>
      <c r="BF332">
        <v>97.515799999999999</v>
      </c>
      <c r="BG332">
        <v>97.515799999999999</v>
      </c>
      <c r="BH332">
        <v>132.97190000000001</v>
      </c>
      <c r="BI332">
        <v>132.97190000000001</v>
      </c>
      <c r="BJ332">
        <v>0</v>
      </c>
      <c r="BK332">
        <v>0</v>
      </c>
      <c r="BL332">
        <v>0</v>
      </c>
      <c r="BM332">
        <v>180</v>
      </c>
      <c r="BP332">
        <v>0.87144999999999995</v>
      </c>
      <c r="BQ332">
        <v>0.87266889999999997</v>
      </c>
      <c r="BR332">
        <v>0.87266889999999997</v>
      </c>
      <c r="BS332">
        <v>0</v>
      </c>
      <c r="BT332">
        <v>0</v>
      </c>
      <c r="BU332">
        <v>0.1273311</v>
      </c>
      <c r="BV332">
        <v>0.1273311</v>
      </c>
      <c r="BW332">
        <v>-67.869399999999999</v>
      </c>
      <c r="BX332">
        <v>-67.869399999999999</v>
      </c>
      <c r="BY332">
        <v>165.63220000000001</v>
      </c>
      <c r="BZ332">
        <v>165.63220000000001</v>
      </c>
      <c r="CA332">
        <v>0</v>
      </c>
      <c r="CB332">
        <v>0</v>
      </c>
      <c r="CC332">
        <v>0</v>
      </c>
      <c r="CD332">
        <v>180</v>
      </c>
    </row>
    <row r="333" spans="19:82">
      <c r="S333">
        <v>0.87280000000000002</v>
      </c>
      <c r="T333">
        <v>0.98415799999999998</v>
      </c>
      <c r="U333">
        <v>0.98415799999999998</v>
      </c>
      <c r="V333">
        <v>1.1999999999999999E-6</v>
      </c>
      <c r="W333">
        <v>1.1999999999999999E-6</v>
      </c>
      <c r="X333">
        <v>1.5840799999999999E-2</v>
      </c>
      <c r="Y333">
        <v>1.5840799999999999E-2</v>
      </c>
      <c r="Z333">
        <v>-81.350099999999998</v>
      </c>
      <c r="AA333">
        <v>-81.350099999999998</v>
      </c>
      <c r="AB333">
        <v>-119.4752</v>
      </c>
      <c r="AC333">
        <v>-119.4752</v>
      </c>
      <c r="AD333">
        <v>0</v>
      </c>
      <c r="AE333">
        <v>0</v>
      </c>
      <c r="AF333">
        <v>0</v>
      </c>
      <c r="AG333">
        <v>180</v>
      </c>
      <c r="AI333">
        <v>0.87280000000000002</v>
      </c>
      <c r="AJ333">
        <v>0.97945289999999996</v>
      </c>
      <c r="AK333">
        <v>0.97945289999999996</v>
      </c>
      <c r="AL333">
        <v>1.9999999999999999E-6</v>
      </c>
      <c r="AM333">
        <v>1.9999999999999999E-6</v>
      </c>
      <c r="AN333">
        <v>2.05451E-2</v>
      </c>
      <c r="AO333">
        <v>2.05451E-2</v>
      </c>
      <c r="AP333">
        <v>-68.573899999999995</v>
      </c>
      <c r="AQ333">
        <v>-68.573899999999995</v>
      </c>
      <c r="AR333">
        <v>-95.592399999999998</v>
      </c>
      <c r="AS333">
        <v>-95.592399999999998</v>
      </c>
      <c r="AT333">
        <v>0</v>
      </c>
      <c r="AU333">
        <v>0</v>
      </c>
      <c r="AV333">
        <v>0</v>
      </c>
      <c r="AW333">
        <v>180</v>
      </c>
      <c r="AY333">
        <v>0.87280000000000002</v>
      </c>
      <c r="AZ333">
        <v>8.4570000000000001E-4</v>
      </c>
      <c r="BA333">
        <v>8.4570000000000001E-4</v>
      </c>
      <c r="BB333">
        <v>0.99897570000000002</v>
      </c>
      <c r="BC333">
        <v>0.99897570000000002</v>
      </c>
      <c r="BD333">
        <v>1.786E-4</v>
      </c>
      <c r="BE333">
        <v>1.786E-4</v>
      </c>
      <c r="BF333">
        <v>97.936999999999998</v>
      </c>
      <c r="BG333">
        <v>97.936999999999998</v>
      </c>
      <c r="BH333">
        <v>131.2551</v>
      </c>
      <c r="BI333">
        <v>131.2551</v>
      </c>
      <c r="BJ333">
        <v>0</v>
      </c>
      <c r="BK333">
        <v>0</v>
      </c>
      <c r="BL333">
        <v>0</v>
      </c>
      <c r="BM333">
        <v>180</v>
      </c>
      <c r="BP333">
        <v>0.87280000000000002</v>
      </c>
      <c r="BQ333">
        <v>0.87326990000000004</v>
      </c>
      <c r="BR333">
        <v>0.87326990000000004</v>
      </c>
      <c r="BS333">
        <v>0</v>
      </c>
      <c r="BT333">
        <v>0</v>
      </c>
      <c r="BU333">
        <v>0.12673000000000001</v>
      </c>
      <c r="BV333">
        <v>0.12673000000000001</v>
      </c>
      <c r="BW333">
        <v>-67.400400000000005</v>
      </c>
      <c r="BX333">
        <v>-67.400400000000005</v>
      </c>
      <c r="BY333">
        <v>165.65369999999999</v>
      </c>
      <c r="BZ333">
        <v>165.65369999999999</v>
      </c>
      <c r="CA333">
        <v>0</v>
      </c>
      <c r="CB333">
        <v>0</v>
      </c>
      <c r="CC333">
        <v>0</v>
      </c>
      <c r="CD333">
        <v>180</v>
      </c>
    </row>
    <row r="334" spans="19:82">
      <c r="S334">
        <v>0.87414999999999998</v>
      </c>
      <c r="T334">
        <v>0.98412639999999996</v>
      </c>
      <c r="U334">
        <v>0.98412639999999996</v>
      </c>
      <c r="V334">
        <v>1.1999999999999999E-6</v>
      </c>
      <c r="W334">
        <v>1.1999999999999999E-6</v>
      </c>
      <c r="X334">
        <v>1.5872399999999998E-2</v>
      </c>
      <c r="Y334">
        <v>1.5872399999999998E-2</v>
      </c>
      <c r="Z334">
        <v>-81.166899999999998</v>
      </c>
      <c r="AA334">
        <v>-81.166899999999998</v>
      </c>
      <c r="AB334">
        <v>-119.16070000000001</v>
      </c>
      <c r="AC334">
        <v>-119.16070000000001</v>
      </c>
      <c r="AD334">
        <v>0</v>
      </c>
      <c r="AE334">
        <v>0</v>
      </c>
      <c r="AF334">
        <v>0</v>
      </c>
      <c r="AG334">
        <v>180</v>
      </c>
      <c r="AI334">
        <v>0.87414999999999998</v>
      </c>
      <c r="AJ334">
        <v>0.97940609999999995</v>
      </c>
      <c r="AK334">
        <v>0.97940609999999995</v>
      </c>
      <c r="AL334">
        <v>1.9999999999999999E-6</v>
      </c>
      <c r="AM334">
        <v>1.9999999999999999E-6</v>
      </c>
      <c r="AN334">
        <v>2.0591999999999999E-2</v>
      </c>
      <c r="AO334">
        <v>2.0591999999999999E-2</v>
      </c>
      <c r="AP334">
        <v>-68.361599999999996</v>
      </c>
      <c r="AQ334">
        <v>-68.361599999999996</v>
      </c>
      <c r="AR334">
        <v>-95.215100000000007</v>
      </c>
      <c r="AS334">
        <v>-95.215100000000007</v>
      </c>
      <c r="AT334">
        <v>0</v>
      </c>
      <c r="AU334">
        <v>0</v>
      </c>
      <c r="AV334">
        <v>0</v>
      </c>
      <c r="AW334">
        <v>180</v>
      </c>
      <c r="AY334">
        <v>0.87414999999999998</v>
      </c>
      <c r="AZ334">
        <v>8.3920000000000002E-4</v>
      </c>
      <c r="BA334">
        <v>8.3920000000000002E-4</v>
      </c>
      <c r="BB334">
        <v>0.99898279999999995</v>
      </c>
      <c r="BC334">
        <v>0.99898279999999995</v>
      </c>
      <c r="BD334">
        <v>1.7799999999999999E-4</v>
      </c>
      <c r="BE334">
        <v>1.7799999999999999E-4</v>
      </c>
      <c r="BF334">
        <v>98.357100000000003</v>
      </c>
      <c r="BG334">
        <v>98.357100000000003</v>
      </c>
      <c r="BH334">
        <v>129.51070000000001</v>
      </c>
      <c r="BI334">
        <v>129.51070000000001</v>
      </c>
      <c r="BJ334">
        <v>0</v>
      </c>
      <c r="BK334">
        <v>0</v>
      </c>
      <c r="BL334">
        <v>0</v>
      </c>
      <c r="BM334">
        <v>180</v>
      </c>
      <c r="BP334">
        <v>0.87414999999999998</v>
      </c>
      <c r="BQ334">
        <v>0.87386810000000004</v>
      </c>
      <c r="BR334">
        <v>0.87386810000000004</v>
      </c>
      <c r="BS334">
        <v>0</v>
      </c>
      <c r="BT334">
        <v>0</v>
      </c>
      <c r="BU334">
        <v>0.12613179999999999</v>
      </c>
      <c r="BV334">
        <v>0.12613179999999999</v>
      </c>
      <c r="BW334">
        <v>-66.932699999999997</v>
      </c>
      <c r="BX334">
        <v>-66.932699999999997</v>
      </c>
      <c r="BY334">
        <v>165.67519999999999</v>
      </c>
      <c r="BZ334">
        <v>165.67519999999999</v>
      </c>
      <c r="CA334">
        <v>0</v>
      </c>
      <c r="CB334">
        <v>0</v>
      </c>
      <c r="CC334">
        <v>0</v>
      </c>
      <c r="CD334">
        <v>180</v>
      </c>
    </row>
    <row r="335" spans="19:82">
      <c r="S335">
        <v>0.87549999999999994</v>
      </c>
      <c r="T335">
        <v>0.98409460000000004</v>
      </c>
      <c r="U335">
        <v>0.98409460000000004</v>
      </c>
      <c r="V335">
        <v>1.1999999999999999E-6</v>
      </c>
      <c r="W335">
        <v>1.1999999999999999E-6</v>
      </c>
      <c r="X335">
        <v>1.59042E-2</v>
      </c>
      <c r="Y335">
        <v>1.59042E-2</v>
      </c>
      <c r="Z335">
        <v>-80.983599999999996</v>
      </c>
      <c r="AA335">
        <v>-80.983599999999996</v>
      </c>
      <c r="AB335">
        <v>-118.8458</v>
      </c>
      <c r="AC335">
        <v>-118.8458</v>
      </c>
      <c r="AD335">
        <v>0</v>
      </c>
      <c r="AE335">
        <v>0</v>
      </c>
      <c r="AF335">
        <v>0</v>
      </c>
      <c r="AG335">
        <v>180</v>
      </c>
      <c r="AI335">
        <v>0.87549999999999994</v>
      </c>
      <c r="AJ335">
        <v>0.97935919999999999</v>
      </c>
      <c r="AK335">
        <v>0.97935919999999999</v>
      </c>
      <c r="AL335">
        <v>1.9999999999999999E-6</v>
      </c>
      <c r="AM335">
        <v>1.9999999999999999E-6</v>
      </c>
      <c r="AN335">
        <v>2.0638900000000002E-2</v>
      </c>
      <c r="AO335">
        <v>2.0638900000000002E-2</v>
      </c>
      <c r="AP335">
        <v>-68.149100000000004</v>
      </c>
      <c r="AQ335">
        <v>-68.149100000000004</v>
      </c>
      <c r="AR335">
        <v>-94.837400000000002</v>
      </c>
      <c r="AS335">
        <v>-94.837400000000002</v>
      </c>
      <c r="AT335">
        <v>0</v>
      </c>
      <c r="AU335">
        <v>0</v>
      </c>
      <c r="AV335">
        <v>0</v>
      </c>
      <c r="AW335">
        <v>180</v>
      </c>
      <c r="AY335">
        <v>0.87549999999999994</v>
      </c>
      <c r="AZ335">
        <v>8.3469999999999996E-4</v>
      </c>
      <c r="BA335">
        <v>8.3469999999999996E-4</v>
      </c>
      <c r="BB335">
        <v>0.99898779999999998</v>
      </c>
      <c r="BC335">
        <v>0.99898779999999998</v>
      </c>
      <c r="BD335">
        <v>1.775E-4</v>
      </c>
      <c r="BE335">
        <v>1.775E-4</v>
      </c>
      <c r="BF335">
        <v>98.775999999999996</v>
      </c>
      <c r="BG335">
        <v>98.775999999999996</v>
      </c>
      <c r="BH335">
        <v>127.7433</v>
      </c>
      <c r="BI335">
        <v>127.7433</v>
      </c>
      <c r="BJ335">
        <v>0</v>
      </c>
      <c r="BK335">
        <v>0</v>
      </c>
      <c r="BL335">
        <v>0</v>
      </c>
      <c r="BM335">
        <v>180</v>
      </c>
      <c r="BP335">
        <v>0.87549999999999994</v>
      </c>
      <c r="BQ335">
        <v>0.87446349999999995</v>
      </c>
      <c r="BR335">
        <v>0.87446349999999995</v>
      </c>
      <c r="BS335">
        <v>0</v>
      </c>
      <c r="BT335">
        <v>0</v>
      </c>
      <c r="BU335">
        <v>0.12553639999999999</v>
      </c>
      <c r="BV335">
        <v>0.12553639999999999</v>
      </c>
      <c r="BW335">
        <v>-66.466499999999996</v>
      </c>
      <c r="BX335">
        <v>-66.466499999999996</v>
      </c>
      <c r="BY335">
        <v>165.69669999999999</v>
      </c>
      <c r="BZ335">
        <v>165.69669999999999</v>
      </c>
      <c r="CA335">
        <v>0</v>
      </c>
      <c r="CB335">
        <v>0</v>
      </c>
      <c r="CC335">
        <v>0</v>
      </c>
      <c r="CD335">
        <v>180</v>
      </c>
    </row>
    <row r="336" spans="19:82">
      <c r="S336">
        <v>0.87685000000000002</v>
      </c>
      <c r="T336">
        <v>0.98406260000000001</v>
      </c>
      <c r="U336">
        <v>0.98406260000000001</v>
      </c>
      <c r="V336">
        <v>1.1999999999999999E-6</v>
      </c>
      <c r="W336">
        <v>1.1999999999999999E-6</v>
      </c>
      <c r="X336">
        <v>1.5936100000000002E-2</v>
      </c>
      <c r="Y336">
        <v>1.5936100000000002E-2</v>
      </c>
      <c r="Z336">
        <v>-80.800200000000004</v>
      </c>
      <c r="AA336">
        <v>-80.800200000000004</v>
      </c>
      <c r="AB336">
        <v>-118.53060000000001</v>
      </c>
      <c r="AC336">
        <v>-118.53060000000001</v>
      </c>
      <c r="AD336">
        <v>0</v>
      </c>
      <c r="AE336">
        <v>0</v>
      </c>
      <c r="AF336">
        <v>0</v>
      </c>
      <c r="AG336">
        <v>180</v>
      </c>
      <c r="AI336">
        <v>0.87685000000000002</v>
      </c>
      <c r="AJ336">
        <v>0.97931219999999997</v>
      </c>
      <c r="AK336">
        <v>0.97931219999999997</v>
      </c>
      <c r="AL336">
        <v>1.9999999999999999E-6</v>
      </c>
      <c r="AM336">
        <v>1.9999999999999999E-6</v>
      </c>
      <c r="AN336">
        <v>2.0685800000000001E-2</v>
      </c>
      <c r="AO336">
        <v>2.0685800000000001E-2</v>
      </c>
      <c r="AP336">
        <v>-67.936400000000006</v>
      </c>
      <c r="AQ336">
        <v>-67.936400000000006</v>
      </c>
      <c r="AR336">
        <v>-94.459199999999996</v>
      </c>
      <c r="AS336">
        <v>-94.459199999999996</v>
      </c>
      <c r="AT336">
        <v>0</v>
      </c>
      <c r="AU336">
        <v>0</v>
      </c>
      <c r="AV336">
        <v>0</v>
      </c>
      <c r="AW336">
        <v>180</v>
      </c>
      <c r="AY336">
        <v>0.87685000000000002</v>
      </c>
      <c r="AZ336">
        <v>8.3239999999999996E-4</v>
      </c>
      <c r="BA336">
        <v>8.3239999999999996E-4</v>
      </c>
      <c r="BB336">
        <v>0.99899059999999995</v>
      </c>
      <c r="BC336">
        <v>0.99899059999999995</v>
      </c>
      <c r="BD336">
        <v>1.7699999999999999E-4</v>
      </c>
      <c r="BE336">
        <v>1.7699999999999999E-4</v>
      </c>
      <c r="BF336">
        <v>99.193600000000004</v>
      </c>
      <c r="BG336">
        <v>99.193600000000004</v>
      </c>
      <c r="BH336">
        <v>125.9579</v>
      </c>
      <c r="BI336">
        <v>125.9579</v>
      </c>
      <c r="BJ336">
        <v>0</v>
      </c>
      <c r="BK336">
        <v>0</v>
      </c>
      <c r="BL336">
        <v>0</v>
      </c>
      <c r="BM336">
        <v>180</v>
      </c>
      <c r="BP336">
        <v>0.87685000000000002</v>
      </c>
      <c r="BQ336">
        <v>0.8750561</v>
      </c>
      <c r="BR336">
        <v>0.8750561</v>
      </c>
      <c r="BS336">
        <v>0</v>
      </c>
      <c r="BT336">
        <v>0</v>
      </c>
      <c r="BU336">
        <v>0.1249439</v>
      </c>
      <c r="BV336">
        <v>0.1249439</v>
      </c>
      <c r="BW336">
        <v>-66.0017</v>
      </c>
      <c r="BX336">
        <v>-66.0017</v>
      </c>
      <c r="BY336">
        <v>165.71809999999999</v>
      </c>
      <c r="BZ336">
        <v>165.71809999999999</v>
      </c>
      <c r="CA336">
        <v>0</v>
      </c>
      <c r="CB336">
        <v>0</v>
      </c>
      <c r="CC336">
        <v>0</v>
      </c>
      <c r="CD336">
        <v>180</v>
      </c>
    </row>
    <row r="337" spans="19:82">
      <c r="S337">
        <v>0.87819999999999998</v>
      </c>
      <c r="T337">
        <v>0.98403059999999998</v>
      </c>
      <c r="U337">
        <v>0.98403059999999998</v>
      </c>
      <c r="V337">
        <v>1.1999999999999999E-6</v>
      </c>
      <c r="W337">
        <v>1.1999999999999999E-6</v>
      </c>
      <c r="X337">
        <v>1.5968199999999998E-2</v>
      </c>
      <c r="Y337">
        <v>1.5968199999999998E-2</v>
      </c>
      <c r="Z337">
        <v>-80.616799999999998</v>
      </c>
      <c r="AA337">
        <v>-80.616799999999998</v>
      </c>
      <c r="AB337">
        <v>-118.215</v>
      </c>
      <c r="AC337">
        <v>-118.215</v>
      </c>
      <c r="AD337">
        <v>0</v>
      </c>
      <c r="AE337">
        <v>0</v>
      </c>
      <c r="AF337">
        <v>0</v>
      </c>
      <c r="AG337">
        <v>180</v>
      </c>
      <c r="AI337">
        <v>0.87819999999999998</v>
      </c>
      <c r="AJ337">
        <v>0.97926530000000001</v>
      </c>
      <c r="AK337">
        <v>0.97926530000000001</v>
      </c>
      <c r="AL337">
        <v>1.9999999999999999E-6</v>
      </c>
      <c r="AM337">
        <v>1.9999999999999999E-6</v>
      </c>
      <c r="AN337">
        <v>2.0732799999999999E-2</v>
      </c>
      <c r="AO337">
        <v>2.0732799999999999E-2</v>
      </c>
      <c r="AP337">
        <v>-67.723600000000005</v>
      </c>
      <c r="AQ337">
        <v>-67.723600000000005</v>
      </c>
      <c r="AR337">
        <v>-94.080500000000001</v>
      </c>
      <c r="AS337">
        <v>-94.080500000000001</v>
      </c>
      <c r="AT337">
        <v>0</v>
      </c>
      <c r="AU337">
        <v>0</v>
      </c>
      <c r="AV337">
        <v>0</v>
      </c>
      <c r="AW337">
        <v>180</v>
      </c>
      <c r="AY337">
        <v>0.87819999999999998</v>
      </c>
      <c r="AZ337">
        <v>8.3219999999999995E-4</v>
      </c>
      <c r="BA337">
        <v>8.3219999999999995E-4</v>
      </c>
      <c r="BB337">
        <v>0.99899139999999997</v>
      </c>
      <c r="BC337">
        <v>0.99899139999999997</v>
      </c>
      <c r="BD337">
        <v>1.7650000000000001E-4</v>
      </c>
      <c r="BE337">
        <v>1.7650000000000001E-4</v>
      </c>
      <c r="BF337">
        <v>99.610100000000003</v>
      </c>
      <c r="BG337">
        <v>99.610100000000003</v>
      </c>
      <c r="BH337">
        <v>124.1598</v>
      </c>
      <c r="BI337">
        <v>124.1598</v>
      </c>
      <c r="BJ337">
        <v>0</v>
      </c>
      <c r="BK337">
        <v>0</v>
      </c>
      <c r="BL337">
        <v>0</v>
      </c>
      <c r="BM337">
        <v>180</v>
      </c>
      <c r="BP337">
        <v>0.87819999999999998</v>
      </c>
      <c r="BQ337">
        <v>0.87564589999999998</v>
      </c>
      <c r="BR337">
        <v>0.87564589999999998</v>
      </c>
      <c r="BS337">
        <v>0</v>
      </c>
      <c r="BT337">
        <v>0</v>
      </c>
      <c r="BU337">
        <v>0.1243541</v>
      </c>
      <c r="BV337">
        <v>0.1243541</v>
      </c>
      <c r="BW337">
        <v>-65.538300000000007</v>
      </c>
      <c r="BX337">
        <v>-65.538300000000007</v>
      </c>
      <c r="BY337">
        <v>165.73949999999999</v>
      </c>
      <c r="BZ337">
        <v>165.73949999999999</v>
      </c>
      <c r="CA337">
        <v>0</v>
      </c>
      <c r="CB337">
        <v>0</v>
      </c>
      <c r="CC337">
        <v>0</v>
      </c>
      <c r="CD337">
        <v>180</v>
      </c>
    </row>
    <row r="338" spans="19:82">
      <c r="S338">
        <v>0.87955000000000005</v>
      </c>
      <c r="T338">
        <v>0.98399829999999999</v>
      </c>
      <c r="U338">
        <v>0.98399829999999999</v>
      </c>
      <c r="V338">
        <v>1.1999999999999999E-6</v>
      </c>
      <c r="W338">
        <v>1.1999999999999999E-6</v>
      </c>
      <c r="X338">
        <v>1.6000400000000001E-2</v>
      </c>
      <c r="Y338">
        <v>1.6000400000000001E-2</v>
      </c>
      <c r="Z338">
        <v>-80.433199999999999</v>
      </c>
      <c r="AA338">
        <v>-80.433199999999999</v>
      </c>
      <c r="AB338">
        <v>-117.899</v>
      </c>
      <c r="AC338">
        <v>-117.899</v>
      </c>
      <c r="AD338">
        <v>0</v>
      </c>
      <c r="AE338">
        <v>0</v>
      </c>
      <c r="AF338">
        <v>0</v>
      </c>
      <c r="AG338">
        <v>180</v>
      </c>
      <c r="AI338">
        <v>0.87955000000000005</v>
      </c>
      <c r="AJ338">
        <v>0.97921829999999999</v>
      </c>
      <c r="AK338">
        <v>0.97921829999999999</v>
      </c>
      <c r="AL338">
        <v>1.9999999999999999E-6</v>
      </c>
      <c r="AM338">
        <v>1.9999999999999999E-6</v>
      </c>
      <c r="AN338">
        <v>2.0779700000000002E-2</v>
      </c>
      <c r="AO338">
        <v>2.0779700000000002E-2</v>
      </c>
      <c r="AP338">
        <v>-67.510599999999997</v>
      </c>
      <c r="AQ338">
        <v>-67.510599999999997</v>
      </c>
      <c r="AR338">
        <v>-93.701300000000003</v>
      </c>
      <c r="AS338">
        <v>-93.701300000000003</v>
      </c>
      <c r="AT338">
        <v>0</v>
      </c>
      <c r="AU338">
        <v>0</v>
      </c>
      <c r="AV338">
        <v>0</v>
      </c>
      <c r="AW338">
        <v>180</v>
      </c>
      <c r="AY338">
        <v>0.87955000000000005</v>
      </c>
      <c r="AZ338">
        <v>8.3410000000000005E-4</v>
      </c>
      <c r="BA338">
        <v>8.3410000000000005E-4</v>
      </c>
      <c r="BB338">
        <v>0.99898989999999999</v>
      </c>
      <c r="BC338">
        <v>0.99898989999999999</v>
      </c>
      <c r="BD338">
        <v>1.76E-4</v>
      </c>
      <c r="BE338">
        <v>1.76E-4</v>
      </c>
      <c r="BF338">
        <v>100.0254</v>
      </c>
      <c r="BG338">
        <v>100.0254</v>
      </c>
      <c r="BH338">
        <v>122.3545</v>
      </c>
      <c r="BI338">
        <v>122.3545</v>
      </c>
      <c r="BJ338">
        <v>0</v>
      </c>
      <c r="BK338">
        <v>0</v>
      </c>
      <c r="BL338">
        <v>0</v>
      </c>
      <c r="BM338">
        <v>180</v>
      </c>
      <c r="BP338">
        <v>0.87955000000000005</v>
      </c>
      <c r="BQ338">
        <v>0.87623289999999998</v>
      </c>
      <c r="BR338">
        <v>0.87623289999999998</v>
      </c>
      <c r="BS338">
        <v>0</v>
      </c>
      <c r="BT338">
        <v>0</v>
      </c>
      <c r="BU338">
        <v>0.1237671</v>
      </c>
      <c r="BV338">
        <v>0.1237671</v>
      </c>
      <c r="BW338">
        <v>-65.0762</v>
      </c>
      <c r="BX338">
        <v>-65.0762</v>
      </c>
      <c r="BY338">
        <v>165.76079999999999</v>
      </c>
      <c r="BZ338">
        <v>165.76079999999999</v>
      </c>
      <c r="CA338">
        <v>0</v>
      </c>
      <c r="CB338">
        <v>0</v>
      </c>
      <c r="CC338">
        <v>0</v>
      </c>
      <c r="CD338">
        <v>180</v>
      </c>
    </row>
    <row r="339" spans="19:82">
      <c r="S339">
        <v>0.88090000000000002</v>
      </c>
      <c r="T339">
        <v>0.98396589999999995</v>
      </c>
      <c r="U339">
        <v>0.98396589999999995</v>
      </c>
      <c r="V339">
        <v>1.1999999999999999E-6</v>
      </c>
      <c r="W339">
        <v>1.1999999999999999E-6</v>
      </c>
      <c r="X339">
        <v>1.60328E-2</v>
      </c>
      <c r="Y339">
        <v>1.60328E-2</v>
      </c>
      <c r="Z339">
        <v>-80.249600000000001</v>
      </c>
      <c r="AA339">
        <v>-80.249600000000001</v>
      </c>
      <c r="AB339">
        <v>-117.5827</v>
      </c>
      <c r="AC339">
        <v>-117.5827</v>
      </c>
      <c r="AD339">
        <v>0</v>
      </c>
      <c r="AE339">
        <v>0</v>
      </c>
      <c r="AF339">
        <v>0</v>
      </c>
      <c r="AG339">
        <v>180</v>
      </c>
      <c r="AI339">
        <v>0.88090000000000002</v>
      </c>
      <c r="AJ339">
        <v>0.97917140000000003</v>
      </c>
      <c r="AK339">
        <v>0.97917140000000003</v>
      </c>
      <c r="AL339">
        <v>1.9999999999999999E-6</v>
      </c>
      <c r="AM339">
        <v>1.9999999999999999E-6</v>
      </c>
      <c r="AN339">
        <v>2.08267E-2</v>
      </c>
      <c r="AO339">
        <v>2.08267E-2</v>
      </c>
      <c r="AP339">
        <v>-67.297499999999999</v>
      </c>
      <c r="AQ339">
        <v>-67.297499999999999</v>
      </c>
      <c r="AR339">
        <v>-93.321600000000004</v>
      </c>
      <c r="AS339">
        <v>-93.321600000000004</v>
      </c>
      <c r="AT339">
        <v>0</v>
      </c>
      <c r="AU339">
        <v>0</v>
      </c>
      <c r="AV339">
        <v>0</v>
      </c>
      <c r="AW339">
        <v>180</v>
      </c>
      <c r="AY339">
        <v>0.88090000000000002</v>
      </c>
      <c r="AZ339">
        <v>8.3830000000000005E-4</v>
      </c>
      <c r="BA339">
        <v>8.3830000000000005E-4</v>
      </c>
      <c r="BB339">
        <v>0.99898629999999999</v>
      </c>
      <c r="BC339">
        <v>0.99898629999999999</v>
      </c>
      <c r="BD339">
        <v>1.7550000000000001E-4</v>
      </c>
      <c r="BE339">
        <v>1.7550000000000001E-4</v>
      </c>
      <c r="BF339">
        <v>100.43940000000001</v>
      </c>
      <c r="BG339">
        <v>100.43940000000001</v>
      </c>
      <c r="BH339">
        <v>120.5474</v>
      </c>
      <c r="BI339">
        <v>120.5474</v>
      </c>
      <c r="BJ339">
        <v>0</v>
      </c>
      <c r="BK339">
        <v>0</v>
      </c>
      <c r="BL339">
        <v>0</v>
      </c>
      <c r="BM339">
        <v>180</v>
      </c>
      <c r="BP339">
        <v>0.88090000000000002</v>
      </c>
      <c r="BQ339">
        <v>0.87681710000000002</v>
      </c>
      <c r="BR339">
        <v>0.87681710000000002</v>
      </c>
      <c r="BS339">
        <v>0</v>
      </c>
      <c r="BT339">
        <v>0</v>
      </c>
      <c r="BU339">
        <v>0.1231829</v>
      </c>
      <c r="BV339">
        <v>0.1231829</v>
      </c>
      <c r="BW339">
        <v>-64.615600000000001</v>
      </c>
      <c r="BX339">
        <v>-64.615600000000001</v>
      </c>
      <c r="BY339">
        <v>165.78210000000001</v>
      </c>
      <c r="BZ339">
        <v>165.78210000000001</v>
      </c>
      <c r="CA339">
        <v>0</v>
      </c>
      <c r="CB339">
        <v>0</v>
      </c>
      <c r="CC339">
        <v>0</v>
      </c>
      <c r="CD339">
        <v>180</v>
      </c>
    </row>
    <row r="340" spans="19:82">
      <c r="S340">
        <v>0.88224999999999998</v>
      </c>
      <c r="T340">
        <v>0.98393339999999996</v>
      </c>
      <c r="U340">
        <v>0.98393339999999996</v>
      </c>
      <c r="V340">
        <v>1.1999999999999999E-6</v>
      </c>
      <c r="W340">
        <v>1.1999999999999999E-6</v>
      </c>
      <c r="X340">
        <v>1.6065400000000001E-2</v>
      </c>
      <c r="Y340">
        <v>1.6065400000000001E-2</v>
      </c>
      <c r="Z340">
        <v>-80.065799999999996</v>
      </c>
      <c r="AA340">
        <v>-80.065799999999996</v>
      </c>
      <c r="AB340">
        <v>-117.26600000000001</v>
      </c>
      <c r="AC340">
        <v>-117.26600000000001</v>
      </c>
      <c r="AD340">
        <v>0</v>
      </c>
      <c r="AE340">
        <v>0</v>
      </c>
      <c r="AF340">
        <v>0</v>
      </c>
      <c r="AG340">
        <v>180</v>
      </c>
      <c r="AI340">
        <v>0.88224999999999998</v>
      </c>
      <c r="AJ340">
        <v>0.97912440000000001</v>
      </c>
      <c r="AK340">
        <v>0.97912440000000001</v>
      </c>
      <c r="AL340">
        <v>1.9999999999999999E-6</v>
      </c>
      <c r="AM340">
        <v>1.9999999999999999E-6</v>
      </c>
      <c r="AN340">
        <v>2.0873599999999999E-2</v>
      </c>
      <c r="AO340">
        <v>2.0873599999999999E-2</v>
      </c>
      <c r="AP340">
        <v>-67.084199999999996</v>
      </c>
      <c r="AQ340">
        <v>-67.084199999999996</v>
      </c>
      <c r="AR340">
        <v>-92.941400000000002</v>
      </c>
      <c r="AS340">
        <v>-92.941400000000002</v>
      </c>
      <c r="AT340">
        <v>0</v>
      </c>
      <c r="AU340">
        <v>0</v>
      </c>
      <c r="AV340">
        <v>0</v>
      </c>
      <c r="AW340">
        <v>180</v>
      </c>
      <c r="AY340">
        <v>0.88224999999999998</v>
      </c>
      <c r="AZ340">
        <v>8.4469999999999999E-4</v>
      </c>
      <c r="BA340">
        <v>8.4469999999999999E-4</v>
      </c>
      <c r="BB340">
        <v>0.99898039999999999</v>
      </c>
      <c r="BC340">
        <v>0.99898039999999999</v>
      </c>
      <c r="BD340">
        <v>1.749E-4</v>
      </c>
      <c r="BE340">
        <v>1.749E-4</v>
      </c>
      <c r="BF340">
        <v>100.8523</v>
      </c>
      <c r="BG340">
        <v>100.8523</v>
      </c>
      <c r="BH340">
        <v>118.7444</v>
      </c>
      <c r="BI340">
        <v>118.7444</v>
      </c>
      <c r="BJ340">
        <v>0</v>
      </c>
      <c r="BK340">
        <v>0</v>
      </c>
      <c r="BL340">
        <v>0</v>
      </c>
      <c r="BM340">
        <v>180</v>
      </c>
      <c r="BP340">
        <v>0.88224999999999998</v>
      </c>
      <c r="BQ340">
        <v>0.87739860000000003</v>
      </c>
      <c r="BR340">
        <v>0.87739860000000003</v>
      </c>
      <c r="BS340">
        <v>0</v>
      </c>
      <c r="BT340">
        <v>0</v>
      </c>
      <c r="BU340">
        <v>0.1226014</v>
      </c>
      <c r="BV340">
        <v>0.1226014</v>
      </c>
      <c r="BW340">
        <v>-64.156400000000005</v>
      </c>
      <c r="BX340">
        <v>-64.156400000000005</v>
      </c>
      <c r="BY340">
        <v>165.80340000000001</v>
      </c>
      <c r="BZ340">
        <v>165.80340000000001</v>
      </c>
      <c r="CA340">
        <v>0</v>
      </c>
      <c r="CB340">
        <v>0</v>
      </c>
      <c r="CC340">
        <v>0</v>
      </c>
      <c r="CD340">
        <v>180</v>
      </c>
    </row>
    <row r="341" spans="19:82">
      <c r="S341">
        <v>0.88360000000000005</v>
      </c>
      <c r="T341">
        <v>0.98390069999999996</v>
      </c>
      <c r="U341">
        <v>0.98390069999999996</v>
      </c>
      <c r="V341">
        <v>1.1999999999999999E-6</v>
      </c>
      <c r="W341">
        <v>1.1999999999999999E-6</v>
      </c>
      <c r="X341">
        <v>1.6098000000000001E-2</v>
      </c>
      <c r="Y341">
        <v>1.6098000000000001E-2</v>
      </c>
      <c r="Z341">
        <v>-79.882000000000005</v>
      </c>
      <c r="AA341">
        <v>-79.882000000000005</v>
      </c>
      <c r="AB341">
        <v>-116.949</v>
      </c>
      <c r="AC341">
        <v>-116.949</v>
      </c>
      <c r="AD341">
        <v>0</v>
      </c>
      <c r="AE341">
        <v>0</v>
      </c>
      <c r="AF341">
        <v>0</v>
      </c>
      <c r="AG341">
        <v>180</v>
      </c>
      <c r="AI341">
        <v>0.88360000000000005</v>
      </c>
      <c r="AJ341">
        <v>0.97907739999999999</v>
      </c>
      <c r="AK341">
        <v>0.97907739999999999</v>
      </c>
      <c r="AL341">
        <v>1.9999999999999999E-6</v>
      </c>
      <c r="AM341">
        <v>1.9999999999999999E-6</v>
      </c>
      <c r="AN341">
        <v>2.0920600000000001E-2</v>
      </c>
      <c r="AO341">
        <v>2.0920600000000001E-2</v>
      </c>
      <c r="AP341">
        <v>-66.870699999999999</v>
      </c>
      <c r="AQ341">
        <v>-66.870699999999999</v>
      </c>
      <c r="AR341">
        <v>-92.5608</v>
      </c>
      <c r="AS341">
        <v>-92.5608</v>
      </c>
      <c r="AT341">
        <v>0</v>
      </c>
      <c r="AU341">
        <v>0</v>
      </c>
      <c r="AV341">
        <v>0</v>
      </c>
      <c r="AW341">
        <v>180</v>
      </c>
      <c r="AY341">
        <v>0.88360000000000005</v>
      </c>
      <c r="AZ341">
        <v>8.5329999999999998E-4</v>
      </c>
      <c r="BA341">
        <v>8.5329999999999998E-4</v>
      </c>
      <c r="BB341">
        <v>0.99897219999999998</v>
      </c>
      <c r="BC341">
        <v>0.99897219999999998</v>
      </c>
      <c r="BD341">
        <v>1.7440000000000001E-4</v>
      </c>
      <c r="BE341">
        <v>1.7440000000000001E-4</v>
      </c>
      <c r="BF341">
        <v>101.2641</v>
      </c>
      <c r="BG341">
        <v>101.2641</v>
      </c>
      <c r="BH341">
        <v>116.9508</v>
      </c>
      <c r="BI341">
        <v>116.9508</v>
      </c>
      <c r="BJ341">
        <v>0</v>
      </c>
      <c r="BK341">
        <v>0</v>
      </c>
      <c r="BL341">
        <v>0</v>
      </c>
      <c r="BM341">
        <v>180</v>
      </c>
      <c r="BP341">
        <v>0.88360000000000005</v>
      </c>
      <c r="BQ341">
        <v>0.87797729999999996</v>
      </c>
      <c r="BR341">
        <v>0.87797729999999996</v>
      </c>
      <c r="BS341">
        <v>0</v>
      </c>
      <c r="BT341">
        <v>0</v>
      </c>
      <c r="BU341">
        <v>0.1220227</v>
      </c>
      <c r="BV341">
        <v>0.1220227</v>
      </c>
      <c r="BW341">
        <v>-63.698500000000003</v>
      </c>
      <c r="BX341">
        <v>-63.698500000000003</v>
      </c>
      <c r="BY341">
        <v>165.8246</v>
      </c>
      <c r="BZ341">
        <v>165.8246</v>
      </c>
      <c r="CA341">
        <v>0</v>
      </c>
      <c r="CB341">
        <v>0</v>
      </c>
      <c r="CC341">
        <v>0</v>
      </c>
      <c r="CD341">
        <v>180</v>
      </c>
    </row>
    <row r="342" spans="19:82">
      <c r="S342">
        <v>0.88495000000000001</v>
      </c>
      <c r="T342">
        <v>0.98386790000000002</v>
      </c>
      <c r="U342">
        <v>0.98386790000000002</v>
      </c>
      <c r="V342">
        <v>1.1999999999999999E-6</v>
      </c>
      <c r="W342">
        <v>1.1999999999999999E-6</v>
      </c>
      <c r="X342">
        <v>1.61309E-2</v>
      </c>
      <c r="Y342">
        <v>1.61309E-2</v>
      </c>
      <c r="Z342">
        <v>-79.697999999999993</v>
      </c>
      <c r="AA342">
        <v>-79.697999999999993</v>
      </c>
      <c r="AB342">
        <v>-116.6315</v>
      </c>
      <c r="AC342">
        <v>-116.6315</v>
      </c>
      <c r="AD342">
        <v>0</v>
      </c>
      <c r="AE342">
        <v>0</v>
      </c>
      <c r="AF342">
        <v>0</v>
      </c>
      <c r="AG342">
        <v>180</v>
      </c>
      <c r="AI342">
        <v>0.88495000000000001</v>
      </c>
      <c r="AJ342">
        <v>0.97903039999999997</v>
      </c>
      <c r="AK342">
        <v>0.97903039999999997</v>
      </c>
      <c r="AL342">
        <v>1.9999999999999999E-6</v>
      </c>
      <c r="AM342">
        <v>1.9999999999999999E-6</v>
      </c>
      <c r="AN342">
        <v>2.0967599999999999E-2</v>
      </c>
      <c r="AO342">
        <v>2.0967599999999999E-2</v>
      </c>
      <c r="AP342">
        <v>-66.6571</v>
      </c>
      <c r="AQ342">
        <v>-66.6571</v>
      </c>
      <c r="AR342">
        <v>-92.179599999999994</v>
      </c>
      <c r="AS342">
        <v>-92.179599999999994</v>
      </c>
      <c r="AT342">
        <v>0</v>
      </c>
      <c r="AU342">
        <v>0</v>
      </c>
      <c r="AV342">
        <v>0</v>
      </c>
      <c r="AW342">
        <v>180</v>
      </c>
      <c r="AY342">
        <v>0.88495000000000001</v>
      </c>
      <c r="AZ342">
        <v>8.6430000000000003E-4</v>
      </c>
      <c r="BA342">
        <v>8.6430000000000003E-4</v>
      </c>
      <c r="BB342">
        <v>0.99896180000000001</v>
      </c>
      <c r="BC342">
        <v>0.99896180000000001</v>
      </c>
      <c r="BD342">
        <v>1.739E-4</v>
      </c>
      <c r="BE342">
        <v>1.739E-4</v>
      </c>
      <c r="BF342">
        <v>101.6746</v>
      </c>
      <c r="BG342">
        <v>101.6746</v>
      </c>
      <c r="BH342">
        <v>115.172</v>
      </c>
      <c r="BI342">
        <v>115.172</v>
      </c>
      <c r="BJ342">
        <v>0</v>
      </c>
      <c r="BK342">
        <v>0</v>
      </c>
      <c r="BL342">
        <v>0</v>
      </c>
      <c r="BM342">
        <v>180</v>
      </c>
      <c r="BP342">
        <v>0.88495000000000001</v>
      </c>
      <c r="BQ342">
        <v>0.87855329999999998</v>
      </c>
      <c r="BR342">
        <v>0.87855329999999998</v>
      </c>
      <c r="BS342">
        <v>0</v>
      </c>
      <c r="BT342">
        <v>0</v>
      </c>
      <c r="BU342">
        <v>0.1214467</v>
      </c>
      <c r="BV342">
        <v>0.1214467</v>
      </c>
      <c r="BW342">
        <v>-63.241999999999997</v>
      </c>
      <c r="BX342">
        <v>-63.241999999999997</v>
      </c>
      <c r="BY342">
        <v>165.8458</v>
      </c>
      <c r="BZ342">
        <v>165.8458</v>
      </c>
      <c r="CA342">
        <v>0</v>
      </c>
      <c r="CB342">
        <v>0</v>
      </c>
      <c r="CC342">
        <v>0</v>
      </c>
      <c r="CD342">
        <v>180</v>
      </c>
    </row>
    <row r="343" spans="19:82">
      <c r="S343">
        <v>0.88629999999999998</v>
      </c>
      <c r="T343">
        <v>0.98383540000000003</v>
      </c>
      <c r="U343">
        <v>0.98383540000000003</v>
      </c>
      <c r="V343">
        <v>1.1999999999999999E-6</v>
      </c>
      <c r="W343">
        <v>1.1999999999999999E-6</v>
      </c>
      <c r="X343">
        <v>1.6163400000000001E-2</v>
      </c>
      <c r="Y343">
        <v>1.6163400000000001E-2</v>
      </c>
      <c r="Z343">
        <v>-79.513900000000007</v>
      </c>
      <c r="AA343">
        <v>-79.513900000000007</v>
      </c>
      <c r="AB343">
        <v>-116.3137</v>
      </c>
      <c r="AC343">
        <v>-116.3137</v>
      </c>
      <c r="AD343">
        <v>0</v>
      </c>
      <c r="AE343">
        <v>0</v>
      </c>
      <c r="AF343">
        <v>0</v>
      </c>
      <c r="AG343">
        <v>180</v>
      </c>
      <c r="AI343">
        <v>0.88629999999999998</v>
      </c>
      <c r="AJ343">
        <v>0.97898379999999996</v>
      </c>
      <c r="AK343">
        <v>0.97898379999999996</v>
      </c>
      <c r="AL343">
        <v>1.9999999999999999E-6</v>
      </c>
      <c r="AM343">
        <v>1.9999999999999999E-6</v>
      </c>
      <c r="AN343">
        <v>2.10142E-2</v>
      </c>
      <c r="AO343">
        <v>2.10142E-2</v>
      </c>
      <c r="AP343">
        <v>-66.443299999999994</v>
      </c>
      <c r="AQ343">
        <v>-66.443299999999994</v>
      </c>
      <c r="AR343">
        <v>-91.798000000000002</v>
      </c>
      <c r="AS343">
        <v>-91.798000000000002</v>
      </c>
      <c r="AT343">
        <v>0</v>
      </c>
      <c r="AU343">
        <v>0</v>
      </c>
      <c r="AV343">
        <v>0</v>
      </c>
      <c r="AW343">
        <v>180</v>
      </c>
      <c r="AY343">
        <v>0.88629999999999998</v>
      </c>
      <c r="AZ343">
        <v>8.7750000000000002E-4</v>
      </c>
      <c r="BA343">
        <v>8.7750000000000002E-4</v>
      </c>
      <c r="BB343">
        <v>0.99894910000000003</v>
      </c>
      <c r="BC343">
        <v>0.99894910000000003</v>
      </c>
      <c r="BD343">
        <v>1.7340000000000001E-4</v>
      </c>
      <c r="BE343">
        <v>1.7340000000000001E-4</v>
      </c>
      <c r="BF343">
        <v>102.084</v>
      </c>
      <c r="BG343">
        <v>102.084</v>
      </c>
      <c r="BH343">
        <v>113.41330000000001</v>
      </c>
      <c r="BI343">
        <v>113.41330000000001</v>
      </c>
      <c r="BJ343">
        <v>0</v>
      </c>
      <c r="BK343">
        <v>0</v>
      </c>
      <c r="BL343">
        <v>0</v>
      </c>
      <c r="BM343">
        <v>180</v>
      </c>
      <c r="BP343">
        <v>0.88629999999999998</v>
      </c>
      <c r="BQ343">
        <v>0.87912659999999998</v>
      </c>
      <c r="BR343">
        <v>0.87912659999999998</v>
      </c>
      <c r="BS343">
        <v>0</v>
      </c>
      <c r="BT343">
        <v>0</v>
      </c>
      <c r="BU343">
        <v>0.12087340000000001</v>
      </c>
      <c r="BV343">
        <v>0.12087340000000001</v>
      </c>
      <c r="BW343">
        <v>-62.786799999999999</v>
      </c>
      <c r="BX343">
        <v>-62.786799999999999</v>
      </c>
      <c r="BY343">
        <v>165.86689999999999</v>
      </c>
      <c r="BZ343">
        <v>165.86689999999999</v>
      </c>
      <c r="CA343">
        <v>0</v>
      </c>
      <c r="CB343">
        <v>0</v>
      </c>
      <c r="CC343">
        <v>0</v>
      </c>
      <c r="CD343">
        <v>180</v>
      </c>
    </row>
    <row r="344" spans="19:82">
      <c r="S344">
        <v>0.88765000000000005</v>
      </c>
      <c r="T344">
        <v>0.98380310000000004</v>
      </c>
      <c r="U344">
        <v>0.98380310000000004</v>
      </c>
      <c r="V344">
        <v>1.1999999999999999E-6</v>
      </c>
      <c r="W344">
        <v>1.1999999999999999E-6</v>
      </c>
      <c r="X344">
        <v>1.61957E-2</v>
      </c>
      <c r="Y344">
        <v>1.61957E-2</v>
      </c>
      <c r="Z344">
        <v>-79.329499999999996</v>
      </c>
      <c r="AA344">
        <v>-79.329499999999996</v>
      </c>
      <c r="AB344">
        <v>-115.99550000000001</v>
      </c>
      <c r="AC344">
        <v>-115.99550000000001</v>
      </c>
      <c r="AD344">
        <v>0</v>
      </c>
      <c r="AE344">
        <v>0</v>
      </c>
      <c r="AF344">
        <v>0</v>
      </c>
      <c r="AG344">
        <v>180</v>
      </c>
      <c r="AI344">
        <v>0.88765000000000005</v>
      </c>
      <c r="AJ344">
        <v>0.97893750000000002</v>
      </c>
      <c r="AK344">
        <v>0.97893750000000002</v>
      </c>
      <c r="AL344">
        <v>1.9999999999999999E-6</v>
      </c>
      <c r="AM344">
        <v>1.9999999999999999E-6</v>
      </c>
      <c r="AN344">
        <v>2.1060499999999999E-2</v>
      </c>
      <c r="AO344">
        <v>2.1060499999999999E-2</v>
      </c>
      <c r="AP344">
        <v>-66.229299999999995</v>
      </c>
      <c r="AQ344">
        <v>-66.229299999999995</v>
      </c>
      <c r="AR344">
        <v>-91.415899999999993</v>
      </c>
      <c r="AS344">
        <v>-91.415899999999993</v>
      </c>
      <c r="AT344">
        <v>0</v>
      </c>
      <c r="AU344">
        <v>0</v>
      </c>
      <c r="AV344">
        <v>0</v>
      </c>
      <c r="AW344">
        <v>180</v>
      </c>
      <c r="AY344">
        <v>0.88765000000000005</v>
      </c>
      <c r="AZ344">
        <v>8.9309999999999997E-4</v>
      </c>
      <c r="BA344">
        <v>8.9309999999999997E-4</v>
      </c>
      <c r="BB344">
        <v>0.99893399999999999</v>
      </c>
      <c r="BC344">
        <v>0.99893399999999999</v>
      </c>
      <c r="BD344">
        <v>1.729E-4</v>
      </c>
      <c r="BE344">
        <v>1.729E-4</v>
      </c>
      <c r="BF344">
        <v>102.4922</v>
      </c>
      <c r="BG344">
        <v>102.4922</v>
      </c>
      <c r="BH344">
        <v>111.6795</v>
      </c>
      <c r="BI344">
        <v>111.6795</v>
      </c>
      <c r="BJ344">
        <v>0</v>
      </c>
      <c r="BK344">
        <v>0</v>
      </c>
      <c r="BL344">
        <v>0</v>
      </c>
      <c r="BM344">
        <v>180</v>
      </c>
      <c r="BP344">
        <v>0.88765000000000005</v>
      </c>
      <c r="BQ344">
        <v>0.87969710000000001</v>
      </c>
      <c r="BR344">
        <v>0.87969710000000001</v>
      </c>
      <c r="BS344">
        <v>0</v>
      </c>
      <c r="BT344">
        <v>0</v>
      </c>
      <c r="BU344">
        <v>0.1203028</v>
      </c>
      <c r="BV344">
        <v>0.1203028</v>
      </c>
      <c r="BW344">
        <v>-62.333100000000002</v>
      </c>
      <c r="BX344">
        <v>-62.333100000000002</v>
      </c>
      <c r="BY344">
        <v>165.88800000000001</v>
      </c>
      <c r="BZ344">
        <v>165.88800000000001</v>
      </c>
      <c r="CA344">
        <v>0</v>
      </c>
      <c r="CB344">
        <v>0</v>
      </c>
      <c r="CC344">
        <v>0</v>
      </c>
      <c r="CD344">
        <v>180</v>
      </c>
    </row>
    <row r="345" spans="19:82">
      <c r="S345">
        <v>0.88900000000000001</v>
      </c>
      <c r="T345">
        <v>0.9837707</v>
      </c>
      <c r="U345">
        <v>0.9837707</v>
      </c>
      <c r="V345">
        <v>1.1999999999999999E-6</v>
      </c>
      <c r="W345">
        <v>1.1999999999999999E-6</v>
      </c>
      <c r="X345">
        <v>1.6228099999999999E-2</v>
      </c>
      <c r="Y345">
        <v>1.6228099999999999E-2</v>
      </c>
      <c r="Z345">
        <v>-79.145099999999999</v>
      </c>
      <c r="AA345">
        <v>-79.145099999999999</v>
      </c>
      <c r="AB345">
        <v>-115.6769</v>
      </c>
      <c r="AC345">
        <v>-115.6769</v>
      </c>
      <c r="AD345">
        <v>0</v>
      </c>
      <c r="AE345">
        <v>0</v>
      </c>
      <c r="AF345">
        <v>0</v>
      </c>
      <c r="AG345">
        <v>180</v>
      </c>
      <c r="AI345">
        <v>0.88900000000000001</v>
      </c>
      <c r="AJ345">
        <v>0.97889119999999996</v>
      </c>
      <c r="AK345">
        <v>0.97889119999999996</v>
      </c>
      <c r="AL345">
        <v>1.9999999999999999E-6</v>
      </c>
      <c r="AM345">
        <v>1.9999999999999999E-6</v>
      </c>
      <c r="AN345">
        <v>2.1106900000000001E-2</v>
      </c>
      <c r="AO345">
        <v>2.1106900000000001E-2</v>
      </c>
      <c r="AP345">
        <v>-66.015100000000004</v>
      </c>
      <c r="AQ345">
        <v>-66.015100000000004</v>
      </c>
      <c r="AR345">
        <v>-91.033199999999994</v>
      </c>
      <c r="AS345">
        <v>-91.033199999999994</v>
      </c>
      <c r="AT345">
        <v>0</v>
      </c>
      <c r="AU345">
        <v>0</v>
      </c>
      <c r="AV345">
        <v>0</v>
      </c>
      <c r="AW345">
        <v>180</v>
      </c>
      <c r="AY345">
        <v>0.88900000000000001</v>
      </c>
      <c r="AZ345">
        <v>9.1109999999999997E-4</v>
      </c>
      <c r="BA345">
        <v>9.1109999999999997E-4</v>
      </c>
      <c r="BB345">
        <v>0.99891649999999998</v>
      </c>
      <c r="BC345">
        <v>0.99891649999999998</v>
      </c>
      <c r="BD345">
        <v>1.7239999999999999E-4</v>
      </c>
      <c r="BE345">
        <v>1.7239999999999999E-4</v>
      </c>
      <c r="BF345">
        <v>102.89919999999999</v>
      </c>
      <c r="BG345">
        <v>102.89919999999999</v>
      </c>
      <c r="BH345">
        <v>109.97499999999999</v>
      </c>
      <c r="BI345">
        <v>109.97499999999999</v>
      </c>
      <c r="BJ345">
        <v>0</v>
      </c>
      <c r="BK345">
        <v>0</v>
      </c>
      <c r="BL345">
        <v>0</v>
      </c>
      <c r="BM345">
        <v>180</v>
      </c>
      <c r="BP345">
        <v>0.88900000000000001</v>
      </c>
      <c r="BQ345">
        <v>0.88026499999999996</v>
      </c>
      <c r="BR345">
        <v>0.88026499999999996</v>
      </c>
      <c r="BS345">
        <v>0</v>
      </c>
      <c r="BT345">
        <v>0</v>
      </c>
      <c r="BU345">
        <v>0.11973499999999999</v>
      </c>
      <c r="BV345">
        <v>0.11973499999999999</v>
      </c>
      <c r="BW345">
        <v>-61.880600000000001</v>
      </c>
      <c r="BX345">
        <v>-61.880600000000001</v>
      </c>
      <c r="BY345">
        <v>165.9091</v>
      </c>
      <c r="BZ345">
        <v>165.9091</v>
      </c>
      <c r="CA345">
        <v>0</v>
      </c>
      <c r="CB345">
        <v>0</v>
      </c>
      <c r="CC345">
        <v>0</v>
      </c>
      <c r="CD345">
        <v>180</v>
      </c>
    </row>
    <row r="346" spans="19:82">
      <c r="S346">
        <v>0.89034999999999997</v>
      </c>
      <c r="T346">
        <v>0.98373809999999995</v>
      </c>
      <c r="U346">
        <v>0.98373809999999995</v>
      </c>
      <c r="V346">
        <v>1.1999999999999999E-6</v>
      </c>
      <c r="W346">
        <v>1.1999999999999999E-6</v>
      </c>
      <c r="X346">
        <v>1.62606E-2</v>
      </c>
      <c r="Y346">
        <v>1.62606E-2</v>
      </c>
      <c r="Z346">
        <v>-78.960599999999999</v>
      </c>
      <c r="AA346">
        <v>-78.960599999999999</v>
      </c>
      <c r="AB346">
        <v>-115.358</v>
      </c>
      <c r="AC346">
        <v>-115.358</v>
      </c>
      <c r="AD346">
        <v>0</v>
      </c>
      <c r="AE346">
        <v>0</v>
      </c>
      <c r="AF346">
        <v>0</v>
      </c>
      <c r="AG346">
        <v>180</v>
      </c>
      <c r="AI346">
        <v>0.89034999999999997</v>
      </c>
      <c r="AJ346">
        <v>0.97884490000000002</v>
      </c>
      <c r="AK346">
        <v>0.97884490000000002</v>
      </c>
      <c r="AL346">
        <v>1.9999999999999999E-6</v>
      </c>
      <c r="AM346">
        <v>1.9999999999999999E-6</v>
      </c>
      <c r="AN346">
        <v>2.1153100000000001E-2</v>
      </c>
      <c r="AO346">
        <v>2.1153100000000001E-2</v>
      </c>
      <c r="AP346">
        <v>-65.800799999999995</v>
      </c>
      <c r="AQ346">
        <v>-65.800799999999995</v>
      </c>
      <c r="AR346">
        <v>-90.650199999999998</v>
      </c>
      <c r="AS346">
        <v>-90.650199999999998</v>
      </c>
      <c r="AT346">
        <v>0</v>
      </c>
      <c r="AU346">
        <v>0</v>
      </c>
      <c r="AV346">
        <v>0</v>
      </c>
      <c r="AW346">
        <v>180</v>
      </c>
      <c r="AY346">
        <v>0.89034999999999997</v>
      </c>
      <c r="AZ346">
        <v>9.3139999999999998E-4</v>
      </c>
      <c r="BA346">
        <v>9.3139999999999998E-4</v>
      </c>
      <c r="BB346">
        <v>0.99889669999999997</v>
      </c>
      <c r="BC346">
        <v>0.99889669999999997</v>
      </c>
      <c r="BD346">
        <v>1.719E-4</v>
      </c>
      <c r="BE346">
        <v>1.719E-4</v>
      </c>
      <c r="BF346">
        <v>103.3051</v>
      </c>
      <c r="BG346">
        <v>103.3051</v>
      </c>
      <c r="BH346">
        <v>108.3039</v>
      </c>
      <c r="BI346">
        <v>108.3039</v>
      </c>
      <c r="BJ346">
        <v>0</v>
      </c>
      <c r="BK346">
        <v>0</v>
      </c>
      <c r="BL346">
        <v>0</v>
      </c>
      <c r="BM346">
        <v>180</v>
      </c>
      <c r="BP346">
        <v>0.89034999999999997</v>
      </c>
      <c r="BQ346">
        <v>0.88083020000000001</v>
      </c>
      <c r="BR346">
        <v>0.88083020000000001</v>
      </c>
      <c r="BS346">
        <v>0</v>
      </c>
      <c r="BT346">
        <v>0</v>
      </c>
      <c r="BU346">
        <v>0.11916980000000001</v>
      </c>
      <c r="BV346">
        <v>0.11916980000000001</v>
      </c>
      <c r="BW346">
        <v>-61.429600000000001</v>
      </c>
      <c r="BX346">
        <v>-61.429600000000001</v>
      </c>
      <c r="BY346">
        <v>165.93010000000001</v>
      </c>
      <c r="BZ346">
        <v>165.93010000000001</v>
      </c>
      <c r="CA346">
        <v>0</v>
      </c>
      <c r="CB346">
        <v>0</v>
      </c>
      <c r="CC346">
        <v>0</v>
      </c>
      <c r="CD346">
        <v>180</v>
      </c>
    </row>
    <row r="347" spans="19:82">
      <c r="S347">
        <v>0.89170000000000005</v>
      </c>
      <c r="T347">
        <v>0.98370539999999995</v>
      </c>
      <c r="U347">
        <v>0.98370539999999995</v>
      </c>
      <c r="V347">
        <v>1.1999999999999999E-6</v>
      </c>
      <c r="W347">
        <v>1.1999999999999999E-6</v>
      </c>
      <c r="X347">
        <v>1.62933E-2</v>
      </c>
      <c r="Y347">
        <v>1.62933E-2</v>
      </c>
      <c r="Z347">
        <v>-78.775899999999993</v>
      </c>
      <c r="AA347">
        <v>-78.775899999999993</v>
      </c>
      <c r="AB347">
        <v>-115.0386</v>
      </c>
      <c r="AC347">
        <v>-115.0386</v>
      </c>
      <c r="AD347">
        <v>0</v>
      </c>
      <c r="AE347">
        <v>0</v>
      </c>
      <c r="AF347">
        <v>0</v>
      </c>
      <c r="AG347">
        <v>180</v>
      </c>
      <c r="AI347">
        <v>0.89170000000000005</v>
      </c>
      <c r="AJ347">
        <v>0.97879859999999996</v>
      </c>
      <c r="AK347">
        <v>0.97879859999999996</v>
      </c>
      <c r="AL347">
        <v>1.9999999999999999E-6</v>
      </c>
      <c r="AM347">
        <v>1.9999999999999999E-6</v>
      </c>
      <c r="AN347">
        <v>2.11994E-2</v>
      </c>
      <c r="AO347">
        <v>2.11994E-2</v>
      </c>
      <c r="AP347">
        <v>-65.586299999999994</v>
      </c>
      <c r="AQ347">
        <v>-65.586299999999994</v>
      </c>
      <c r="AR347">
        <v>-90.266599999999997</v>
      </c>
      <c r="AS347">
        <v>-90.266599999999997</v>
      </c>
      <c r="AT347">
        <v>0</v>
      </c>
      <c r="AU347">
        <v>0</v>
      </c>
      <c r="AV347">
        <v>0</v>
      </c>
      <c r="AW347">
        <v>180</v>
      </c>
      <c r="AY347">
        <v>0.89170000000000005</v>
      </c>
      <c r="AZ347">
        <v>9.5419999999999999E-4</v>
      </c>
      <c r="BA347">
        <v>9.5419999999999999E-4</v>
      </c>
      <c r="BB347">
        <v>0.99887440000000005</v>
      </c>
      <c r="BC347">
        <v>0.99887440000000005</v>
      </c>
      <c r="BD347">
        <v>1.7139999999999999E-4</v>
      </c>
      <c r="BE347">
        <v>1.7139999999999999E-4</v>
      </c>
      <c r="BF347">
        <v>103.7098</v>
      </c>
      <c r="BG347">
        <v>103.7098</v>
      </c>
      <c r="BH347">
        <v>106.6699</v>
      </c>
      <c r="BI347">
        <v>106.6699</v>
      </c>
      <c r="BJ347">
        <v>0</v>
      </c>
      <c r="BK347">
        <v>0</v>
      </c>
      <c r="BL347">
        <v>0</v>
      </c>
      <c r="BM347">
        <v>180</v>
      </c>
      <c r="BP347">
        <v>0.89170000000000005</v>
      </c>
      <c r="BQ347">
        <v>0.88139270000000003</v>
      </c>
      <c r="BR347">
        <v>0.88139270000000003</v>
      </c>
      <c r="BS347">
        <v>0</v>
      </c>
      <c r="BT347">
        <v>0</v>
      </c>
      <c r="BU347">
        <v>0.1186073</v>
      </c>
      <c r="BV347">
        <v>0.1186073</v>
      </c>
      <c r="BW347">
        <v>-60.979799999999997</v>
      </c>
      <c r="BX347">
        <v>-60.979799999999997</v>
      </c>
      <c r="BY347">
        <v>165.9511</v>
      </c>
      <c r="BZ347">
        <v>165.9511</v>
      </c>
      <c r="CA347">
        <v>0</v>
      </c>
      <c r="CB347">
        <v>0</v>
      </c>
      <c r="CC347">
        <v>0</v>
      </c>
      <c r="CD347">
        <v>180</v>
      </c>
    </row>
    <row r="348" spans="19:82">
      <c r="S348">
        <v>0.89305000000000001</v>
      </c>
      <c r="T348">
        <v>0.98367260000000001</v>
      </c>
      <c r="U348">
        <v>0.98367260000000001</v>
      </c>
      <c r="V348">
        <v>1.1999999999999999E-6</v>
      </c>
      <c r="W348">
        <v>1.1999999999999999E-6</v>
      </c>
      <c r="X348">
        <v>1.63261E-2</v>
      </c>
      <c r="Y348">
        <v>1.63261E-2</v>
      </c>
      <c r="Z348">
        <v>-78.591200000000001</v>
      </c>
      <c r="AA348">
        <v>-78.591200000000001</v>
      </c>
      <c r="AB348">
        <v>-114.7189</v>
      </c>
      <c r="AC348">
        <v>-114.7189</v>
      </c>
      <c r="AD348">
        <v>0</v>
      </c>
      <c r="AE348">
        <v>0</v>
      </c>
      <c r="AF348">
        <v>0</v>
      </c>
      <c r="AG348">
        <v>180</v>
      </c>
      <c r="AI348">
        <v>0.89305000000000001</v>
      </c>
      <c r="AJ348">
        <v>0.97875239999999997</v>
      </c>
      <c r="AK348">
        <v>0.97875239999999997</v>
      </c>
      <c r="AL348">
        <v>1.9999999999999999E-6</v>
      </c>
      <c r="AM348">
        <v>1.9999999999999999E-6</v>
      </c>
      <c r="AN348">
        <v>2.12456E-2</v>
      </c>
      <c r="AO348">
        <v>2.12456E-2</v>
      </c>
      <c r="AP348">
        <v>-65.371700000000004</v>
      </c>
      <c r="AQ348">
        <v>-65.371700000000004</v>
      </c>
      <c r="AR348">
        <v>-89.882499999999993</v>
      </c>
      <c r="AS348">
        <v>-89.882499999999993</v>
      </c>
      <c r="AT348">
        <v>0</v>
      </c>
      <c r="AU348">
        <v>0</v>
      </c>
      <c r="AV348">
        <v>0</v>
      </c>
      <c r="AW348">
        <v>180</v>
      </c>
      <c r="AY348">
        <v>0.89305000000000001</v>
      </c>
      <c r="AZ348">
        <v>9.7940000000000006E-4</v>
      </c>
      <c r="BA348">
        <v>9.7940000000000006E-4</v>
      </c>
      <c r="BB348">
        <v>0.99884969999999995</v>
      </c>
      <c r="BC348">
        <v>0.99884969999999995</v>
      </c>
      <c r="BD348">
        <v>1.7090000000000001E-4</v>
      </c>
      <c r="BE348">
        <v>1.7090000000000001E-4</v>
      </c>
      <c r="BF348">
        <v>104.1134</v>
      </c>
      <c r="BG348">
        <v>104.1134</v>
      </c>
      <c r="BH348">
        <v>105.07599999999999</v>
      </c>
      <c r="BI348">
        <v>105.07599999999999</v>
      </c>
      <c r="BJ348">
        <v>0</v>
      </c>
      <c r="BK348">
        <v>0</v>
      </c>
      <c r="BL348">
        <v>0</v>
      </c>
      <c r="BM348">
        <v>180</v>
      </c>
      <c r="BP348">
        <v>0.89305000000000001</v>
      </c>
      <c r="BQ348">
        <v>0.88195259999999998</v>
      </c>
      <c r="BR348">
        <v>0.88195259999999998</v>
      </c>
      <c r="BS348">
        <v>0</v>
      </c>
      <c r="BT348">
        <v>0</v>
      </c>
      <c r="BU348">
        <v>0.1180474</v>
      </c>
      <c r="BV348">
        <v>0.1180474</v>
      </c>
      <c r="BW348">
        <v>-60.531399999999998</v>
      </c>
      <c r="BX348">
        <v>-60.531399999999998</v>
      </c>
      <c r="BY348">
        <v>165.97200000000001</v>
      </c>
      <c r="BZ348">
        <v>165.97200000000001</v>
      </c>
      <c r="CA348">
        <v>0</v>
      </c>
      <c r="CB348">
        <v>0</v>
      </c>
      <c r="CC348">
        <v>0</v>
      </c>
      <c r="CD348">
        <v>180</v>
      </c>
    </row>
    <row r="349" spans="19:82">
      <c r="S349">
        <v>0.89439999999999997</v>
      </c>
      <c r="T349">
        <v>0.98363970000000001</v>
      </c>
      <c r="U349">
        <v>0.98363970000000001</v>
      </c>
      <c r="V349">
        <v>1.1999999999999999E-6</v>
      </c>
      <c r="W349">
        <v>1.1999999999999999E-6</v>
      </c>
      <c r="X349">
        <v>1.6359100000000001E-2</v>
      </c>
      <c r="Y349">
        <v>1.6359100000000001E-2</v>
      </c>
      <c r="Z349">
        <v>-78.406300000000002</v>
      </c>
      <c r="AA349">
        <v>-78.406300000000002</v>
      </c>
      <c r="AB349">
        <v>-114.39879999999999</v>
      </c>
      <c r="AC349">
        <v>-114.39879999999999</v>
      </c>
      <c r="AD349">
        <v>0</v>
      </c>
      <c r="AE349">
        <v>0</v>
      </c>
      <c r="AF349">
        <v>0</v>
      </c>
      <c r="AG349">
        <v>180</v>
      </c>
      <c r="AI349">
        <v>0.89439999999999997</v>
      </c>
      <c r="AJ349">
        <v>0.97870619999999997</v>
      </c>
      <c r="AK349">
        <v>0.97870619999999997</v>
      </c>
      <c r="AL349">
        <v>1.9999999999999999E-6</v>
      </c>
      <c r="AM349">
        <v>1.9999999999999999E-6</v>
      </c>
      <c r="AN349">
        <v>2.1291899999999999E-2</v>
      </c>
      <c r="AO349">
        <v>2.1291899999999999E-2</v>
      </c>
      <c r="AP349">
        <v>-65.156899999999993</v>
      </c>
      <c r="AQ349">
        <v>-65.156899999999993</v>
      </c>
      <c r="AR349">
        <v>-89.498000000000005</v>
      </c>
      <c r="AS349">
        <v>-89.498000000000005</v>
      </c>
      <c r="AT349">
        <v>0</v>
      </c>
      <c r="AU349">
        <v>0</v>
      </c>
      <c r="AV349">
        <v>0</v>
      </c>
      <c r="AW349">
        <v>180</v>
      </c>
      <c r="AY349">
        <v>0.89439999999999997</v>
      </c>
      <c r="AZ349">
        <v>1.0070999999999999E-3</v>
      </c>
      <c r="BA349">
        <v>1.0070999999999999E-3</v>
      </c>
      <c r="BB349">
        <v>0.99882249999999995</v>
      </c>
      <c r="BC349">
        <v>0.99882249999999995</v>
      </c>
      <c r="BD349">
        <v>1.7039999999999999E-4</v>
      </c>
      <c r="BE349">
        <v>1.7039999999999999E-4</v>
      </c>
      <c r="BF349">
        <v>104.5159</v>
      </c>
      <c r="BG349">
        <v>104.5159</v>
      </c>
      <c r="BH349">
        <v>103.5249</v>
      </c>
      <c r="BI349">
        <v>103.5249</v>
      </c>
      <c r="BJ349">
        <v>0</v>
      </c>
      <c r="BK349">
        <v>0</v>
      </c>
      <c r="BL349">
        <v>0</v>
      </c>
      <c r="BM349">
        <v>180</v>
      </c>
      <c r="BP349">
        <v>0.89439999999999997</v>
      </c>
      <c r="BQ349">
        <v>0.88250980000000001</v>
      </c>
      <c r="BR349">
        <v>0.88250980000000001</v>
      </c>
      <c r="BS349">
        <v>0</v>
      </c>
      <c r="BT349">
        <v>0</v>
      </c>
      <c r="BU349">
        <v>0.1174902</v>
      </c>
      <c r="BV349">
        <v>0.1174902</v>
      </c>
      <c r="BW349">
        <v>-60.084400000000002</v>
      </c>
      <c r="BX349">
        <v>-60.084400000000002</v>
      </c>
      <c r="BY349">
        <v>165.99289999999999</v>
      </c>
      <c r="BZ349">
        <v>165.99289999999999</v>
      </c>
      <c r="CA349">
        <v>0</v>
      </c>
      <c r="CB349">
        <v>0</v>
      </c>
      <c r="CC349">
        <v>0</v>
      </c>
      <c r="CD349">
        <v>180</v>
      </c>
    </row>
    <row r="350" spans="19:82">
      <c r="S350">
        <v>0.89575000000000005</v>
      </c>
      <c r="T350">
        <v>0.9836066</v>
      </c>
      <c r="U350">
        <v>0.9836066</v>
      </c>
      <c r="V350">
        <v>1.1999999999999999E-6</v>
      </c>
      <c r="W350">
        <v>1.1999999999999999E-6</v>
      </c>
      <c r="X350">
        <v>1.6392199999999999E-2</v>
      </c>
      <c r="Y350">
        <v>1.6392199999999999E-2</v>
      </c>
      <c r="Z350">
        <v>-78.221400000000003</v>
      </c>
      <c r="AA350">
        <v>-78.221400000000003</v>
      </c>
      <c r="AB350">
        <v>-114.0783</v>
      </c>
      <c r="AC350">
        <v>-114.0783</v>
      </c>
      <c r="AD350">
        <v>0</v>
      </c>
      <c r="AE350">
        <v>0</v>
      </c>
      <c r="AF350">
        <v>0</v>
      </c>
      <c r="AG350">
        <v>180</v>
      </c>
      <c r="AI350">
        <v>0.89575000000000005</v>
      </c>
      <c r="AJ350">
        <v>0.97865999999999997</v>
      </c>
      <c r="AK350">
        <v>0.97865999999999997</v>
      </c>
      <c r="AL350">
        <v>1.9999999999999999E-6</v>
      </c>
      <c r="AM350">
        <v>1.9999999999999999E-6</v>
      </c>
      <c r="AN350">
        <v>2.1338099999999999E-2</v>
      </c>
      <c r="AO350">
        <v>2.1338099999999999E-2</v>
      </c>
      <c r="AP350">
        <v>-64.941999999999993</v>
      </c>
      <c r="AQ350">
        <v>-64.941999999999993</v>
      </c>
      <c r="AR350">
        <v>-89.113100000000003</v>
      </c>
      <c r="AS350">
        <v>-89.113100000000003</v>
      </c>
      <c r="AT350">
        <v>0</v>
      </c>
      <c r="AU350">
        <v>0</v>
      </c>
      <c r="AV350">
        <v>0</v>
      </c>
      <c r="AW350">
        <v>180</v>
      </c>
      <c r="AY350">
        <v>0.89575000000000005</v>
      </c>
      <c r="AZ350">
        <v>1.0372000000000001E-3</v>
      </c>
      <c r="BA350">
        <v>1.0372000000000001E-3</v>
      </c>
      <c r="BB350">
        <v>0.99879289999999998</v>
      </c>
      <c r="BC350">
        <v>0.99879289999999998</v>
      </c>
      <c r="BD350">
        <v>1.6990000000000001E-4</v>
      </c>
      <c r="BE350">
        <v>1.6990000000000001E-4</v>
      </c>
      <c r="BF350">
        <v>104.91719999999999</v>
      </c>
      <c r="BG350">
        <v>104.91719999999999</v>
      </c>
      <c r="BH350">
        <v>102.0189</v>
      </c>
      <c r="BI350">
        <v>102.0189</v>
      </c>
      <c r="BJ350">
        <v>0</v>
      </c>
      <c r="BK350">
        <v>0</v>
      </c>
      <c r="BL350">
        <v>0</v>
      </c>
      <c r="BM350">
        <v>180</v>
      </c>
      <c r="BP350">
        <v>0.89575000000000005</v>
      </c>
      <c r="BQ350">
        <v>0.88306439999999997</v>
      </c>
      <c r="BR350">
        <v>0.88306439999999997</v>
      </c>
      <c r="BS350">
        <v>0</v>
      </c>
      <c r="BT350">
        <v>0</v>
      </c>
      <c r="BU350">
        <v>0.1169356</v>
      </c>
      <c r="BV350">
        <v>0.1169356</v>
      </c>
      <c r="BW350">
        <v>-59.638599999999997</v>
      </c>
      <c r="BX350">
        <v>-59.638599999999997</v>
      </c>
      <c r="BY350">
        <v>166.0138</v>
      </c>
      <c r="BZ350">
        <v>166.0138</v>
      </c>
      <c r="CA350">
        <v>0</v>
      </c>
      <c r="CB350">
        <v>0</v>
      </c>
      <c r="CC350">
        <v>0</v>
      </c>
      <c r="CD350">
        <v>180</v>
      </c>
    </row>
    <row r="351" spans="19:82">
      <c r="S351">
        <v>0.89710000000000001</v>
      </c>
      <c r="T351">
        <v>0.98357340000000004</v>
      </c>
      <c r="U351">
        <v>0.98357340000000004</v>
      </c>
      <c r="V351">
        <v>1.1999999999999999E-6</v>
      </c>
      <c r="W351">
        <v>1.1999999999999999E-6</v>
      </c>
      <c r="X351">
        <v>1.64254E-2</v>
      </c>
      <c r="Y351">
        <v>1.64254E-2</v>
      </c>
      <c r="Z351">
        <v>-78.036299999999997</v>
      </c>
      <c r="AA351">
        <v>-78.036299999999997</v>
      </c>
      <c r="AB351">
        <v>-113.7574</v>
      </c>
      <c r="AC351">
        <v>-113.7574</v>
      </c>
      <c r="AD351">
        <v>0</v>
      </c>
      <c r="AE351">
        <v>0</v>
      </c>
      <c r="AF351">
        <v>0</v>
      </c>
      <c r="AG351">
        <v>180</v>
      </c>
      <c r="AI351">
        <v>0.89710000000000001</v>
      </c>
      <c r="AJ351">
        <v>0.97861379999999998</v>
      </c>
      <c r="AK351">
        <v>0.97861379999999998</v>
      </c>
      <c r="AL351">
        <v>1.9999999999999999E-6</v>
      </c>
      <c r="AM351">
        <v>1.9999999999999999E-6</v>
      </c>
      <c r="AN351">
        <v>2.1384199999999999E-2</v>
      </c>
      <c r="AO351">
        <v>2.1384199999999999E-2</v>
      </c>
      <c r="AP351">
        <v>-64.727000000000004</v>
      </c>
      <c r="AQ351">
        <v>-64.727000000000004</v>
      </c>
      <c r="AR351">
        <v>-88.727699999999999</v>
      </c>
      <c r="AS351">
        <v>-88.727699999999999</v>
      </c>
      <c r="AT351">
        <v>0</v>
      </c>
      <c r="AU351">
        <v>0</v>
      </c>
      <c r="AV351">
        <v>0</v>
      </c>
      <c r="AW351">
        <v>180</v>
      </c>
      <c r="AY351">
        <v>0.89710000000000001</v>
      </c>
      <c r="AZ351">
        <v>1.0698999999999999E-3</v>
      </c>
      <c r="BA351">
        <v>1.0698999999999999E-3</v>
      </c>
      <c r="BB351">
        <v>0.99876069999999995</v>
      </c>
      <c r="BC351">
        <v>0.99876069999999995</v>
      </c>
      <c r="BD351">
        <v>1.694E-4</v>
      </c>
      <c r="BE351">
        <v>1.694E-4</v>
      </c>
      <c r="BF351">
        <v>105.31740000000001</v>
      </c>
      <c r="BG351">
        <v>105.31740000000001</v>
      </c>
      <c r="BH351">
        <v>100.5596</v>
      </c>
      <c r="BI351">
        <v>100.5596</v>
      </c>
      <c r="BJ351">
        <v>0</v>
      </c>
      <c r="BK351">
        <v>0</v>
      </c>
      <c r="BL351">
        <v>0</v>
      </c>
      <c r="BM351">
        <v>180</v>
      </c>
      <c r="BP351">
        <v>0.89710000000000001</v>
      </c>
      <c r="BQ351">
        <v>0.88361639999999997</v>
      </c>
      <c r="BR351">
        <v>0.88361639999999997</v>
      </c>
      <c r="BS351">
        <v>0</v>
      </c>
      <c r="BT351">
        <v>0</v>
      </c>
      <c r="BU351">
        <v>0.1163836</v>
      </c>
      <c r="BV351">
        <v>0.1163836</v>
      </c>
      <c r="BW351">
        <v>-59.194200000000002</v>
      </c>
      <c r="BX351">
        <v>-59.194200000000002</v>
      </c>
      <c r="BY351">
        <v>166.03460000000001</v>
      </c>
      <c r="BZ351">
        <v>166.03460000000001</v>
      </c>
      <c r="CA351">
        <v>0</v>
      </c>
      <c r="CB351">
        <v>0</v>
      </c>
      <c r="CC351">
        <v>0</v>
      </c>
      <c r="CD351">
        <v>180</v>
      </c>
    </row>
    <row r="352" spans="19:82">
      <c r="S352">
        <v>0.89844999999999997</v>
      </c>
      <c r="T352">
        <v>0.98354010000000003</v>
      </c>
      <c r="U352">
        <v>0.98354010000000003</v>
      </c>
      <c r="V352">
        <v>1.1999999999999999E-6</v>
      </c>
      <c r="W352">
        <v>1.1999999999999999E-6</v>
      </c>
      <c r="X352">
        <v>1.64587E-2</v>
      </c>
      <c r="Y352">
        <v>1.64587E-2</v>
      </c>
      <c r="Z352">
        <v>-77.851200000000006</v>
      </c>
      <c r="AA352">
        <v>-77.851200000000006</v>
      </c>
      <c r="AB352">
        <v>-113.4361</v>
      </c>
      <c r="AC352">
        <v>-113.4361</v>
      </c>
      <c r="AD352">
        <v>0</v>
      </c>
      <c r="AE352">
        <v>0</v>
      </c>
      <c r="AF352">
        <v>0</v>
      </c>
      <c r="AG352">
        <v>180</v>
      </c>
      <c r="AI352">
        <v>0.89844999999999997</v>
      </c>
      <c r="AJ352">
        <v>0.97856770000000004</v>
      </c>
      <c r="AK352">
        <v>0.97856770000000004</v>
      </c>
      <c r="AL352">
        <v>1.9999999999999999E-6</v>
      </c>
      <c r="AM352">
        <v>1.9999999999999999E-6</v>
      </c>
      <c r="AN352">
        <v>2.1430299999999999E-2</v>
      </c>
      <c r="AO352">
        <v>2.1430299999999999E-2</v>
      </c>
      <c r="AP352">
        <v>-64.511799999999994</v>
      </c>
      <c r="AQ352">
        <v>-64.511799999999994</v>
      </c>
      <c r="AR352">
        <v>-88.341899999999995</v>
      </c>
      <c r="AS352">
        <v>-88.341899999999995</v>
      </c>
      <c r="AT352">
        <v>0</v>
      </c>
      <c r="AU352">
        <v>0</v>
      </c>
      <c r="AV352">
        <v>0</v>
      </c>
      <c r="AW352">
        <v>180</v>
      </c>
      <c r="AY352">
        <v>0.89844999999999997</v>
      </c>
      <c r="AZ352">
        <v>1.1050999999999999E-3</v>
      </c>
      <c r="BA352">
        <v>1.1050999999999999E-3</v>
      </c>
      <c r="BB352">
        <v>0.998726</v>
      </c>
      <c r="BC352">
        <v>0.998726</v>
      </c>
      <c r="BD352">
        <v>1.6890000000000001E-4</v>
      </c>
      <c r="BE352">
        <v>1.6890000000000001E-4</v>
      </c>
      <c r="BF352">
        <v>105.71639999999999</v>
      </c>
      <c r="BG352">
        <v>105.71639999999999</v>
      </c>
      <c r="BH352">
        <v>99.148300000000006</v>
      </c>
      <c r="BI352">
        <v>99.148300000000006</v>
      </c>
      <c r="BJ352">
        <v>0</v>
      </c>
      <c r="BK352">
        <v>0</v>
      </c>
      <c r="BL352">
        <v>0</v>
      </c>
      <c r="BM352">
        <v>180</v>
      </c>
      <c r="BP352">
        <v>0.89844999999999997</v>
      </c>
      <c r="BQ352">
        <v>0.8841658</v>
      </c>
      <c r="BR352">
        <v>0.8841658</v>
      </c>
      <c r="BS352">
        <v>0</v>
      </c>
      <c r="BT352">
        <v>0</v>
      </c>
      <c r="BU352">
        <v>0.1158342</v>
      </c>
      <c r="BV352">
        <v>0.1158342</v>
      </c>
      <c r="BW352">
        <v>-58.751100000000001</v>
      </c>
      <c r="BX352">
        <v>-58.751100000000001</v>
      </c>
      <c r="BY352">
        <v>166.05539999999999</v>
      </c>
      <c r="BZ352">
        <v>166.05539999999999</v>
      </c>
      <c r="CA352">
        <v>0</v>
      </c>
      <c r="CB352">
        <v>0</v>
      </c>
      <c r="CC352">
        <v>0</v>
      </c>
      <c r="CD352">
        <v>180</v>
      </c>
    </row>
    <row r="353" spans="19:82">
      <c r="S353">
        <v>0.89980000000000004</v>
      </c>
      <c r="T353">
        <v>0.98350660000000001</v>
      </c>
      <c r="U353">
        <v>0.98350660000000001</v>
      </c>
      <c r="V353">
        <v>1.1999999999999999E-6</v>
      </c>
      <c r="W353">
        <v>1.1999999999999999E-6</v>
      </c>
      <c r="X353">
        <v>1.6492199999999999E-2</v>
      </c>
      <c r="Y353">
        <v>1.6492199999999999E-2</v>
      </c>
      <c r="Z353">
        <v>-77.665899999999993</v>
      </c>
      <c r="AA353">
        <v>-77.665899999999993</v>
      </c>
      <c r="AB353">
        <v>-113.1144</v>
      </c>
      <c r="AC353">
        <v>-113.1144</v>
      </c>
      <c r="AD353">
        <v>0</v>
      </c>
      <c r="AE353">
        <v>0</v>
      </c>
      <c r="AF353">
        <v>0</v>
      </c>
      <c r="AG353">
        <v>180</v>
      </c>
      <c r="AI353">
        <v>0.89980000000000004</v>
      </c>
      <c r="AJ353">
        <v>0.97852159999999999</v>
      </c>
      <c r="AK353">
        <v>0.97852159999999999</v>
      </c>
      <c r="AL353">
        <v>1.9999999999999999E-6</v>
      </c>
      <c r="AM353">
        <v>1.9999999999999999E-6</v>
      </c>
      <c r="AN353">
        <v>2.14764E-2</v>
      </c>
      <c r="AO353">
        <v>2.14764E-2</v>
      </c>
      <c r="AP353">
        <v>-64.296400000000006</v>
      </c>
      <c r="AQ353">
        <v>-64.296400000000006</v>
      </c>
      <c r="AR353">
        <v>-87.955600000000004</v>
      </c>
      <c r="AS353">
        <v>-87.955600000000004</v>
      </c>
      <c r="AT353">
        <v>0</v>
      </c>
      <c r="AU353">
        <v>0</v>
      </c>
      <c r="AV353">
        <v>0</v>
      </c>
      <c r="AW353">
        <v>180</v>
      </c>
      <c r="AY353">
        <v>0.89980000000000004</v>
      </c>
      <c r="AZ353">
        <v>1.1429000000000001E-3</v>
      </c>
      <c r="BA353">
        <v>1.1429000000000001E-3</v>
      </c>
      <c r="BB353">
        <v>0.99868869999999998</v>
      </c>
      <c r="BC353">
        <v>0.99868869999999998</v>
      </c>
      <c r="BD353">
        <v>1.684E-4</v>
      </c>
      <c r="BE353">
        <v>1.684E-4</v>
      </c>
      <c r="BF353">
        <v>106.1144</v>
      </c>
      <c r="BG353">
        <v>106.1144</v>
      </c>
      <c r="BH353">
        <v>97.786000000000001</v>
      </c>
      <c r="BI353">
        <v>97.786000000000001</v>
      </c>
      <c r="BJ353">
        <v>0</v>
      </c>
      <c r="BK353">
        <v>0</v>
      </c>
      <c r="BL353">
        <v>0</v>
      </c>
      <c r="BM353">
        <v>180</v>
      </c>
      <c r="BP353">
        <v>0.89980000000000004</v>
      </c>
      <c r="BQ353">
        <v>0.88471259999999996</v>
      </c>
      <c r="BR353">
        <v>0.88471259999999996</v>
      </c>
      <c r="BS353">
        <v>0</v>
      </c>
      <c r="BT353">
        <v>0</v>
      </c>
      <c r="BU353">
        <v>0.1152874</v>
      </c>
      <c r="BV353">
        <v>0.1152874</v>
      </c>
      <c r="BW353">
        <v>-58.3093</v>
      </c>
      <c r="BX353">
        <v>-58.3093</v>
      </c>
      <c r="BY353">
        <v>166.0761</v>
      </c>
      <c r="BZ353">
        <v>166.0761</v>
      </c>
      <c r="CA353">
        <v>0</v>
      </c>
      <c r="CB353">
        <v>0</v>
      </c>
      <c r="CC353">
        <v>0</v>
      </c>
      <c r="CD353">
        <v>180</v>
      </c>
    </row>
    <row r="354" spans="19:82">
      <c r="S354">
        <v>0.90115000000000001</v>
      </c>
      <c r="T354">
        <v>0.98347019999999996</v>
      </c>
      <c r="U354">
        <v>0.98347019999999996</v>
      </c>
      <c r="V354">
        <v>1.1999999999999999E-6</v>
      </c>
      <c r="W354">
        <v>1.1999999999999999E-6</v>
      </c>
      <c r="X354">
        <v>1.6528600000000001E-2</v>
      </c>
      <c r="Y354">
        <v>1.6528600000000001E-2</v>
      </c>
      <c r="Z354">
        <v>-77.483000000000004</v>
      </c>
      <c r="AA354">
        <v>-77.483000000000004</v>
      </c>
      <c r="AB354">
        <v>-112.7945</v>
      </c>
      <c r="AC354">
        <v>-112.7945</v>
      </c>
      <c r="AD354">
        <v>0</v>
      </c>
      <c r="AE354">
        <v>0</v>
      </c>
      <c r="AF354">
        <v>0</v>
      </c>
      <c r="AG354">
        <v>180</v>
      </c>
      <c r="AI354">
        <v>0.90115000000000001</v>
      </c>
      <c r="AJ354">
        <v>0.97847200000000001</v>
      </c>
      <c r="AK354">
        <v>0.97847200000000001</v>
      </c>
      <c r="AL354">
        <v>1.9999999999999999E-6</v>
      </c>
      <c r="AM354">
        <v>1.9999999999999999E-6</v>
      </c>
      <c r="AN354">
        <v>2.1526099999999999E-2</v>
      </c>
      <c r="AO354">
        <v>2.1526099999999999E-2</v>
      </c>
      <c r="AP354">
        <v>-64.084000000000003</v>
      </c>
      <c r="AQ354">
        <v>-64.084000000000003</v>
      </c>
      <c r="AR354">
        <v>-87.572100000000006</v>
      </c>
      <c r="AS354">
        <v>-87.572100000000006</v>
      </c>
      <c r="AT354">
        <v>0</v>
      </c>
      <c r="AU354">
        <v>0</v>
      </c>
      <c r="AV354">
        <v>0</v>
      </c>
      <c r="AW354">
        <v>180</v>
      </c>
      <c r="AY354">
        <v>0.90115000000000001</v>
      </c>
      <c r="AZ354">
        <v>1.1831999999999999E-3</v>
      </c>
      <c r="BA354">
        <v>1.1831999999999999E-3</v>
      </c>
      <c r="BB354">
        <v>0.99864889999999995</v>
      </c>
      <c r="BC354">
        <v>0.99864889999999995</v>
      </c>
      <c r="BD354">
        <v>1.6789999999999999E-4</v>
      </c>
      <c r="BE354">
        <v>1.6789999999999999E-4</v>
      </c>
      <c r="BF354">
        <v>106.5112</v>
      </c>
      <c r="BG354">
        <v>106.5112</v>
      </c>
      <c r="BH354">
        <v>96.473100000000002</v>
      </c>
      <c r="BI354">
        <v>96.473100000000002</v>
      </c>
      <c r="BJ354">
        <v>0</v>
      </c>
      <c r="BK354">
        <v>0</v>
      </c>
      <c r="BL354">
        <v>0</v>
      </c>
      <c r="BM354">
        <v>180</v>
      </c>
      <c r="BP354">
        <v>0.90115000000000001</v>
      </c>
      <c r="BQ354">
        <v>0.88550649999999997</v>
      </c>
      <c r="BR354">
        <v>0.88550649999999997</v>
      </c>
      <c r="BS354">
        <v>0</v>
      </c>
      <c r="BT354">
        <v>0</v>
      </c>
      <c r="BU354">
        <v>0.1144934</v>
      </c>
      <c r="BV354">
        <v>0.1144934</v>
      </c>
      <c r="BW354">
        <v>-57.713099999999997</v>
      </c>
      <c r="BX354">
        <v>-57.713099999999997</v>
      </c>
      <c r="BY354">
        <v>166.10409999999999</v>
      </c>
      <c r="BZ354">
        <v>166.10409999999999</v>
      </c>
      <c r="CA354">
        <v>0</v>
      </c>
      <c r="CB354">
        <v>0</v>
      </c>
      <c r="CC354">
        <v>0</v>
      </c>
      <c r="CD354">
        <v>180</v>
      </c>
    </row>
    <row r="355" spans="19:82">
      <c r="S355">
        <v>0.90249999999999997</v>
      </c>
      <c r="T355">
        <v>0.98343309999999995</v>
      </c>
      <c r="U355">
        <v>0.98343309999999995</v>
      </c>
      <c r="V355">
        <v>1.3E-6</v>
      </c>
      <c r="W355">
        <v>1.3E-6</v>
      </c>
      <c r="X355">
        <v>1.65656E-2</v>
      </c>
      <c r="Y355">
        <v>1.65656E-2</v>
      </c>
      <c r="Z355">
        <v>-77.3005</v>
      </c>
      <c r="AA355">
        <v>-77.3005</v>
      </c>
      <c r="AB355">
        <v>-112.47450000000001</v>
      </c>
      <c r="AC355">
        <v>-112.47450000000001</v>
      </c>
      <c r="AD355">
        <v>0</v>
      </c>
      <c r="AE355">
        <v>0</v>
      </c>
      <c r="AF355">
        <v>0</v>
      </c>
      <c r="AG355">
        <v>180</v>
      </c>
      <c r="AI355">
        <v>0.90249999999999997</v>
      </c>
      <c r="AJ355">
        <v>0.97842180000000001</v>
      </c>
      <c r="AK355">
        <v>0.97842180000000001</v>
      </c>
      <c r="AL355">
        <v>1.9999999999999999E-6</v>
      </c>
      <c r="AM355">
        <v>1.9999999999999999E-6</v>
      </c>
      <c r="AN355">
        <v>2.15763E-2</v>
      </c>
      <c r="AO355">
        <v>2.15763E-2</v>
      </c>
      <c r="AP355">
        <v>-63.871899999999997</v>
      </c>
      <c r="AQ355">
        <v>-63.871899999999997</v>
      </c>
      <c r="AR355">
        <v>-87.188699999999997</v>
      </c>
      <c r="AS355">
        <v>-87.188699999999997</v>
      </c>
      <c r="AT355">
        <v>0</v>
      </c>
      <c r="AU355">
        <v>0</v>
      </c>
      <c r="AV355">
        <v>0</v>
      </c>
      <c r="AW355">
        <v>180</v>
      </c>
      <c r="AY355">
        <v>0.90249999999999997</v>
      </c>
      <c r="AZ355">
        <v>1.2262E-3</v>
      </c>
      <c r="BA355">
        <v>1.2262E-3</v>
      </c>
      <c r="BB355">
        <v>0.99860640000000001</v>
      </c>
      <c r="BC355">
        <v>0.99860640000000001</v>
      </c>
      <c r="BD355">
        <v>1.674E-4</v>
      </c>
      <c r="BE355">
        <v>1.674E-4</v>
      </c>
      <c r="BF355">
        <v>106.90689999999999</v>
      </c>
      <c r="BG355">
        <v>106.90689999999999</v>
      </c>
      <c r="BH355">
        <v>95.209699999999998</v>
      </c>
      <c r="BI355">
        <v>95.209699999999998</v>
      </c>
      <c r="BJ355">
        <v>0</v>
      </c>
      <c r="BK355">
        <v>0</v>
      </c>
      <c r="BL355">
        <v>0</v>
      </c>
      <c r="BM355">
        <v>180</v>
      </c>
      <c r="BP355">
        <v>0.90249999999999997</v>
      </c>
      <c r="BQ355">
        <v>0.88633850000000003</v>
      </c>
      <c r="BR355">
        <v>0.88633850000000003</v>
      </c>
      <c r="BS355">
        <v>0</v>
      </c>
      <c r="BT355">
        <v>0</v>
      </c>
      <c r="BU355">
        <v>0.1136615</v>
      </c>
      <c r="BV355">
        <v>0.1136615</v>
      </c>
      <c r="BW355">
        <v>-57.091700000000003</v>
      </c>
      <c r="BX355">
        <v>-57.091700000000003</v>
      </c>
      <c r="BY355">
        <v>166.13329999999999</v>
      </c>
      <c r="BZ355">
        <v>166.13329999999999</v>
      </c>
      <c r="CA355">
        <v>0</v>
      </c>
      <c r="CB355">
        <v>0</v>
      </c>
      <c r="CC355">
        <v>0</v>
      </c>
      <c r="CD355">
        <v>180</v>
      </c>
    </row>
    <row r="356" spans="19:82">
      <c r="S356">
        <v>0.90385000000000004</v>
      </c>
      <c r="T356">
        <v>0.98339589999999999</v>
      </c>
      <c r="U356">
        <v>0.98339589999999999</v>
      </c>
      <c r="V356">
        <v>1.3E-6</v>
      </c>
      <c r="W356">
        <v>1.3E-6</v>
      </c>
      <c r="X356">
        <v>1.6602800000000001E-2</v>
      </c>
      <c r="Y356">
        <v>1.6602800000000001E-2</v>
      </c>
      <c r="Z356">
        <v>-77.117900000000006</v>
      </c>
      <c r="AA356">
        <v>-77.117900000000006</v>
      </c>
      <c r="AB356">
        <v>-112.1541</v>
      </c>
      <c r="AC356">
        <v>-112.1541</v>
      </c>
      <c r="AD356">
        <v>0</v>
      </c>
      <c r="AE356">
        <v>0</v>
      </c>
      <c r="AF356">
        <v>0</v>
      </c>
      <c r="AG356">
        <v>180</v>
      </c>
      <c r="AI356">
        <v>0.90385000000000004</v>
      </c>
      <c r="AJ356">
        <v>0.97837160000000001</v>
      </c>
      <c r="AK356">
        <v>0.97837160000000001</v>
      </c>
      <c r="AL356">
        <v>1.9999999999999999E-6</v>
      </c>
      <c r="AM356">
        <v>1.9999999999999999E-6</v>
      </c>
      <c r="AN356">
        <v>2.16265E-2</v>
      </c>
      <c r="AO356">
        <v>2.16265E-2</v>
      </c>
      <c r="AP356">
        <v>-63.659700000000001</v>
      </c>
      <c r="AQ356">
        <v>-63.659700000000001</v>
      </c>
      <c r="AR356">
        <v>-86.8048</v>
      </c>
      <c r="AS356">
        <v>-86.8048</v>
      </c>
      <c r="AT356">
        <v>0</v>
      </c>
      <c r="AU356">
        <v>0</v>
      </c>
      <c r="AV356">
        <v>0</v>
      </c>
      <c r="AW356">
        <v>180</v>
      </c>
      <c r="AY356">
        <v>0.90385000000000004</v>
      </c>
      <c r="AZ356">
        <v>1.2718E-3</v>
      </c>
      <c r="BA356">
        <v>1.2718E-3</v>
      </c>
      <c r="BB356">
        <v>0.99856129999999999</v>
      </c>
      <c r="BC356">
        <v>0.99856129999999999</v>
      </c>
      <c r="BD356">
        <v>1.6689999999999999E-4</v>
      </c>
      <c r="BE356">
        <v>1.6689999999999999E-4</v>
      </c>
      <c r="BF356">
        <v>107.3014</v>
      </c>
      <c r="BG356">
        <v>107.3014</v>
      </c>
      <c r="BH356">
        <v>93.995800000000003</v>
      </c>
      <c r="BI356">
        <v>93.995800000000003</v>
      </c>
      <c r="BJ356">
        <v>0</v>
      </c>
      <c r="BK356">
        <v>0</v>
      </c>
      <c r="BL356">
        <v>0</v>
      </c>
      <c r="BM356">
        <v>180</v>
      </c>
      <c r="BP356">
        <v>0.90385000000000004</v>
      </c>
      <c r="BQ356">
        <v>0.88716479999999998</v>
      </c>
      <c r="BR356">
        <v>0.88716479999999998</v>
      </c>
      <c r="BS356">
        <v>0</v>
      </c>
      <c r="BT356">
        <v>0</v>
      </c>
      <c r="BU356">
        <v>0.1128352</v>
      </c>
      <c r="BV356">
        <v>0.1128352</v>
      </c>
      <c r="BW356">
        <v>-56.472200000000001</v>
      </c>
      <c r="BX356">
        <v>-56.472200000000001</v>
      </c>
      <c r="BY356">
        <v>166.16249999999999</v>
      </c>
      <c r="BZ356">
        <v>166.16249999999999</v>
      </c>
      <c r="CA356">
        <v>0</v>
      </c>
      <c r="CB356">
        <v>0</v>
      </c>
      <c r="CC356">
        <v>0</v>
      </c>
      <c r="CD356">
        <v>180</v>
      </c>
    </row>
    <row r="357" spans="19:82">
      <c r="S357">
        <v>0.9052</v>
      </c>
      <c r="T357">
        <v>0.98335859999999997</v>
      </c>
      <c r="U357">
        <v>0.98335859999999997</v>
      </c>
      <c r="V357">
        <v>1.3E-6</v>
      </c>
      <c r="W357">
        <v>1.3E-6</v>
      </c>
      <c r="X357">
        <v>1.6640100000000001E-2</v>
      </c>
      <c r="Y357">
        <v>1.6640100000000001E-2</v>
      </c>
      <c r="Z357">
        <v>-76.935100000000006</v>
      </c>
      <c r="AA357">
        <v>-76.935100000000006</v>
      </c>
      <c r="AB357">
        <v>-111.83329999999999</v>
      </c>
      <c r="AC357">
        <v>-111.83329999999999</v>
      </c>
      <c r="AD357">
        <v>0</v>
      </c>
      <c r="AE357">
        <v>0</v>
      </c>
      <c r="AF357">
        <v>0</v>
      </c>
      <c r="AG357">
        <v>180</v>
      </c>
      <c r="AI357">
        <v>0.9052</v>
      </c>
      <c r="AJ357">
        <v>0.97832140000000001</v>
      </c>
      <c r="AK357">
        <v>0.97832140000000001</v>
      </c>
      <c r="AL357">
        <v>1.9999999999999999E-6</v>
      </c>
      <c r="AM357">
        <v>1.9999999999999999E-6</v>
      </c>
      <c r="AN357">
        <v>2.1676600000000001E-2</v>
      </c>
      <c r="AO357">
        <v>2.1676600000000001E-2</v>
      </c>
      <c r="AP357">
        <v>-63.447299999999998</v>
      </c>
      <c r="AQ357">
        <v>-63.447299999999998</v>
      </c>
      <c r="AR357">
        <v>-86.420500000000004</v>
      </c>
      <c r="AS357">
        <v>-86.420500000000004</v>
      </c>
      <c r="AT357">
        <v>0</v>
      </c>
      <c r="AU357">
        <v>0</v>
      </c>
      <c r="AV357">
        <v>0</v>
      </c>
      <c r="AW357">
        <v>180</v>
      </c>
      <c r="AY357">
        <v>0.9052</v>
      </c>
      <c r="AZ357">
        <v>1.32E-3</v>
      </c>
      <c r="BA357">
        <v>1.32E-3</v>
      </c>
      <c r="BB357">
        <v>0.9985136</v>
      </c>
      <c r="BC357">
        <v>0.9985136</v>
      </c>
      <c r="BD357">
        <v>1.6640000000000001E-4</v>
      </c>
      <c r="BE357">
        <v>1.6640000000000001E-4</v>
      </c>
      <c r="BF357">
        <v>107.6949</v>
      </c>
      <c r="BG357">
        <v>107.6949</v>
      </c>
      <c r="BH357">
        <v>92.8309</v>
      </c>
      <c r="BI357">
        <v>92.8309</v>
      </c>
      <c r="BJ357">
        <v>0</v>
      </c>
      <c r="BK357">
        <v>0</v>
      </c>
      <c r="BL357">
        <v>0</v>
      </c>
      <c r="BM357">
        <v>180</v>
      </c>
      <c r="BP357">
        <v>0.9052</v>
      </c>
      <c r="BQ357">
        <v>0.88798549999999998</v>
      </c>
      <c r="BR357">
        <v>0.88798549999999998</v>
      </c>
      <c r="BS357">
        <v>0</v>
      </c>
      <c r="BT357">
        <v>0</v>
      </c>
      <c r="BU357">
        <v>0.1120145</v>
      </c>
      <c r="BV357">
        <v>0.1120145</v>
      </c>
      <c r="BW357">
        <v>-55.854700000000001</v>
      </c>
      <c r="BX357">
        <v>-55.854700000000001</v>
      </c>
      <c r="BY357">
        <v>166.19149999999999</v>
      </c>
      <c r="BZ357">
        <v>166.19149999999999</v>
      </c>
      <c r="CA357">
        <v>0</v>
      </c>
      <c r="CB357">
        <v>0</v>
      </c>
      <c r="CC357">
        <v>0</v>
      </c>
      <c r="CD357">
        <v>180</v>
      </c>
    </row>
    <row r="358" spans="19:82">
      <c r="S358">
        <v>0.90654999999999997</v>
      </c>
      <c r="T358">
        <v>0.98332120000000001</v>
      </c>
      <c r="U358">
        <v>0.98332120000000001</v>
      </c>
      <c r="V358">
        <v>1.3E-6</v>
      </c>
      <c r="W358">
        <v>1.3E-6</v>
      </c>
      <c r="X358">
        <v>1.6677500000000001E-2</v>
      </c>
      <c r="Y358">
        <v>1.6677500000000001E-2</v>
      </c>
      <c r="Z358">
        <v>-76.752300000000005</v>
      </c>
      <c r="AA358">
        <v>-76.752300000000005</v>
      </c>
      <c r="AB358">
        <v>-111.5121</v>
      </c>
      <c r="AC358">
        <v>-111.5121</v>
      </c>
      <c r="AD358">
        <v>0</v>
      </c>
      <c r="AE358">
        <v>0</v>
      </c>
      <c r="AF358">
        <v>0</v>
      </c>
      <c r="AG358">
        <v>180</v>
      </c>
      <c r="AI358">
        <v>0.90654999999999997</v>
      </c>
      <c r="AJ358">
        <v>0.97827129999999995</v>
      </c>
      <c r="AK358">
        <v>0.97827129999999995</v>
      </c>
      <c r="AL358">
        <v>1.9999999999999999E-6</v>
      </c>
      <c r="AM358">
        <v>1.9999999999999999E-6</v>
      </c>
      <c r="AN358">
        <v>2.1726700000000002E-2</v>
      </c>
      <c r="AO358">
        <v>2.1726700000000002E-2</v>
      </c>
      <c r="AP358">
        <v>-63.2348</v>
      </c>
      <c r="AQ358">
        <v>-63.2348</v>
      </c>
      <c r="AR358">
        <v>-86.035799999999995</v>
      </c>
      <c r="AS358">
        <v>-86.035799999999995</v>
      </c>
      <c r="AT358">
        <v>0</v>
      </c>
      <c r="AU358">
        <v>0</v>
      </c>
      <c r="AV358">
        <v>0</v>
      </c>
      <c r="AW358">
        <v>180</v>
      </c>
      <c r="AY358">
        <v>0.90654999999999997</v>
      </c>
      <c r="AZ358">
        <v>1.3709E-3</v>
      </c>
      <c r="BA358">
        <v>1.3709E-3</v>
      </c>
      <c r="BB358">
        <v>0.9984632</v>
      </c>
      <c r="BC358">
        <v>0.9984632</v>
      </c>
      <c r="BD358">
        <v>1.6589999999999999E-4</v>
      </c>
      <c r="BE358">
        <v>1.6589999999999999E-4</v>
      </c>
      <c r="BF358">
        <v>108.0873</v>
      </c>
      <c r="BG358">
        <v>108.0873</v>
      </c>
      <c r="BH358">
        <v>91.714500000000001</v>
      </c>
      <c r="BI358">
        <v>91.714500000000001</v>
      </c>
      <c r="BJ358">
        <v>0</v>
      </c>
      <c r="BK358">
        <v>0</v>
      </c>
      <c r="BL358">
        <v>0</v>
      </c>
      <c r="BM358">
        <v>180</v>
      </c>
      <c r="BP358">
        <v>0.90654999999999997</v>
      </c>
      <c r="BQ358">
        <v>0.8888007</v>
      </c>
      <c r="BR358">
        <v>0.8888007</v>
      </c>
      <c r="BS358">
        <v>0</v>
      </c>
      <c r="BT358">
        <v>0</v>
      </c>
      <c r="BU358">
        <v>0.1111993</v>
      </c>
      <c r="BV358">
        <v>0.1111993</v>
      </c>
      <c r="BW358">
        <v>-55.239100000000001</v>
      </c>
      <c r="BX358">
        <v>-55.239100000000001</v>
      </c>
      <c r="BY358">
        <v>166.22049999999999</v>
      </c>
      <c r="BZ358">
        <v>166.22049999999999</v>
      </c>
      <c r="CA358">
        <v>0</v>
      </c>
      <c r="CB358">
        <v>0</v>
      </c>
      <c r="CC358">
        <v>0</v>
      </c>
      <c r="CD358">
        <v>180</v>
      </c>
    </row>
    <row r="359" spans="19:82">
      <c r="S359">
        <v>0.90790000000000004</v>
      </c>
      <c r="T359">
        <v>0.98328369999999998</v>
      </c>
      <c r="U359">
        <v>0.98328369999999998</v>
      </c>
      <c r="V359">
        <v>1.3E-6</v>
      </c>
      <c r="W359">
        <v>1.3E-6</v>
      </c>
      <c r="X359">
        <v>1.67151E-2</v>
      </c>
      <c r="Y359">
        <v>1.67151E-2</v>
      </c>
      <c r="Z359">
        <v>-76.569299999999998</v>
      </c>
      <c r="AA359">
        <v>-76.569299999999998</v>
      </c>
      <c r="AB359">
        <v>-111.1906</v>
      </c>
      <c r="AC359">
        <v>-111.1906</v>
      </c>
      <c r="AD359">
        <v>0</v>
      </c>
      <c r="AE359">
        <v>0</v>
      </c>
      <c r="AF359">
        <v>0</v>
      </c>
      <c r="AG359">
        <v>180</v>
      </c>
      <c r="AI359">
        <v>0.90790000000000004</v>
      </c>
      <c r="AJ359">
        <v>0.97822129999999996</v>
      </c>
      <c r="AK359">
        <v>0.97822129999999996</v>
      </c>
      <c r="AL359">
        <v>1.9999999999999999E-6</v>
      </c>
      <c r="AM359">
        <v>1.9999999999999999E-6</v>
      </c>
      <c r="AN359">
        <v>2.17767E-2</v>
      </c>
      <c r="AO359">
        <v>2.17767E-2</v>
      </c>
      <c r="AP359">
        <v>-63.022100000000002</v>
      </c>
      <c r="AQ359">
        <v>-63.022100000000002</v>
      </c>
      <c r="AR359">
        <v>-85.650599999999997</v>
      </c>
      <c r="AS359">
        <v>-85.650599999999997</v>
      </c>
      <c r="AT359">
        <v>0</v>
      </c>
      <c r="AU359">
        <v>0</v>
      </c>
      <c r="AV359">
        <v>0</v>
      </c>
      <c r="AW359">
        <v>180</v>
      </c>
      <c r="AY359">
        <v>0.90790000000000004</v>
      </c>
      <c r="AZ359">
        <v>1.4243999999999999E-3</v>
      </c>
      <c r="BA359">
        <v>1.4243999999999999E-3</v>
      </c>
      <c r="BB359">
        <v>0.99841009999999997</v>
      </c>
      <c r="BC359">
        <v>0.99841009999999997</v>
      </c>
      <c r="BD359">
        <v>1.6540000000000001E-4</v>
      </c>
      <c r="BE359">
        <v>1.6540000000000001E-4</v>
      </c>
      <c r="BF359">
        <v>108.4786</v>
      </c>
      <c r="BG359">
        <v>108.4786</v>
      </c>
      <c r="BH359">
        <v>90.645600000000002</v>
      </c>
      <c r="BI359">
        <v>90.645600000000002</v>
      </c>
      <c r="BJ359">
        <v>0</v>
      </c>
      <c r="BK359">
        <v>0</v>
      </c>
      <c r="BL359">
        <v>0</v>
      </c>
      <c r="BM359">
        <v>180</v>
      </c>
      <c r="BP359">
        <v>0.90790000000000004</v>
      </c>
      <c r="BQ359">
        <v>0.88961029999999996</v>
      </c>
      <c r="BR359">
        <v>0.88961029999999996</v>
      </c>
      <c r="BS359">
        <v>0</v>
      </c>
      <c r="BT359">
        <v>0</v>
      </c>
      <c r="BU359">
        <v>0.1103896</v>
      </c>
      <c r="BV359">
        <v>0.1103896</v>
      </c>
      <c r="BW359">
        <v>-54.625399999999999</v>
      </c>
      <c r="BX359">
        <v>-54.625399999999999</v>
      </c>
      <c r="BY359">
        <v>166.24950000000001</v>
      </c>
      <c r="BZ359">
        <v>166.24950000000001</v>
      </c>
      <c r="CA359">
        <v>0</v>
      </c>
      <c r="CB359">
        <v>0</v>
      </c>
      <c r="CC359">
        <v>0</v>
      </c>
      <c r="CD359">
        <v>180</v>
      </c>
    </row>
    <row r="360" spans="19:82">
      <c r="S360">
        <v>0.90925</v>
      </c>
      <c r="T360">
        <v>0.98324599999999995</v>
      </c>
      <c r="U360">
        <v>0.98324599999999995</v>
      </c>
      <c r="V360">
        <v>1.3E-6</v>
      </c>
      <c r="W360">
        <v>1.3E-6</v>
      </c>
      <c r="X360">
        <v>1.6752699999999999E-2</v>
      </c>
      <c r="Y360">
        <v>1.6752699999999999E-2</v>
      </c>
      <c r="Z360">
        <v>-76.386099999999999</v>
      </c>
      <c r="AA360">
        <v>-76.386099999999999</v>
      </c>
      <c r="AB360">
        <v>-110.8686</v>
      </c>
      <c r="AC360">
        <v>-110.8686</v>
      </c>
      <c r="AD360">
        <v>0</v>
      </c>
      <c r="AE360">
        <v>0</v>
      </c>
      <c r="AF360">
        <v>0</v>
      </c>
      <c r="AG360">
        <v>180</v>
      </c>
      <c r="AI360">
        <v>0.90925</v>
      </c>
      <c r="AJ360">
        <v>0.97817140000000002</v>
      </c>
      <c r="AK360">
        <v>0.97817140000000002</v>
      </c>
      <c r="AL360">
        <v>1.9999999999999999E-6</v>
      </c>
      <c r="AM360">
        <v>1.9999999999999999E-6</v>
      </c>
      <c r="AN360">
        <v>2.1826600000000002E-2</v>
      </c>
      <c r="AO360">
        <v>2.1826600000000002E-2</v>
      </c>
      <c r="AP360">
        <v>-62.8093</v>
      </c>
      <c r="AQ360">
        <v>-62.8093</v>
      </c>
      <c r="AR360">
        <v>-85.265000000000001</v>
      </c>
      <c r="AS360">
        <v>-85.265000000000001</v>
      </c>
      <c r="AT360">
        <v>0</v>
      </c>
      <c r="AU360">
        <v>0</v>
      </c>
      <c r="AV360">
        <v>0</v>
      </c>
      <c r="AW360">
        <v>180</v>
      </c>
      <c r="AY360">
        <v>0.90925</v>
      </c>
      <c r="AZ360">
        <v>1.4806999999999999E-3</v>
      </c>
      <c r="BA360">
        <v>1.4806999999999999E-3</v>
      </c>
      <c r="BB360">
        <v>0.99835439999999998</v>
      </c>
      <c r="BC360">
        <v>0.99835439999999998</v>
      </c>
      <c r="BD360">
        <v>1.65E-4</v>
      </c>
      <c r="BE360">
        <v>1.65E-4</v>
      </c>
      <c r="BF360">
        <v>108.86879999999999</v>
      </c>
      <c r="BG360">
        <v>108.86879999999999</v>
      </c>
      <c r="BH360">
        <v>89.6233</v>
      </c>
      <c r="BI360">
        <v>89.6233</v>
      </c>
      <c r="BJ360">
        <v>0</v>
      </c>
      <c r="BK360">
        <v>0</v>
      </c>
      <c r="BL360">
        <v>0</v>
      </c>
      <c r="BM360">
        <v>180</v>
      </c>
      <c r="BP360">
        <v>0.90925</v>
      </c>
      <c r="BQ360">
        <v>0.8904145</v>
      </c>
      <c r="BR360">
        <v>0.8904145</v>
      </c>
      <c r="BS360">
        <v>0</v>
      </c>
      <c r="BT360">
        <v>0</v>
      </c>
      <c r="BU360">
        <v>0.1095854</v>
      </c>
      <c r="BV360">
        <v>0.1095854</v>
      </c>
      <c r="BW360">
        <v>-54.013599999999997</v>
      </c>
      <c r="BX360">
        <v>-54.013599999999997</v>
      </c>
      <c r="BY360">
        <v>166.2783</v>
      </c>
      <c r="BZ360">
        <v>166.2783</v>
      </c>
      <c r="CA360">
        <v>0</v>
      </c>
      <c r="CB360">
        <v>0</v>
      </c>
      <c r="CC360">
        <v>0</v>
      </c>
      <c r="CD360">
        <v>180</v>
      </c>
    </row>
    <row r="361" spans="19:82">
      <c r="S361">
        <v>0.91059999999999997</v>
      </c>
      <c r="T361">
        <v>0.98320830000000004</v>
      </c>
      <c r="U361">
        <v>0.98320830000000004</v>
      </c>
      <c r="V361">
        <v>1.3E-6</v>
      </c>
      <c r="W361">
        <v>1.3E-6</v>
      </c>
      <c r="X361">
        <v>1.67905E-2</v>
      </c>
      <c r="Y361">
        <v>1.67905E-2</v>
      </c>
      <c r="Z361">
        <v>-76.2029</v>
      </c>
      <c r="AA361">
        <v>-76.2029</v>
      </c>
      <c r="AB361">
        <v>-110.5463</v>
      </c>
      <c r="AC361">
        <v>-110.5463</v>
      </c>
      <c r="AD361">
        <v>0</v>
      </c>
      <c r="AE361">
        <v>0</v>
      </c>
      <c r="AF361">
        <v>0</v>
      </c>
      <c r="AG361">
        <v>180</v>
      </c>
      <c r="AI361">
        <v>0.91059999999999997</v>
      </c>
      <c r="AJ361">
        <v>0.97812149999999998</v>
      </c>
      <c r="AK361">
        <v>0.97812149999999998</v>
      </c>
      <c r="AL361">
        <v>1.9999999999999999E-6</v>
      </c>
      <c r="AM361">
        <v>1.9999999999999999E-6</v>
      </c>
      <c r="AN361">
        <v>2.18765E-2</v>
      </c>
      <c r="AO361">
        <v>2.18765E-2</v>
      </c>
      <c r="AP361">
        <v>-62.596299999999999</v>
      </c>
      <c r="AQ361">
        <v>-62.596299999999999</v>
      </c>
      <c r="AR361">
        <v>-84.878900000000002</v>
      </c>
      <c r="AS361">
        <v>-84.878900000000002</v>
      </c>
      <c r="AT361">
        <v>0</v>
      </c>
      <c r="AU361">
        <v>0</v>
      </c>
      <c r="AV361">
        <v>0</v>
      </c>
      <c r="AW361">
        <v>180</v>
      </c>
      <c r="AY361">
        <v>0.91059999999999997</v>
      </c>
      <c r="AZ361">
        <v>1.5395999999999999E-3</v>
      </c>
      <c r="BA361">
        <v>1.5395999999999999E-3</v>
      </c>
      <c r="BB361">
        <v>0.99829590000000001</v>
      </c>
      <c r="BC361">
        <v>0.99829590000000001</v>
      </c>
      <c r="BD361">
        <v>1.6449999999999999E-4</v>
      </c>
      <c r="BE361">
        <v>1.6449999999999999E-4</v>
      </c>
      <c r="BF361">
        <v>109.25790000000001</v>
      </c>
      <c r="BG361">
        <v>109.25790000000001</v>
      </c>
      <c r="BH361">
        <v>88.646500000000003</v>
      </c>
      <c r="BI361">
        <v>88.646500000000003</v>
      </c>
      <c r="BJ361">
        <v>0</v>
      </c>
      <c r="BK361">
        <v>0</v>
      </c>
      <c r="BL361">
        <v>0</v>
      </c>
      <c r="BM361">
        <v>180</v>
      </c>
      <c r="BP361">
        <v>0.91059999999999997</v>
      </c>
      <c r="BQ361">
        <v>0.89121329999999999</v>
      </c>
      <c r="BR361">
        <v>0.89121329999999999</v>
      </c>
      <c r="BS361">
        <v>0</v>
      </c>
      <c r="BT361">
        <v>0</v>
      </c>
      <c r="BU361">
        <v>0.1087867</v>
      </c>
      <c r="BV361">
        <v>0.1087867</v>
      </c>
      <c r="BW361">
        <v>-53.403700000000001</v>
      </c>
      <c r="BX361">
        <v>-53.403700000000001</v>
      </c>
      <c r="BY361">
        <v>166.30709999999999</v>
      </c>
      <c r="BZ361">
        <v>166.30709999999999</v>
      </c>
      <c r="CA361">
        <v>0</v>
      </c>
      <c r="CB361">
        <v>0</v>
      </c>
      <c r="CC361">
        <v>0</v>
      </c>
      <c r="CD361">
        <v>180</v>
      </c>
    </row>
    <row r="362" spans="19:82">
      <c r="S362">
        <v>0.91195000000000004</v>
      </c>
      <c r="T362">
        <v>0.98317019999999999</v>
      </c>
      <c r="U362">
        <v>0.98317019999999999</v>
      </c>
      <c r="V362">
        <v>1.3E-6</v>
      </c>
      <c r="W362">
        <v>1.3E-6</v>
      </c>
      <c r="X362">
        <v>1.68285E-2</v>
      </c>
      <c r="Y362">
        <v>1.68285E-2</v>
      </c>
      <c r="Z362">
        <v>-76.019499999999994</v>
      </c>
      <c r="AA362">
        <v>-76.019499999999994</v>
      </c>
      <c r="AB362">
        <v>-110.2236</v>
      </c>
      <c r="AC362">
        <v>-110.2236</v>
      </c>
      <c r="AD362">
        <v>0</v>
      </c>
      <c r="AE362">
        <v>0</v>
      </c>
      <c r="AF362">
        <v>0</v>
      </c>
      <c r="AG362">
        <v>180</v>
      </c>
      <c r="AI362">
        <v>0.91195000000000004</v>
      </c>
      <c r="AJ362">
        <v>0.97807160000000004</v>
      </c>
      <c r="AK362">
        <v>0.97807160000000004</v>
      </c>
      <c r="AL362">
        <v>1.9999999999999999E-6</v>
      </c>
      <c r="AM362">
        <v>1.9999999999999999E-6</v>
      </c>
      <c r="AN362">
        <v>2.1926399999999999E-2</v>
      </c>
      <c r="AO362">
        <v>2.1926399999999999E-2</v>
      </c>
      <c r="AP362">
        <v>-62.383099999999999</v>
      </c>
      <c r="AQ362">
        <v>-62.383099999999999</v>
      </c>
      <c r="AR362">
        <v>-84.492400000000004</v>
      </c>
      <c r="AS362">
        <v>-84.492400000000004</v>
      </c>
      <c r="AT362">
        <v>0</v>
      </c>
      <c r="AU362">
        <v>0</v>
      </c>
      <c r="AV362">
        <v>0</v>
      </c>
      <c r="AW362">
        <v>180</v>
      </c>
      <c r="AY362">
        <v>0.91195000000000004</v>
      </c>
      <c r="AZ362">
        <v>1.6012999999999999E-3</v>
      </c>
      <c r="BA362">
        <v>1.6012999999999999E-3</v>
      </c>
      <c r="BB362">
        <v>0.99823470000000003</v>
      </c>
      <c r="BC362">
        <v>0.99823470000000003</v>
      </c>
      <c r="BD362">
        <v>1.64E-4</v>
      </c>
      <c r="BE362">
        <v>1.64E-4</v>
      </c>
      <c r="BF362">
        <v>109.6459</v>
      </c>
      <c r="BG362">
        <v>109.6459</v>
      </c>
      <c r="BH362">
        <v>87.713999999999999</v>
      </c>
      <c r="BI362">
        <v>87.713999999999999</v>
      </c>
      <c r="BJ362">
        <v>0</v>
      </c>
      <c r="BK362">
        <v>0</v>
      </c>
      <c r="BL362">
        <v>0</v>
      </c>
      <c r="BM362">
        <v>180</v>
      </c>
      <c r="BP362">
        <v>0.91195000000000004</v>
      </c>
      <c r="BQ362">
        <v>0.89200670000000004</v>
      </c>
      <c r="BR362">
        <v>0.89200670000000004</v>
      </c>
      <c r="BS362">
        <v>0</v>
      </c>
      <c r="BT362">
        <v>0</v>
      </c>
      <c r="BU362">
        <v>0.1079933</v>
      </c>
      <c r="BV362">
        <v>0.1079933</v>
      </c>
      <c r="BW362">
        <v>-52.795699999999997</v>
      </c>
      <c r="BX362">
        <v>-52.795699999999997</v>
      </c>
      <c r="BY362">
        <v>166.33580000000001</v>
      </c>
      <c r="BZ362">
        <v>166.33580000000001</v>
      </c>
      <c r="CA362">
        <v>0</v>
      </c>
      <c r="CB362">
        <v>0</v>
      </c>
      <c r="CC362">
        <v>0</v>
      </c>
      <c r="CD362">
        <v>180</v>
      </c>
    </row>
    <row r="363" spans="19:82">
      <c r="S363">
        <v>0.9133</v>
      </c>
      <c r="T363">
        <v>0.9831318</v>
      </c>
      <c r="U363">
        <v>0.9831318</v>
      </c>
      <c r="V363">
        <v>1.3E-6</v>
      </c>
      <c r="W363">
        <v>1.3E-6</v>
      </c>
      <c r="X363">
        <v>1.6867E-2</v>
      </c>
      <c r="Y363">
        <v>1.6867E-2</v>
      </c>
      <c r="Z363">
        <v>-75.836100000000002</v>
      </c>
      <c r="AA363">
        <v>-75.836100000000002</v>
      </c>
      <c r="AB363">
        <v>-109.90049999999999</v>
      </c>
      <c r="AC363">
        <v>-109.90049999999999</v>
      </c>
      <c r="AD363">
        <v>0</v>
      </c>
      <c r="AE363">
        <v>0</v>
      </c>
      <c r="AF363">
        <v>0</v>
      </c>
      <c r="AG363">
        <v>180</v>
      </c>
      <c r="AI363">
        <v>0.9133</v>
      </c>
      <c r="AJ363">
        <v>0.97802140000000004</v>
      </c>
      <c r="AK363">
        <v>0.97802140000000004</v>
      </c>
      <c r="AL363">
        <v>1.9999999999999999E-6</v>
      </c>
      <c r="AM363">
        <v>1.9999999999999999E-6</v>
      </c>
      <c r="AN363">
        <v>2.1976599999999999E-2</v>
      </c>
      <c r="AO363">
        <v>2.1976599999999999E-2</v>
      </c>
      <c r="AP363">
        <v>-62.169800000000002</v>
      </c>
      <c r="AQ363">
        <v>-62.169800000000002</v>
      </c>
      <c r="AR363">
        <v>-84.105500000000006</v>
      </c>
      <c r="AS363">
        <v>-84.105500000000006</v>
      </c>
      <c r="AT363">
        <v>0</v>
      </c>
      <c r="AU363">
        <v>0</v>
      </c>
      <c r="AV363">
        <v>0</v>
      </c>
      <c r="AW363">
        <v>180</v>
      </c>
      <c r="AY363">
        <v>0.9133</v>
      </c>
      <c r="AZ363">
        <v>1.6658E-3</v>
      </c>
      <c r="BA363">
        <v>1.6658E-3</v>
      </c>
      <c r="BB363">
        <v>0.99817069999999997</v>
      </c>
      <c r="BC363">
        <v>0.99817069999999997</v>
      </c>
      <c r="BD363">
        <v>1.6349999999999999E-4</v>
      </c>
      <c r="BE363">
        <v>1.6349999999999999E-4</v>
      </c>
      <c r="BF363">
        <v>110.03279999999999</v>
      </c>
      <c r="BG363">
        <v>110.03279999999999</v>
      </c>
      <c r="BH363">
        <v>86.8245</v>
      </c>
      <c r="BI363">
        <v>86.8245</v>
      </c>
      <c r="BJ363">
        <v>0</v>
      </c>
      <c r="BK363">
        <v>0</v>
      </c>
      <c r="BL363">
        <v>0</v>
      </c>
      <c r="BM363">
        <v>180</v>
      </c>
      <c r="BP363">
        <v>0.9133</v>
      </c>
      <c r="BQ363">
        <v>0.89279470000000005</v>
      </c>
      <c r="BR363">
        <v>0.89279470000000005</v>
      </c>
      <c r="BS363">
        <v>0</v>
      </c>
      <c r="BT363">
        <v>0</v>
      </c>
      <c r="BU363">
        <v>0.1072053</v>
      </c>
      <c r="BV363">
        <v>0.1072053</v>
      </c>
      <c r="BW363">
        <v>-52.189599999999999</v>
      </c>
      <c r="BX363">
        <v>-52.189599999999999</v>
      </c>
      <c r="BY363">
        <v>166.36449999999999</v>
      </c>
      <c r="BZ363">
        <v>166.36449999999999</v>
      </c>
      <c r="CA363">
        <v>0</v>
      </c>
      <c r="CB363">
        <v>0</v>
      </c>
      <c r="CC363">
        <v>0</v>
      </c>
      <c r="CD363">
        <v>180</v>
      </c>
    </row>
    <row r="364" spans="19:82">
      <c r="S364">
        <v>0.91464999999999996</v>
      </c>
      <c r="T364">
        <v>0.9830932</v>
      </c>
      <c r="U364">
        <v>0.9830932</v>
      </c>
      <c r="V364">
        <v>1.3E-6</v>
      </c>
      <c r="W364">
        <v>1.3E-6</v>
      </c>
      <c r="X364">
        <v>1.69056E-2</v>
      </c>
      <c r="Y364">
        <v>1.69056E-2</v>
      </c>
      <c r="Z364">
        <v>-75.652500000000003</v>
      </c>
      <c r="AA364">
        <v>-75.652500000000003</v>
      </c>
      <c r="AB364">
        <v>-109.577</v>
      </c>
      <c r="AC364">
        <v>-109.577</v>
      </c>
      <c r="AD364">
        <v>0</v>
      </c>
      <c r="AE364">
        <v>0</v>
      </c>
      <c r="AF364">
        <v>0</v>
      </c>
      <c r="AG364">
        <v>180</v>
      </c>
      <c r="AI364">
        <v>0.91464999999999996</v>
      </c>
      <c r="AJ364">
        <v>0.97797140000000005</v>
      </c>
      <c r="AK364">
        <v>0.97797140000000005</v>
      </c>
      <c r="AL364">
        <v>1.9999999999999999E-6</v>
      </c>
      <c r="AM364">
        <v>1.9999999999999999E-6</v>
      </c>
      <c r="AN364">
        <v>2.20266E-2</v>
      </c>
      <c r="AO364">
        <v>2.20266E-2</v>
      </c>
      <c r="AP364">
        <v>-61.956400000000002</v>
      </c>
      <c r="AQ364">
        <v>-61.956400000000002</v>
      </c>
      <c r="AR364">
        <v>-83.718199999999996</v>
      </c>
      <c r="AS364">
        <v>-83.718199999999996</v>
      </c>
      <c r="AT364">
        <v>0</v>
      </c>
      <c r="AU364">
        <v>0</v>
      </c>
      <c r="AV364">
        <v>0</v>
      </c>
      <c r="AW364">
        <v>180</v>
      </c>
      <c r="AY364">
        <v>0.91464999999999996</v>
      </c>
      <c r="AZ364">
        <v>1.7329999999999999E-3</v>
      </c>
      <c r="BA364">
        <v>1.7329999999999999E-3</v>
      </c>
      <c r="BB364">
        <v>0.99810399999999999</v>
      </c>
      <c r="BC364">
        <v>0.99810399999999999</v>
      </c>
      <c r="BD364">
        <v>1.63E-4</v>
      </c>
      <c r="BE364">
        <v>1.63E-4</v>
      </c>
      <c r="BF364">
        <v>110.4186</v>
      </c>
      <c r="BG364">
        <v>110.4186</v>
      </c>
      <c r="BH364">
        <v>85.976600000000005</v>
      </c>
      <c r="BI364">
        <v>85.976600000000005</v>
      </c>
      <c r="BJ364">
        <v>0</v>
      </c>
      <c r="BK364">
        <v>0</v>
      </c>
      <c r="BL364">
        <v>0</v>
      </c>
      <c r="BM364">
        <v>180</v>
      </c>
      <c r="BP364">
        <v>0.91464999999999996</v>
      </c>
      <c r="BQ364">
        <v>0.89357739999999997</v>
      </c>
      <c r="BR364">
        <v>0.89357739999999997</v>
      </c>
      <c r="BS364">
        <v>0</v>
      </c>
      <c r="BT364">
        <v>0</v>
      </c>
      <c r="BU364">
        <v>0.10642260000000001</v>
      </c>
      <c r="BV364">
        <v>0.10642260000000001</v>
      </c>
      <c r="BW364">
        <v>-51.585299999999997</v>
      </c>
      <c r="BX364">
        <v>-51.585299999999997</v>
      </c>
      <c r="BY364">
        <v>166.393</v>
      </c>
      <c r="BZ364">
        <v>166.393</v>
      </c>
      <c r="CA364">
        <v>0</v>
      </c>
      <c r="CB364">
        <v>0</v>
      </c>
      <c r="CC364">
        <v>0</v>
      </c>
      <c r="CD364">
        <v>180</v>
      </c>
    </row>
    <row r="365" spans="19:82">
      <c r="S365">
        <v>0.91600000000000004</v>
      </c>
      <c r="T365">
        <v>0.98305450000000005</v>
      </c>
      <c r="U365">
        <v>0.98305450000000005</v>
      </c>
      <c r="V365">
        <v>1.3E-6</v>
      </c>
      <c r="W365">
        <v>1.3E-6</v>
      </c>
      <c r="X365">
        <v>1.6944299999999999E-2</v>
      </c>
      <c r="Y365">
        <v>1.6944299999999999E-2</v>
      </c>
      <c r="Z365">
        <v>-75.468800000000002</v>
      </c>
      <c r="AA365">
        <v>-75.468800000000002</v>
      </c>
      <c r="AB365">
        <v>-109.2531</v>
      </c>
      <c r="AC365">
        <v>-109.2531</v>
      </c>
      <c r="AD365">
        <v>0</v>
      </c>
      <c r="AE365">
        <v>0</v>
      </c>
      <c r="AF365">
        <v>0</v>
      </c>
      <c r="AG365">
        <v>180</v>
      </c>
      <c r="AI365">
        <v>0.91600000000000004</v>
      </c>
      <c r="AJ365">
        <v>0.97792140000000005</v>
      </c>
      <c r="AK365">
        <v>0.97792140000000005</v>
      </c>
      <c r="AL365">
        <v>1.9999999999999999E-6</v>
      </c>
      <c r="AM365">
        <v>1.9999999999999999E-6</v>
      </c>
      <c r="AN365">
        <v>2.2076599999999998E-2</v>
      </c>
      <c r="AO365">
        <v>2.2076599999999998E-2</v>
      </c>
      <c r="AP365">
        <v>-61.742800000000003</v>
      </c>
      <c r="AQ365">
        <v>-61.742800000000003</v>
      </c>
      <c r="AR365">
        <v>-83.330399999999997</v>
      </c>
      <c r="AS365">
        <v>-83.330399999999997</v>
      </c>
      <c r="AT365">
        <v>0</v>
      </c>
      <c r="AU365">
        <v>0</v>
      </c>
      <c r="AV365">
        <v>0</v>
      </c>
      <c r="AW365">
        <v>180</v>
      </c>
      <c r="AY365">
        <v>0.91600000000000004</v>
      </c>
      <c r="AZ365">
        <v>1.8029999999999999E-3</v>
      </c>
      <c r="BA365">
        <v>1.8029999999999999E-3</v>
      </c>
      <c r="BB365">
        <v>0.99803450000000005</v>
      </c>
      <c r="BC365">
        <v>0.99803450000000005</v>
      </c>
      <c r="BD365">
        <v>1.6249999999999999E-4</v>
      </c>
      <c r="BE365">
        <v>1.6249999999999999E-4</v>
      </c>
      <c r="BF365">
        <v>110.8034</v>
      </c>
      <c r="BG365">
        <v>110.8034</v>
      </c>
      <c r="BH365">
        <v>85.168999999999997</v>
      </c>
      <c r="BI365">
        <v>85.168999999999997</v>
      </c>
      <c r="BJ365">
        <v>0</v>
      </c>
      <c r="BK365">
        <v>0</v>
      </c>
      <c r="BL365">
        <v>0</v>
      </c>
      <c r="BM365">
        <v>180</v>
      </c>
      <c r="BP365">
        <v>0.91600000000000004</v>
      </c>
      <c r="BQ365">
        <v>0.89435480000000001</v>
      </c>
      <c r="BR365">
        <v>0.89435480000000001</v>
      </c>
      <c r="BS365">
        <v>0</v>
      </c>
      <c r="BT365">
        <v>0</v>
      </c>
      <c r="BU365">
        <v>0.10564519999999999</v>
      </c>
      <c r="BV365">
        <v>0.10564519999999999</v>
      </c>
      <c r="BW365">
        <v>-50.982999999999997</v>
      </c>
      <c r="BX365">
        <v>-50.982999999999997</v>
      </c>
      <c r="BY365">
        <v>166.42150000000001</v>
      </c>
      <c r="BZ365">
        <v>166.42150000000001</v>
      </c>
      <c r="CA365">
        <v>0</v>
      </c>
      <c r="CB365">
        <v>0</v>
      </c>
      <c r="CC365">
        <v>0</v>
      </c>
      <c r="CD365">
        <v>180</v>
      </c>
    </row>
    <row r="366" spans="19:82">
      <c r="S366">
        <v>0.91735</v>
      </c>
      <c r="T366">
        <v>0.98301570000000005</v>
      </c>
      <c r="U366">
        <v>0.98301570000000005</v>
      </c>
      <c r="V366">
        <v>1.3E-6</v>
      </c>
      <c r="W366">
        <v>1.3E-6</v>
      </c>
      <c r="X366">
        <v>1.6983100000000001E-2</v>
      </c>
      <c r="Y366">
        <v>1.6983100000000001E-2</v>
      </c>
      <c r="Z366">
        <v>-75.284999999999997</v>
      </c>
      <c r="AA366">
        <v>-75.284999999999997</v>
      </c>
      <c r="AB366">
        <v>-108.9288</v>
      </c>
      <c r="AC366">
        <v>-108.9288</v>
      </c>
      <c r="AD366">
        <v>0</v>
      </c>
      <c r="AE366">
        <v>0</v>
      </c>
      <c r="AF366">
        <v>0</v>
      </c>
      <c r="AG366">
        <v>180</v>
      </c>
      <c r="AI366">
        <v>0.91735</v>
      </c>
      <c r="AJ366">
        <v>0.9778715</v>
      </c>
      <c r="AK366">
        <v>0.9778715</v>
      </c>
      <c r="AL366">
        <v>1.9999999999999999E-6</v>
      </c>
      <c r="AM366">
        <v>1.9999999999999999E-6</v>
      </c>
      <c r="AN366">
        <v>2.21265E-2</v>
      </c>
      <c r="AO366">
        <v>2.21265E-2</v>
      </c>
      <c r="AP366">
        <v>-61.5291</v>
      </c>
      <c r="AQ366">
        <v>-61.5291</v>
      </c>
      <c r="AR366">
        <v>-82.9422</v>
      </c>
      <c r="AS366">
        <v>-82.9422</v>
      </c>
      <c r="AT366">
        <v>0</v>
      </c>
      <c r="AU366">
        <v>0</v>
      </c>
      <c r="AV366">
        <v>0</v>
      </c>
      <c r="AW366">
        <v>180</v>
      </c>
      <c r="AY366">
        <v>0.91735</v>
      </c>
      <c r="AZ366">
        <v>1.8756999999999999E-3</v>
      </c>
      <c r="BA366">
        <v>1.8756999999999999E-3</v>
      </c>
      <c r="BB366">
        <v>0.99796220000000002</v>
      </c>
      <c r="BC366">
        <v>0.99796220000000002</v>
      </c>
      <c r="BD366">
        <v>1.6210000000000001E-4</v>
      </c>
      <c r="BE366">
        <v>1.6210000000000001E-4</v>
      </c>
      <c r="BF366">
        <v>111.1871</v>
      </c>
      <c r="BG366">
        <v>111.1871</v>
      </c>
      <c r="BH366">
        <v>84.400199999999998</v>
      </c>
      <c r="BI366">
        <v>84.400199999999998</v>
      </c>
      <c r="BJ366">
        <v>0</v>
      </c>
      <c r="BK366">
        <v>0</v>
      </c>
      <c r="BL366">
        <v>0</v>
      </c>
      <c r="BM366">
        <v>180</v>
      </c>
      <c r="BP366">
        <v>0.91735</v>
      </c>
      <c r="BQ366">
        <v>0.89512689999999995</v>
      </c>
      <c r="BR366">
        <v>0.89512689999999995</v>
      </c>
      <c r="BS366">
        <v>0</v>
      </c>
      <c r="BT366">
        <v>0</v>
      </c>
      <c r="BU366">
        <v>0.1048731</v>
      </c>
      <c r="BV366">
        <v>0.1048731</v>
      </c>
      <c r="BW366">
        <v>-50.382399999999997</v>
      </c>
      <c r="BX366">
        <v>-50.382399999999997</v>
      </c>
      <c r="BY366">
        <v>166.44990000000001</v>
      </c>
      <c r="BZ366">
        <v>166.44990000000001</v>
      </c>
      <c r="CA366">
        <v>0</v>
      </c>
      <c r="CB366">
        <v>0</v>
      </c>
      <c r="CC366">
        <v>0</v>
      </c>
      <c r="CD366">
        <v>180</v>
      </c>
    </row>
    <row r="367" spans="19:82">
      <c r="S367">
        <v>0.91869999999999996</v>
      </c>
      <c r="T367">
        <v>0.98297670000000004</v>
      </c>
      <c r="U367">
        <v>0.98297670000000004</v>
      </c>
      <c r="V367">
        <v>1.3E-6</v>
      </c>
      <c r="W367">
        <v>1.3E-6</v>
      </c>
      <c r="X367">
        <v>1.7021999999999999E-2</v>
      </c>
      <c r="Y367">
        <v>1.7021999999999999E-2</v>
      </c>
      <c r="Z367">
        <v>-75.101100000000002</v>
      </c>
      <c r="AA367">
        <v>-75.101100000000002</v>
      </c>
      <c r="AB367">
        <v>-108.6041</v>
      </c>
      <c r="AC367">
        <v>-108.6041</v>
      </c>
      <c r="AD367">
        <v>0</v>
      </c>
      <c r="AE367">
        <v>0</v>
      </c>
      <c r="AF367">
        <v>0</v>
      </c>
      <c r="AG367">
        <v>180</v>
      </c>
      <c r="AI367">
        <v>0.91869999999999996</v>
      </c>
      <c r="AJ367">
        <v>0.97782170000000002</v>
      </c>
      <c r="AK367">
        <v>0.97782170000000002</v>
      </c>
      <c r="AL367">
        <v>1.9999999999999999E-6</v>
      </c>
      <c r="AM367">
        <v>1.9999999999999999E-6</v>
      </c>
      <c r="AN367">
        <v>2.2176299999999999E-2</v>
      </c>
      <c r="AO367">
        <v>2.2176299999999999E-2</v>
      </c>
      <c r="AP367">
        <v>-61.315199999999997</v>
      </c>
      <c r="AQ367">
        <v>-61.315199999999997</v>
      </c>
      <c r="AR367">
        <v>-82.553600000000003</v>
      </c>
      <c r="AS367">
        <v>-82.553600000000003</v>
      </c>
      <c r="AT367">
        <v>0</v>
      </c>
      <c r="AU367">
        <v>0</v>
      </c>
      <c r="AV367">
        <v>0</v>
      </c>
      <c r="AW367">
        <v>180</v>
      </c>
      <c r="AY367">
        <v>0.91869999999999996</v>
      </c>
      <c r="AZ367">
        <v>1.9513E-3</v>
      </c>
      <c r="BA367">
        <v>1.9513E-3</v>
      </c>
      <c r="BB367">
        <v>0.99788710000000003</v>
      </c>
      <c r="BC367">
        <v>0.99788710000000003</v>
      </c>
      <c r="BD367">
        <v>1.616E-4</v>
      </c>
      <c r="BE367">
        <v>1.616E-4</v>
      </c>
      <c r="BF367">
        <v>111.5698</v>
      </c>
      <c r="BG367">
        <v>111.5698</v>
      </c>
      <c r="BH367">
        <v>83.668899999999994</v>
      </c>
      <c r="BI367">
        <v>83.668899999999994</v>
      </c>
      <c r="BJ367">
        <v>0</v>
      </c>
      <c r="BK367">
        <v>0</v>
      </c>
      <c r="BL367">
        <v>0</v>
      </c>
      <c r="BM367">
        <v>180</v>
      </c>
      <c r="BP367">
        <v>0.91869999999999996</v>
      </c>
      <c r="BQ367">
        <v>0.89589379999999996</v>
      </c>
      <c r="BR367">
        <v>0.89589379999999996</v>
      </c>
      <c r="BS367">
        <v>0</v>
      </c>
      <c r="BT367">
        <v>0</v>
      </c>
      <c r="BU367">
        <v>0.10410609999999999</v>
      </c>
      <c r="BV367">
        <v>0.10410609999999999</v>
      </c>
      <c r="BW367">
        <v>-49.783799999999999</v>
      </c>
      <c r="BX367">
        <v>-49.783799999999999</v>
      </c>
      <c r="BY367">
        <v>166.47829999999999</v>
      </c>
      <c r="BZ367">
        <v>166.47829999999999</v>
      </c>
      <c r="CA367">
        <v>0</v>
      </c>
      <c r="CB367">
        <v>0</v>
      </c>
      <c r="CC367">
        <v>0</v>
      </c>
      <c r="CD367">
        <v>180</v>
      </c>
    </row>
    <row r="368" spans="19:82">
      <c r="S368">
        <v>0.92005000000000003</v>
      </c>
      <c r="T368">
        <v>0.98293770000000003</v>
      </c>
      <c r="U368">
        <v>0.98293770000000003</v>
      </c>
      <c r="V368">
        <v>1.3E-6</v>
      </c>
      <c r="W368">
        <v>1.3E-6</v>
      </c>
      <c r="X368">
        <v>1.7061E-2</v>
      </c>
      <c r="Y368">
        <v>1.7061E-2</v>
      </c>
      <c r="Z368">
        <v>-74.917000000000002</v>
      </c>
      <c r="AA368">
        <v>-74.917000000000002</v>
      </c>
      <c r="AB368">
        <v>-108.279</v>
      </c>
      <c r="AC368">
        <v>-108.279</v>
      </c>
      <c r="AD368">
        <v>0</v>
      </c>
      <c r="AE368">
        <v>0</v>
      </c>
      <c r="AF368">
        <v>0</v>
      </c>
      <c r="AG368">
        <v>180</v>
      </c>
      <c r="AI368">
        <v>0.92005000000000003</v>
      </c>
      <c r="AJ368">
        <v>0.97777199999999997</v>
      </c>
      <c r="AK368">
        <v>0.97777199999999997</v>
      </c>
      <c r="AL368">
        <v>1.9999999999999999E-6</v>
      </c>
      <c r="AM368">
        <v>1.9999999999999999E-6</v>
      </c>
      <c r="AN368">
        <v>2.2225999999999999E-2</v>
      </c>
      <c r="AO368">
        <v>2.2225999999999999E-2</v>
      </c>
      <c r="AP368">
        <v>-61.101199999999999</v>
      </c>
      <c r="AQ368">
        <v>-61.101199999999999</v>
      </c>
      <c r="AR368">
        <v>-82.164599999999993</v>
      </c>
      <c r="AS368">
        <v>-82.164599999999993</v>
      </c>
      <c r="AT368">
        <v>0</v>
      </c>
      <c r="AU368">
        <v>0</v>
      </c>
      <c r="AV368">
        <v>0</v>
      </c>
      <c r="AW368">
        <v>180</v>
      </c>
      <c r="AY368">
        <v>0.92005000000000003</v>
      </c>
      <c r="AZ368">
        <v>2.0298E-3</v>
      </c>
      <c r="BA368">
        <v>2.0298E-3</v>
      </c>
      <c r="BB368">
        <v>0.9978091</v>
      </c>
      <c r="BC368">
        <v>0.9978091</v>
      </c>
      <c r="BD368">
        <v>1.6110000000000001E-4</v>
      </c>
      <c r="BE368">
        <v>1.6110000000000001E-4</v>
      </c>
      <c r="BF368">
        <v>111.9513</v>
      </c>
      <c r="BG368">
        <v>111.9513</v>
      </c>
      <c r="BH368">
        <v>82.973600000000005</v>
      </c>
      <c r="BI368">
        <v>82.973600000000005</v>
      </c>
      <c r="BJ368">
        <v>0</v>
      </c>
      <c r="BK368">
        <v>0</v>
      </c>
      <c r="BL368">
        <v>0</v>
      </c>
      <c r="BM368">
        <v>180</v>
      </c>
      <c r="BP368">
        <v>0.92005000000000003</v>
      </c>
      <c r="BQ368">
        <v>0.8966556</v>
      </c>
      <c r="BR368">
        <v>0.8966556</v>
      </c>
      <c r="BS368">
        <v>0</v>
      </c>
      <c r="BT368">
        <v>0</v>
      </c>
      <c r="BU368">
        <v>0.1033444</v>
      </c>
      <c r="BV368">
        <v>0.1033444</v>
      </c>
      <c r="BW368">
        <v>-49.186999999999998</v>
      </c>
      <c r="BX368">
        <v>-49.186999999999998</v>
      </c>
      <c r="BY368">
        <v>166.50659999999999</v>
      </c>
      <c r="BZ368">
        <v>166.50659999999999</v>
      </c>
      <c r="CA368">
        <v>0</v>
      </c>
      <c r="CB368">
        <v>0</v>
      </c>
      <c r="CC368">
        <v>0</v>
      </c>
      <c r="CD368">
        <v>180</v>
      </c>
    </row>
    <row r="369" spans="19:82">
      <c r="S369">
        <v>0.9214</v>
      </c>
      <c r="T369">
        <v>0.98289859999999996</v>
      </c>
      <c r="U369">
        <v>0.98289859999999996</v>
      </c>
      <c r="V369">
        <v>1.3E-6</v>
      </c>
      <c r="W369">
        <v>1.3E-6</v>
      </c>
      <c r="X369">
        <v>1.71001E-2</v>
      </c>
      <c r="Y369">
        <v>1.71001E-2</v>
      </c>
      <c r="Z369">
        <v>-74.732799999999997</v>
      </c>
      <c r="AA369">
        <v>-74.732799999999997</v>
      </c>
      <c r="AB369">
        <v>-107.95350000000001</v>
      </c>
      <c r="AC369">
        <v>-107.95350000000001</v>
      </c>
      <c r="AD369">
        <v>0</v>
      </c>
      <c r="AE369">
        <v>0</v>
      </c>
      <c r="AF369">
        <v>0</v>
      </c>
      <c r="AG369">
        <v>180</v>
      </c>
      <c r="AI369">
        <v>0.9214</v>
      </c>
      <c r="AJ369">
        <v>0.97772239999999999</v>
      </c>
      <c r="AK369">
        <v>0.97772239999999999</v>
      </c>
      <c r="AL369">
        <v>1.9999999999999999E-6</v>
      </c>
      <c r="AM369">
        <v>1.9999999999999999E-6</v>
      </c>
      <c r="AN369">
        <v>2.22756E-2</v>
      </c>
      <c r="AO369">
        <v>2.22756E-2</v>
      </c>
      <c r="AP369">
        <v>-60.887099999999997</v>
      </c>
      <c r="AQ369">
        <v>-60.887099999999997</v>
      </c>
      <c r="AR369">
        <v>-81.775099999999995</v>
      </c>
      <c r="AS369">
        <v>-81.775099999999995</v>
      </c>
      <c r="AT369">
        <v>0</v>
      </c>
      <c r="AU369">
        <v>0</v>
      </c>
      <c r="AV369">
        <v>0</v>
      </c>
      <c r="AW369">
        <v>180</v>
      </c>
      <c r="AY369">
        <v>0.9214</v>
      </c>
      <c r="AZ369">
        <v>2.111E-3</v>
      </c>
      <c r="BA369">
        <v>2.111E-3</v>
      </c>
      <c r="BB369">
        <v>0.99772839999999996</v>
      </c>
      <c r="BC369">
        <v>0.99772839999999996</v>
      </c>
      <c r="BD369">
        <v>1.606E-4</v>
      </c>
      <c r="BE369">
        <v>1.606E-4</v>
      </c>
      <c r="BF369">
        <v>112.3319</v>
      </c>
      <c r="BG369">
        <v>112.3319</v>
      </c>
      <c r="BH369">
        <v>82.313000000000002</v>
      </c>
      <c r="BI369">
        <v>82.313000000000002</v>
      </c>
      <c r="BJ369">
        <v>0</v>
      </c>
      <c r="BK369">
        <v>0</v>
      </c>
      <c r="BL369">
        <v>0</v>
      </c>
      <c r="BM369">
        <v>180</v>
      </c>
      <c r="BP369">
        <v>0.9214</v>
      </c>
      <c r="BQ369">
        <v>0.89741219999999999</v>
      </c>
      <c r="BR369">
        <v>0.89741219999999999</v>
      </c>
      <c r="BS369">
        <v>0</v>
      </c>
      <c r="BT369">
        <v>0</v>
      </c>
      <c r="BU369">
        <v>0.10258780000000001</v>
      </c>
      <c r="BV369">
        <v>0.10258780000000001</v>
      </c>
      <c r="BW369">
        <v>-48.591999999999999</v>
      </c>
      <c r="BX369">
        <v>-48.591999999999999</v>
      </c>
      <c r="BY369">
        <v>166.53479999999999</v>
      </c>
      <c r="BZ369">
        <v>166.53479999999999</v>
      </c>
      <c r="CA369">
        <v>0</v>
      </c>
      <c r="CB369">
        <v>0</v>
      </c>
      <c r="CC369">
        <v>0</v>
      </c>
      <c r="CD369">
        <v>180</v>
      </c>
    </row>
    <row r="370" spans="19:82">
      <c r="S370">
        <v>0.92274999999999996</v>
      </c>
      <c r="T370">
        <v>0.98285940000000005</v>
      </c>
      <c r="U370">
        <v>0.98285940000000005</v>
      </c>
      <c r="V370">
        <v>1.3E-6</v>
      </c>
      <c r="W370">
        <v>1.3E-6</v>
      </c>
      <c r="X370">
        <v>1.71393E-2</v>
      </c>
      <c r="Y370">
        <v>1.71393E-2</v>
      </c>
      <c r="Z370">
        <v>-74.548400000000001</v>
      </c>
      <c r="AA370">
        <v>-74.548400000000001</v>
      </c>
      <c r="AB370">
        <v>-107.6276</v>
      </c>
      <c r="AC370">
        <v>-107.6276</v>
      </c>
      <c r="AD370">
        <v>0</v>
      </c>
      <c r="AE370">
        <v>0</v>
      </c>
      <c r="AF370">
        <v>0</v>
      </c>
      <c r="AG370">
        <v>180</v>
      </c>
      <c r="AI370">
        <v>0.92274999999999996</v>
      </c>
      <c r="AJ370">
        <v>0.97767289999999996</v>
      </c>
      <c r="AK370">
        <v>0.97767289999999996</v>
      </c>
      <c r="AL370">
        <v>1.9999999999999999E-6</v>
      </c>
      <c r="AM370">
        <v>1.9999999999999999E-6</v>
      </c>
      <c r="AN370">
        <v>2.23251E-2</v>
      </c>
      <c r="AO370">
        <v>2.23251E-2</v>
      </c>
      <c r="AP370">
        <v>-60.672699999999999</v>
      </c>
      <c r="AQ370">
        <v>-60.672699999999999</v>
      </c>
      <c r="AR370">
        <v>-81.385300000000001</v>
      </c>
      <c r="AS370">
        <v>-81.385300000000001</v>
      </c>
      <c r="AT370">
        <v>0</v>
      </c>
      <c r="AU370">
        <v>0</v>
      </c>
      <c r="AV370">
        <v>0</v>
      </c>
      <c r="AW370">
        <v>180</v>
      </c>
      <c r="AY370">
        <v>0.92274999999999996</v>
      </c>
      <c r="AZ370">
        <v>2.1951000000000002E-3</v>
      </c>
      <c r="BA370">
        <v>2.1951000000000002E-3</v>
      </c>
      <c r="BB370">
        <v>0.99764470000000005</v>
      </c>
      <c r="BC370">
        <v>0.99764470000000005</v>
      </c>
      <c r="BD370">
        <v>1.6009999999999999E-4</v>
      </c>
      <c r="BE370">
        <v>1.6009999999999999E-4</v>
      </c>
      <c r="BF370">
        <v>112.71129999999999</v>
      </c>
      <c r="BG370">
        <v>112.71129999999999</v>
      </c>
      <c r="BH370">
        <v>81.685699999999997</v>
      </c>
      <c r="BI370">
        <v>81.685699999999997</v>
      </c>
      <c r="BJ370">
        <v>0</v>
      </c>
      <c r="BK370">
        <v>0</v>
      </c>
      <c r="BL370">
        <v>0</v>
      </c>
      <c r="BM370">
        <v>180</v>
      </c>
      <c r="BP370">
        <v>0.92274999999999996</v>
      </c>
      <c r="BQ370">
        <v>0.89816370000000001</v>
      </c>
      <c r="BR370">
        <v>0.89816370000000001</v>
      </c>
      <c r="BS370">
        <v>0</v>
      </c>
      <c r="BT370">
        <v>0</v>
      </c>
      <c r="BU370">
        <v>0.1018363</v>
      </c>
      <c r="BV370">
        <v>0.1018363</v>
      </c>
      <c r="BW370">
        <v>-47.998800000000003</v>
      </c>
      <c r="BX370">
        <v>-47.998800000000003</v>
      </c>
      <c r="BY370">
        <v>166.56290000000001</v>
      </c>
      <c r="BZ370">
        <v>166.56290000000001</v>
      </c>
      <c r="CA370">
        <v>0</v>
      </c>
      <c r="CB370">
        <v>0</v>
      </c>
      <c r="CC370">
        <v>0</v>
      </c>
      <c r="CD370">
        <v>180</v>
      </c>
    </row>
    <row r="371" spans="19:82">
      <c r="S371">
        <v>0.92410000000000003</v>
      </c>
      <c r="T371">
        <v>0.98282009999999997</v>
      </c>
      <c r="U371">
        <v>0.98282009999999997</v>
      </c>
      <c r="V371">
        <v>1.3E-6</v>
      </c>
      <c r="W371">
        <v>1.3E-6</v>
      </c>
      <c r="X371">
        <v>1.7178599999999999E-2</v>
      </c>
      <c r="Y371">
        <v>1.7178599999999999E-2</v>
      </c>
      <c r="Z371">
        <v>-74.363900000000001</v>
      </c>
      <c r="AA371">
        <v>-74.363900000000001</v>
      </c>
      <c r="AB371">
        <v>-107.3013</v>
      </c>
      <c r="AC371">
        <v>-107.3013</v>
      </c>
      <c r="AD371">
        <v>0</v>
      </c>
      <c r="AE371">
        <v>0</v>
      </c>
      <c r="AF371">
        <v>0</v>
      </c>
      <c r="AG371">
        <v>180</v>
      </c>
      <c r="AI371">
        <v>0.92410000000000003</v>
      </c>
      <c r="AJ371">
        <v>0.97762349999999998</v>
      </c>
      <c r="AK371">
        <v>0.97762349999999998</v>
      </c>
      <c r="AL371">
        <v>1.9999999999999999E-6</v>
      </c>
      <c r="AM371">
        <v>1.9999999999999999E-6</v>
      </c>
      <c r="AN371">
        <v>2.2374499999999999E-2</v>
      </c>
      <c r="AO371">
        <v>2.2374499999999999E-2</v>
      </c>
      <c r="AP371">
        <v>-60.458300000000001</v>
      </c>
      <c r="AQ371">
        <v>-60.458300000000001</v>
      </c>
      <c r="AR371">
        <v>-80.995000000000005</v>
      </c>
      <c r="AS371">
        <v>-80.995000000000005</v>
      </c>
      <c r="AT371">
        <v>0</v>
      </c>
      <c r="AU371">
        <v>0</v>
      </c>
      <c r="AV371">
        <v>0</v>
      </c>
      <c r="AW371">
        <v>180</v>
      </c>
      <c r="AY371">
        <v>0.92410000000000003</v>
      </c>
      <c r="AZ371">
        <v>2.2821E-3</v>
      </c>
      <c r="BA371">
        <v>2.2821E-3</v>
      </c>
      <c r="BB371">
        <v>0.99755830000000001</v>
      </c>
      <c r="BC371">
        <v>0.99755830000000001</v>
      </c>
      <c r="BD371">
        <v>1.5970000000000001E-4</v>
      </c>
      <c r="BE371">
        <v>1.5970000000000001E-4</v>
      </c>
      <c r="BF371">
        <v>113.0898</v>
      </c>
      <c r="BG371">
        <v>113.0898</v>
      </c>
      <c r="BH371">
        <v>81.090299999999999</v>
      </c>
      <c r="BI371">
        <v>81.090299999999999</v>
      </c>
      <c r="BJ371">
        <v>0</v>
      </c>
      <c r="BK371">
        <v>0</v>
      </c>
      <c r="BL371">
        <v>0</v>
      </c>
      <c r="BM371">
        <v>180</v>
      </c>
      <c r="BP371">
        <v>0.92410000000000003</v>
      </c>
      <c r="BQ371">
        <v>0.89891010000000005</v>
      </c>
      <c r="BR371">
        <v>0.89891010000000005</v>
      </c>
      <c r="BS371">
        <v>0</v>
      </c>
      <c r="BT371">
        <v>0</v>
      </c>
      <c r="BU371">
        <v>0.1010899</v>
      </c>
      <c r="BV371">
        <v>0.1010899</v>
      </c>
      <c r="BW371">
        <v>-47.407499999999999</v>
      </c>
      <c r="BX371">
        <v>-47.407499999999999</v>
      </c>
      <c r="BY371">
        <v>166.5909</v>
      </c>
      <c r="BZ371">
        <v>166.5909</v>
      </c>
      <c r="CA371">
        <v>0</v>
      </c>
      <c r="CB371">
        <v>0</v>
      </c>
      <c r="CC371">
        <v>0</v>
      </c>
      <c r="CD371">
        <v>180</v>
      </c>
    </row>
    <row r="372" spans="19:82">
      <c r="S372">
        <v>0.92544999999999999</v>
      </c>
      <c r="T372">
        <v>0.98278080000000001</v>
      </c>
      <c r="U372">
        <v>0.98278080000000001</v>
      </c>
      <c r="V372">
        <v>1.3E-6</v>
      </c>
      <c r="W372">
        <v>1.3E-6</v>
      </c>
      <c r="X372">
        <v>1.7217900000000001E-2</v>
      </c>
      <c r="Y372">
        <v>1.7217900000000001E-2</v>
      </c>
      <c r="Z372">
        <v>-74.179299999999998</v>
      </c>
      <c r="AA372">
        <v>-74.179299999999998</v>
      </c>
      <c r="AB372">
        <v>-106.9746</v>
      </c>
      <c r="AC372">
        <v>-106.9746</v>
      </c>
      <c r="AD372">
        <v>0</v>
      </c>
      <c r="AE372">
        <v>0</v>
      </c>
      <c r="AF372">
        <v>0</v>
      </c>
      <c r="AG372">
        <v>180</v>
      </c>
      <c r="AI372">
        <v>0.92544999999999999</v>
      </c>
      <c r="AJ372">
        <v>0.97757419999999995</v>
      </c>
      <c r="AK372">
        <v>0.97757419999999995</v>
      </c>
      <c r="AL372">
        <v>1.9999999999999999E-6</v>
      </c>
      <c r="AM372">
        <v>1.9999999999999999E-6</v>
      </c>
      <c r="AN372">
        <v>2.2423700000000001E-2</v>
      </c>
      <c r="AO372">
        <v>2.2423700000000001E-2</v>
      </c>
      <c r="AP372">
        <v>-60.243699999999997</v>
      </c>
      <c r="AQ372">
        <v>-60.243699999999997</v>
      </c>
      <c r="AR372">
        <v>-80.604299999999995</v>
      </c>
      <c r="AS372">
        <v>-80.604299999999995</v>
      </c>
      <c r="AT372">
        <v>0</v>
      </c>
      <c r="AU372">
        <v>0</v>
      </c>
      <c r="AV372">
        <v>0</v>
      </c>
      <c r="AW372">
        <v>180</v>
      </c>
      <c r="AY372">
        <v>0.92544999999999999</v>
      </c>
      <c r="AZ372">
        <v>2.3719000000000001E-3</v>
      </c>
      <c r="BA372">
        <v>2.3719000000000001E-3</v>
      </c>
      <c r="BB372">
        <v>0.99746889999999999</v>
      </c>
      <c r="BC372">
        <v>0.99746889999999999</v>
      </c>
      <c r="BD372">
        <v>1.5919999999999999E-4</v>
      </c>
      <c r="BE372">
        <v>1.5919999999999999E-4</v>
      </c>
      <c r="BF372">
        <v>113.4671</v>
      </c>
      <c r="BG372">
        <v>113.4671</v>
      </c>
      <c r="BH372">
        <v>80.525499999999994</v>
      </c>
      <c r="BI372">
        <v>80.525499999999994</v>
      </c>
      <c r="BJ372">
        <v>0</v>
      </c>
      <c r="BK372">
        <v>0</v>
      </c>
      <c r="BL372">
        <v>0</v>
      </c>
      <c r="BM372">
        <v>180</v>
      </c>
      <c r="BP372">
        <v>0.92544999999999999</v>
      </c>
      <c r="BQ372">
        <v>0.89965150000000005</v>
      </c>
      <c r="BR372">
        <v>0.89965150000000005</v>
      </c>
      <c r="BS372">
        <v>0</v>
      </c>
      <c r="BT372">
        <v>0</v>
      </c>
      <c r="BU372">
        <v>0.10034849999999999</v>
      </c>
      <c r="BV372">
        <v>0.10034849999999999</v>
      </c>
      <c r="BW372">
        <v>-46.817999999999998</v>
      </c>
      <c r="BX372">
        <v>-46.817999999999998</v>
      </c>
      <c r="BY372">
        <v>166.6189</v>
      </c>
      <c r="BZ372">
        <v>166.6189</v>
      </c>
      <c r="CA372">
        <v>0</v>
      </c>
      <c r="CB372">
        <v>0</v>
      </c>
      <c r="CC372">
        <v>0</v>
      </c>
      <c r="CD372">
        <v>180</v>
      </c>
    </row>
    <row r="373" spans="19:82">
      <c r="S373">
        <v>0.92679999999999996</v>
      </c>
      <c r="T373">
        <v>0.98274130000000004</v>
      </c>
      <c r="U373">
        <v>0.98274130000000004</v>
      </c>
      <c r="V373">
        <v>1.3E-6</v>
      </c>
      <c r="W373">
        <v>1.3E-6</v>
      </c>
      <c r="X373">
        <v>1.7257399999999999E-2</v>
      </c>
      <c r="Y373">
        <v>1.7257399999999999E-2</v>
      </c>
      <c r="Z373">
        <v>-73.994500000000002</v>
      </c>
      <c r="AA373">
        <v>-73.994500000000002</v>
      </c>
      <c r="AB373">
        <v>-106.64749999999999</v>
      </c>
      <c r="AC373">
        <v>-106.64749999999999</v>
      </c>
      <c r="AD373">
        <v>0</v>
      </c>
      <c r="AE373">
        <v>0</v>
      </c>
      <c r="AF373">
        <v>0</v>
      </c>
      <c r="AG373">
        <v>180</v>
      </c>
      <c r="AI373">
        <v>0.92679999999999996</v>
      </c>
      <c r="AJ373">
        <v>0.97752510000000004</v>
      </c>
      <c r="AK373">
        <v>0.97752510000000004</v>
      </c>
      <c r="AL373">
        <v>1.9999999999999999E-6</v>
      </c>
      <c r="AM373">
        <v>1.9999999999999999E-6</v>
      </c>
      <c r="AN373">
        <v>2.2472900000000001E-2</v>
      </c>
      <c r="AO373">
        <v>2.2472900000000001E-2</v>
      </c>
      <c r="AP373">
        <v>-60.029000000000003</v>
      </c>
      <c r="AQ373">
        <v>-60.029000000000003</v>
      </c>
      <c r="AR373">
        <v>-80.213200000000001</v>
      </c>
      <c r="AS373">
        <v>-80.213200000000001</v>
      </c>
      <c r="AT373">
        <v>0</v>
      </c>
      <c r="AU373">
        <v>0</v>
      </c>
      <c r="AV373">
        <v>0</v>
      </c>
      <c r="AW373">
        <v>180</v>
      </c>
      <c r="AY373">
        <v>0.92679999999999996</v>
      </c>
      <c r="AZ373">
        <v>2.4646E-3</v>
      </c>
      <c r="BA373">
        <v>2.4646E-3</v>
      </c>
      <c r="BB373">
        <v>0.9973767</v>
      </c>
      <c r="BC373">
        <v>0.9973767</v>
      </c>
      <c r="BD373">
        <v>1.5870000000000001E-4</v>
      </c>
      <c r="BE373">
        <v>1.5870000000000001E-4</v>
      </c>
      <c r="BF373">
        <v>113.84350000000001</v>
      </c>
      <c r="BG373">
        <v>113.84350000000001</v>
      </c>
      <c r="BH373">
        <v>79.990099999999998</v>
      </c>
      <c r="BI373">
        <v>79.990099999999998</v>
      </c>
      <c r="BJ373">
        <v>0</v>
      </c>
      <c r="BK373">
        <v>0</v>
      </c>
      <c r="BL373">
        <v>0</v>
      </c>
      <c r="BM373">
        <v>180</v>
      </c>
      <c r="BP373">
        <v>0.92679999999999996</v>
      </c>
      <c r="BQ373">
        <v>0.90038790000000002</v>
      </c>
      <c r="BR373">
        <v>0.90038790000000002</v>
      </c>
      <c r="BS373">
        <v>0</v>
      </c>
      <c r="BT373">
        <v>0</v>
      </c>
      <c r="BU373">
        <v>9.9612099999999995E-2</v>
      </c>
      <c r="BV373">
        <v>9.9612099999999995E-2</v>
      </c>
      <c r="BW373">
        <v>-46.230200000000004</v>
      </c>
      <c r="BX373">
        <v>-46.230200000000004</v>
      </c>
      <c r="BY373">
        <v>166.64680000000001</v>
      </c>
      <c r="BZ373">
        <v>166.64680000000001</v>
      </c>
      <c r="CA373">
        <v>0</v>
      </c>
      <c r="CB373">
        <v>0</v>
      </c>
      <c r="CC373">
        <v>0</v>
      </c>
      <c r="CD373">
        <v>180</v>
      </c>
    </row>
    <row r="374" spans="19:82">
      <c r="S374">
        <v>0.92815000000000003</v>
      </c>
      <c r="T374">
        <v>0.98270170000000001</v>
      </c>
      <c r="U374">
        <v>0.98270170000000001</v>
      </c>
      <c r="V374">
        <v>1.3E-6</v>
      </c>
      <c r="W374">
        <v>1.3E-6</v>
      </c>
      <c r="X374">
        <v>1.7297E-2</v>
      </c>
      <c r="Y374">
        <v>1.7297E-2</v>
      </c>
      <c r="Z374">
        <v>-73.809700000000007</v>
      </c>
      <c r="AA374">
        <v>-73.809700000000007</v>
      </c>
      <c r="AB374">
        <v>-106.3201</v>
      </c>
      <c r="AC374">
        <v>-106.3201</v>
      </c>
      <c r="AD374">
        <v>0</v>
      </c>
      <c r="AE374">
        <v>0</v>
      </c>
      <c r="AF374">
        <v>0</v>
      </c>
      <c r="AG374">
        <v>180</v>
      </c>
      <c r="AI374">
        <v>0.92815000000000003</v>
      </c>
      <c r="AJ374">
        <v>0.97747600000000001</v>
      </c>
      <c r="AK374">
        <v>0.97747600000000001</v>
      </c>
      <c r="AL374">
        <v>1.9999999999999999E-6</v>
      </c>
      <c r="AM374">
        <v>1.9999999999999999E-6</v>
      </c>
      <c r="AN374">
        <v>2.2521900000000001E-2</v>
      </c>
      <c r="AO374">
        <v>2.2521900000000001E-2</v>
      </c>
      <c r="AP374">
        <v>-59.814100000000003</v>
      </c>
      <c r="AQ374">
        <v>-59.814100000000003</v>
      </c>
      <c r="AR374">
        <v>-79.821799999999996</v>
      </c>
      <c r="AS374">
        <v>-79.821799999999996</v>
      </c>
      <c r="AT374">
        <v>0</v>
      </c>
      <c r="AU374">
        <v>0</v>
      </c>
      <c r="AV374">
        <v>0</v>
      </c>
      <c r="AW374">
        <v>180</v>
      </c>
      <c r="AY374">
        <v>0.92815000000000003</v>
      </c>
      <c r="AZ374">
        <v>2.5601999999999999E-3</v>
      </c>
      <c r="BA374">
        <v>2.5601999999999999E-3</v>
      </c>
      <c r="BB374">
        <v>0.99728150000000004</v>
      </c>
      <c r="BC374">
        <v>0.99728150000000004</v>
      </c>
      <c r="BD374">
        <v>1.583E-4</v>
      </c>
      <c r="BE374">
        <v>1.583E-4</v>
      </c>
      <c r="BF374">
        <v>114.2187</v>
      </c>
      <c r="BG374">
        <v>114.2187</v>
      </c>
      <c r="BH374">
        <v>79.482799999999997</v>
      </c>
      <c r="BI374">
        <v>79.482799999999997</v>
      </c>
      <c r="BJ374">
        <v>0</v>
      </c>
      <c r="BK374">
        <v>0</v>
      </c>
      <c r="BL374">
        <v>0</v>
      </c>
      <c r="BM374">
        <v>180</v>
      </c>
      <c r="BP374">
        <v>0.92815000000000003</v>
      </c>
      <c r="BQ374">
        <v>0.90111929999999996</v>
      </c>
      <c r="BR374">
        <v>0.90111929999999996</v>
      </c>
      <c r="BS374">
        <v>0</v>
      </c>
      <c r="BT374">
        <v>0</v>
      </c>
      <c r="BU374">
        <v>9.8880700000000002E-2</v>
      </c>
      <c r="BV374">
        <v>9.8880700000000002E-2</v>
      </c>
      <c r="BW374">
        <v>-45.644300000000001</v>
      </c>
      <c r="BX374">
        <v>-45.644300000000001</v>
      </c>
      <c r="BY374">
        <v>166.6746</v>
      </c>
      <c r="BZ374">
        <v>166.6746</v>
      </c>
      <c r="CA374">
        <v>0</v>
      </c>
      <c r="CB374">
        <v>0</v>
      </c>
      <c r="CC374">
        <v>0</v>
      </c>
      <c r="CD374">
        <v>180</v>
      </c>
    </row>
    <row r="375" spans="19:82">
      <c r="S375">
        <v>0.92949999999999999</v>
      </c>
      <c r="T375">
        <v>0.98266209999999998</v>
      </c>
      <c r="U375">
        <v>0.98266209999999998</v>
      </c>
      <c r="V375">
        <v>1.3E-6</v>
      </c>
      <c r="W375">
        <v>1.3E-6</v>
      </c>
      <c r="X375">
        <v>1.7336600000000001E-2</v>
      </c>
      <c r="Y375">
        <v>1.7336600000000001E-2</v>
      </c>
      <c r="Z375">
        <v>-73.624600000000001</v>
      </c>
      <c r="AA375">
        <v>-73.624600000000001</v>
      </c>
      <c r="AB375">
        <v>-105.9922</v>
      </c>
      <c r="AC375">
        <v>-105.9922</v>
      </c>
      <c r="AD375">
        <v>0</v>
      </c>
      <c r="AE375">
        <v>0</v>
      </c>
      <c r="AF375">
        <v>0</v>
      </c>
      <c r="AG375">
        <v>180</v>
      </c>
      <c r="AI375">
        <v>0.92949999999999999</v>
      </c>
      <c r="AJ375">
        <v>0.97742709999999999</v>
      </c>
      <c r="AK375">
        <v>0.97742709999999999</v>
      </c>
      <c r="AL375">
        <v>1.9999999999999999E-6</v>
      </c>
      <c r="AM375">
        <v>1.9999999999999999E-6</v>
      </c>
      <c r="AN375">
        <v>2.2570799999999999E-2</v>
      </c>
      <c r="AO375">
        <v>2.2570799999999999E-2</v>
      </c>
      <c r="AP375">
        <v>-59.5991</v>
      </c>
      <c r="AQ375">
        <v>-59.5991</v>
      </c>
      <c r="AR375">
        <v>-79.429900000000004</v>
      </c>
      <c r="AS375">
        <v>-79.429900000000004</v>
      </c>
      <c r="AT375">
        <v>0</v>
      </c>
      <c r="AU375">
        <v>0</v>
      </c>
      <c r="AV375">
        <v>0</v>
      </c>
      <c r="AW375">
        <v>180</v>
      </c>
      <c r="AY375">
        <v>0.92949999999999999</v>
      </c>
      <c r="AZ375">
        <v>2.6587E-3</v>
      </c>
      <c r="BA375">
        <v>2.6587E-3</v>
      </c>
      <c r="BB375">
        <v>0.9971835</v>
      </c>
      <c r="BC375">
        <v>0.9971835</v>
      </c>
      <c r="BD375">
        <v>1.5779999999999999E-4</v>
      </c>
      <c r="BE375">
        <v>1.5779999999999999E-4</v>
      </c>
      <c r="BF375">
        <v>114.593</v>
      </c>
      <c r="BG375">
        <v>114.593</v>
      </c>
      <c r="BH375">
        <v>79.002499999999998</v>
      </c>
      <c r="BI375">
        <v>79.002499999999998</v>
      </c>
      <c r="BJ375">
        <v>0</v>
      </c>
      <c r="BK375">
        <v>0</v>
      </c>
      <c r="BL375">
        <v>0</v>
      </c>
      <c r="BM375">
        <v>180</v>
      </c>
      <c r="BP375">
        <v>0.92949999999999999</v>
      </c>
      <c r="BQ375">
        <v>0.90184569999999997</v>
      </c>
      <c r="BR375">
        <v>0.90184569999999997</v>
      </c>
      <c r="BS375">
        <v>0</v>
      </c>
      <c r="BT375">
        <v>0</v>
      </c>
      <c r="BU375">
        <v>9.8154199999999997E-2</v>
      </c>
      <c r="BV375">
        <v>9.8154199999999997E-2</v>
      </c>
      <c r="BW375">
        <v>-45.060200000000002</v>
      </c>
      <c r="BX375">
        <v>-45.060200000000002</v>
      </c>
      <c r="BY375">
        <v>166.70240000000001</v>
      </c>
      <c r="BZ375">
        <v>166.70240000000001</v>
      </c>
      <c r="CA375">
        <v>0</v>
      </c>
      <c r="CB375">
        <v>0</v>
      </c>
      <c r="CC375">
        <v>0</v>
      </c>
      <c r="CD375">
        <v>180</v>
      </c>
    </row>
    <row r="376" spans="19:82">
      <c r="S376">
        <v>0.93084999999999996</v>
      </c>
      <c r="T376">
        <v>0.98262240000000001</v>
      </c>
      <c r="U376">
        <v>0.98262240000000001</v>
      </c>
      <c r="V376">
        <v>1.3E-6</v>
      </c>
      <c r="W376">
        <v>1.3E-6</v>
      </c>
      <c r="X376">
        <v>1.7376300000000001E-2</v>
      </c>
      <c r="Y376">
        <v>1.7376300000000001E-2</v>
      </c>
      <c r="Z376">
        <v>-73.439499999999995</v>
      </c>
      <c r="AA376">
        <v>-73.439499999999995</v>
      </c>
      <c r="AB376">
        <v>-105.6639</v>
      </c>
      <c r="AC376">
        <v>-105.6639</v>
      </c>
      <c r="AD376">
        <v>0</v>
      </c>
      <c r="AE376">
        <v>0</v>
      </c>
      <c r="AF376">
        <v>0</v>
      </c>
      <c r="AG376">
        <v>180</v>
      </c>
      <c r="AI376">
        <v>0.93084999999999996</v>
      </c>
      <c r="AJ376">
        <v>0.97737830000000003</v>
      </c>
      <c r="AK376">
        <v>0.97737830000000003</v>
      </c>
      <c r="AL376">
        <v>1.9999999999999999E-6</v>
      </c>
      <c r="AM376">
        <v>1.9999999999999999E-6</v>
      </c>
      <c r="AN376">
        <v>2.26196E-2</v>
      </c>
      <c r="AO376">
        <v>2.26196E-2</v>
      </c>
      <c r="AP376">
        <v>-59.384</v>
      </c>
      <c r="AQ376">
        <v>-59.384</v>
      </c>
      <c r="AR376">
        <v>-79.037599999999998</v>
      </c>
      <c r="AS376">
        <v>-79.037599999999998</v>
      </c>
      <c r="AT376">
        <v>0</v>
      </c>
      <c r="AU376">
        <v>0</v>
      </c>
      <c r="AV376">
        <v>0</v>
      </c>
      <c r="AW376">
        <v>180</v>
      </c>
      <c r="AY376">
        <v>0.93084999999999996</v>
      </c>
      <c r="AZ376">
        <v>2.7602E-3</v>
      </c>
      <c r="BA376">
        <v>2.7602E-3</v>
      </c>
      <c r="BB376">
        <v>0.99708249999999998</v>
      </c>
      <c r="BC376">
        <v>0.99708249999999998</v>
      </c>
      <c r="BD376">
        <v>1.573E-4</v>
      </c>
      <c r="BE376">
        <v>1.573E-4</v>
      </c>
      <c r="BF376">
        <v>114.9662</v>
      </c>
      <c r="BG376">
        <v>114.9662</v>
      </c>
      <c r="BH376">
        <v>78.547899999999998</v>
      </c>
      <c r="BI376">
        <v>78.547899999999998</v>
      </c>
      <c r="BJ376">
        <v>0</v>
      </c>
      <c r="BK376">
        <v>0</v>
      </c>
      <c r="BL376">
        <v>0</v>
      </c>
      <c r="BM376">
        <v>180</v>
      </c>
      <c r="BP376">
        <v>0.93084999999999996</v>
      </c>
      <c r="BQ376">
        <v>0.90256729999999996</v>
      </c>
      <c r="BR376">
        <v>0.90256729999999996</v>
      </c>
      <c r="BS376">
        <v>0</v>
      </c>
      <c r="BT376">
        <v>0</v>
      </c>
      <c r="BU376">
        <v>9.7432699999999997E-2</v>
      </c>
      <c r="BV376">
        <v>9.7432699999999997E-2</v>
      </c>
      <c r="BW376">
        <v>-44.477800000000002</v>
      </c>
      <c r="BX376">
        <v>-44.477800000000002</v>
      </c>
      <c r="BY376">
        <v>166.73009999999999</v>
      </c>
      <c r="BZ376">
        <v>166.73009999999999</v>
      </c>
      <c r="CA376">
        <v>0</v>
      </c>
      <c r="CB376">
        <v>0</v>
      </c>
      <c r="CC376">
        <v>0</v>
      </c>
      <c r="CD376">
        <v>180</v>
      </c>
    </row>
    <row r="377" spans="19:82">
      <c r="S377">
        <v>0.93220000000000003</v>
      </c>
      <c r="T377">
        <v>0.98258250000000003</v>
      </c>
      <c r="U377">
        <v>0.98258250000000003</v>
      </c>
      <c r="V377">
        <v>1.3E-6</v>
      </c>
      <c r="W377">
        <v>1.3E-6</v>
      </c>
      <c r="X377">
        <v>1.74161E-2</v>
      </c>
      <c r="Y377">
        <v>1.74161E-2</v>
      </c>
      <c r="Z377">
        <v>-73.254199999999997</v>
      </c>
      <c r="AA377">
        <v>-73.254199999999997</v>
      </c>
      <c r="AB377">
        <v>-105.3352</v>
      </c>
      <c r="AC377">
        <v>-105.3352</v>
      </c>
      <c r="AD377">
        <v>0</v>
      </c>
      <c r="AE377">
        <v>0</v>
      </c>
      <c r="AF377">
        <v>0</v>
      </c>
      <c r="AG377">
        <v>180</v>
      </c>
      <c r="AI377">
        <v>0.93220000000000003</v>
      </c>
      <c r="AJ377">
        <v>0.97732969999999997</v>
      </c>
      <c r="AK377">
        <v>0.97732969999999997</v>
      </c>
      <c r="AL377">
        <v>2.0999999999999998E-6</v>
      </c>
      <c r="AM377">
        <v>2.0999999999999998E-6</v>
      </c>
      <c r="AN377">
        <v>2.2668299999999999E-2</v>
      </c>
      <c r="AO377">
        <v>2.2668299999999999E-2</v>
      </c>
      <c r="AP377">
        <v>-59.168700000000001</v>
      </c>
      <c r="AQ377">
        <v>-59.168700000000001</v>
      </c>
      <c r="AR377">
        <v>-78.644999999999996</v>
      </c>
      <c r="AS377">
        <v>-78.644999999999996</v>
      </c>
      <c r="AT377">
        <v>0</v>
      </c>
      <c r="AU377">
        <v>0</v>
      </c>
      <c r="AV377">
        <v>0</v>
      </c>
      <c r="AW377">
        <v>180</v>
      </c>
      <c r="AY377">
        <v>0.93220000000000003</v>
      </c>
      <c r="AZ377">
        <v>2.8644999999999999E-3</v>
      </c>
      <c r="BA377">
        <v>2.8644999999999999E-3</v>
      </c>
      <c r="BB377">
        <v>0.99697860000000005</v>
      </c>
      <c r="BC377">
        <v>0.99697860000000005</v>
      </c>
      <c r="BD377">
        <v>1.5679999999999999E-4</v>
      </c>
      <c r="BE377">
        <v>1.5679999999999999E-4</v>
      </c>
      <c r="BF377">
        <v>115.33839999999999</v>
      </c>
      <c r="BG377">
        <v>115.33839999999999</v>
      </c>
      <c r="BH377">
        <v>78.118099999999998</v>
      </c>
      <c r="BI377">
        <v>78.118099999999998</v>
      </c>
      <c r="BJ377">
        <v>0</v>
      </c>
      <c r="BK377">
        <v>0</v>
      </c>
      <c r="BL377">
        <v>0</v>
      </c>
      <c r="BM377">
        <v>180</v>
      </c>
      <c r="BP377">
        <v>0.93220000000000003</v>
      </c>
      <c r="BQ377">
        <v>0.90328399999999998</v>
      </c>
      <c r="BR377">
        <v>0.90328399999999998</v>
      </c>
      <c r="BS377">
        <v>0</v>
      </c>
      <c r="BT377">
        <v>0</v>
      </c>
      <c r="BU377">
        <v>9.6715999999999996E-2</v>
      </c>
      <c r="BV377">
        <v>9.6715999999999996E-2</v>
      </c>
      <c r="BW377">
        <v>-43.897199999999998</v>
      </c>
      <c r="BX377">
        <v>-43.897199999999998</v>
      </c>
      <c r="BY377">
        <v>166.7577</v>
      </c>
      <c r="BZ377">
        <v>166.7577</v>
      </c>
      <c r="CA377">
        <v>0</v>
      </c>
      <c r="CB377">
        <v>0</v>
      </c>
      <c r="CC377">
        <v>0</v>
      </c>
      <c r="CD377">
        <v>180</v>
      </c>
    </row>
    <row r="378" spans="19:82">
      <c r="S378">
        <v>0.93354999999999999</v>
      </c>
      <c r="T378">
        <v>0.98254269999999999</v>
      </c>
      <c r="U378">
        <v>0.98254269999999999</v>
      </c>
      <c r="V378">
        <v>1.3E-6</v>
      </c>
      <c r="W378">
        <v>1.3E-6</v>
      </c>
      <c r="X378">
        <v>1.7455999999999999E-2</v>
      </c>
      <c r="Y378">
        <v>1.7455999999999999E-2</v>
      </c>
      <c r="Z378">
        <v>-73.068700000000007</v>
      </c>
      <c r="AA378">
        <v>-73.068700000000007</v>
      </c>
      <c r="AB378">
        <v>-105.006</v>
      </c>
      <c r="AC378">
        <v>-105.006</v>
      </c>
      <c r="AD378">
        <v>0</v>
      </c>
      <c r="AE378">
        <v>0</v>
      </c>
      <c r="AF378">
        <v>0</v>
      </c>
      <c r="AG378">
        <v>180</v>
      </c>
      <c r="AI378">
        <v>0.93354999999999999</v>
      </c>
      <c r="AJ378">
        <v>0.97728119999999996</v>
      </c>
      <c r="AK378">
        <v>0.97728119999999996</v>
      </c>
      <c r="AL378">
        <v>2.0999999999999998E-6</v>
      </c>
      <c r="AM378">
        <v>2.0999999999999998E-6</v>
      </c>
      <c r="AN378">
        <v>2.2716799999999999E-2</v>
      </c>
      <c r="AO378">
        <v>2.2716799999999999E-2</v>
      </c>
      <c r="AP378">
        <v>-58.953299999999999</v>
      </c>
      <c r="AQ378">
        <v>-58.953299999999999</v>
      </c>
      <c r="AR378">
        <v>-78.251900000000006</v>
      </c>
      <c r="AS378">
        <v>-78.251900000000006</v>
      </c>
      <c r="AT378">
        <v>0</v>
      </c>
      <c r="AU378">
        <v>0</v>
      </c>
      <c r="AV378">
        <v>0</v>
      </c>
      <c r="AW378">
        <v>180</v>
      </c>
      <c r="AY378">
        <v>0.93354999999999999</v>
      </c>
      <c r="AZ378">
        <v>2.9718000000000001E-3</v>
      </c>
      <c r="BA378">
        <v>2.9718000000000001E-3</v>
      </c>
      <c r="BB378">
        <v>0.99687179999999997</v>
      </c>
      <c r="BC378">
        <v>0.99687179999999997</v>
      </c>
      <c r="BD378">
        <v>1.5640000000000001E-4</v>
      </c>
      <c r="BE378">
        <v>1.5640000000000001E-4</v>
      </c>
      <c r="BF378">
        <v>115.70959999999999</v>
      </c>
      <c r="BG378">
        <v>115.70959999999999</v>
      </c>
      <c r="BH378">
        <v>77.711799999999997</v>
      </c>
      <c r="BI378">
        <v>77.711799999999997</v>
      </c>
      <c r="BJ378">
        <v>0</v>
      </c>
      <c r="BK378">
        <v>0</v>
      </c>
      <c r="BL378">
        <v>0</v>
      </c>
      <c r="BM378">
        <v>180</v>
      </c>
      <c r="BP378">
        <v>0.93354999999999999</v>
      </c>
      <c r="BQ378">
        <v>0.90399589999999996</v>
      </c>
      <c r="BR378">
        <v>0.90399589999999996</v>
      </c>
      <c r="BS378">
        <v>0</v>
      </c>
      <c r="BT378">
        <v>0</v>
      </c>
      <c r="BU378">
        <v>9.6004099999999995E-2</v>
      </c>
      <c r="BV378">
        <v>9.6004099999999995E-2</v>
      </c>
      <c r="BW378">
        <v>-43.318399999999997</v>
      </c>
      <c r="BX378">
        <v>-43.318399999999997</v>
      </c>
      <c r="BY378">
        <v>166.7852</v>
      </c>
      <c r="BZ378">
        <v>166.7852</v>
      </c>
      <c r="CA378">
        <v>0</v>
      </c>
      <c r="CB378">
        <v>0</v>
      </c>
      <c r="CC378">
        <v>0</v>
      </c>
      <c r="CD378">
        <v>180</v>
      </c>
    </row>
    <row r="379" spans="19:82">
      <c r="S379">
        <v>0.93489999999999995</v>
      </c>
      <c r="T379">
        <v>0.98250269999999995</v>
      </c>
      <c r="U379">
        <v>0.98250269999999995</v>
      </c>
      <c r="V379">
        <v>1.3E-6</v>
      </c>
      <c r="W379">
        <v>1.3E-6</v>
      </c>
      <c r="X379">
        <v>1.7496000000000001E-2</v>
      </c>
      <c r="Y379">
        <v>1.7496000000000001E-2</v>
      </c>
      <c r="Z379">
        <v>-72.883099999999999</v>
      </c>
      <c r="AA379">
        <v>-72.883099999999999</v>
      </c>
      <c r="AB379">
        <v>-104.6765</v>
      </c>
      <c r="AC379">
        <v>-104.6765</v>
      </c>
      <c r="AD379">
        <v>0</v>
      </c>
      <c r="AE379">
        <v>0</v>
      </c>
      <c r="AF379">
        <v>0</v>
      </c>
      <c r="AG379">
        <v>180</v>
      </c>
      <c r="AI379">
        <v>0.93489999999999995</v>
      </c>
      <c r="AJ379">
        <v>0.97723280000000001</v>
      </c>
      <c r="AK379">
        <v>0.97723280000000001</v>
      </c>
      <c r="AL379">
        <v>2.0999999999999998E-6</v>
      </c>
      <c r="AM379">
        <v>2.0999999999999998E-6</v>
      </c>
      <c r="AN379">
        <v>2.27651E-2</v>
      </c>
      <c r="AO379">
        <v>2.27651E-2</v>
      </c>
      <c r="AP379">
        <v>-58.737699999999997</v>
      </c>
      <c r="AQ379">
        <v>-58.737699999999997</v>
      </c>
      <c r="AR379">
        <v>-77.858500000000006</v>
      </c>
      <c r="AS379">
        <v>-77.858500000000006</v>
      </c>
      <c r="AT379">
        <v>0</v>
      </c>
      <c r="AU379">
        <v>0</v>
      </c>
      <c r="AV379">
        <v>0</v>
      </c>
      <c r="AW379">
        <v>180</v>
      </c>
      <c r="AY379">
        <v>0.93489999999999995</v>
      </c>
      <c r="AZ379">
        <v>3.0820000000000001E-3</v>
      </c>
      <c r="BA379">
        <v>3.0820000000000001E-3</v>
      </c>
      <c r="BB379">
        <v>0.99676209999999998</v>
      </c>
      <c r="BC379">
        <v>0.99676209999999998</v>
      </c>
      <c r="BD379">
        <v>1.5589999999999999E-4</v>
      </c>
      <c r="BE379">
        <v>1.5589999999999999E-4</v>
      </c>
      <c r="BF379">
        <v>116.0797</v>
      </c>
      <c r="BG379">
        <v>116.0797</v>
      </c>
      <c r="BH379">
        <v>77.328100000000006</v>
      </c>
      <c r="BI379">
        <v>77.328100000000006</v>
      </c>
      <c r="BJ379">
        <v>0</v>
      </c>
      <c r="BK379">
        <v>0</v>
      </c>
      <c r="BL379">
        <v>0</v>
      </c>
      <c r="BM379">
        <v>180</v>
      </c>
      <c r="BP379">
        <v>0.93489999999999995</v>
      </c>
      <c r="BQ379">
        <v>0.90470300000000003</v>
      </c>
      <c r="BR379">
        <v>0.90470300000000003</v>
      </c>
      <c r="BS379">
        <v>0</v>
      </c>
      <c r="BT379">
        <v>0</v>
      </c>
      <c r="BU379">
        <v>9.5297000000000007E-2</v>
      </c>
      <c r="BV379">
        <v>9.5297000000000007E-2</v>
      </c>
      <c r="BW379">
        <v>-42.741399999999999</v>
      </c>
      <c r="BX379">
        <v>-42.741399999999999</v>
      </c>
      <c r="BY379">
        <v>166.8126</v>
      </c>
      <c r="BZ379">
        <v>166.8126</v>
      </c>
      <c r="CA379">
        <v>0</v>
      </c>
      <c r="CB379">
        <v>0</v>
      </c>
      <c r="CC379">
        <v>0</v>
      </c>
      <c r="CD379">
        <v>180</v>
      </c>
    </row>
    <row r="380" spans="19:82">
      <c r="S380">
        <v>0.93625000000000003</v>
      </c>
      <c r="T380">
        <v>0.98246259999999996</v>
      </c>
      <c r="U380">
        <v>0.98246259999999996</v>
      </c>
      <c r="V380">
        <v>1.3E-6</v>
      </c>
      <c r="W380">
        <v>1.3E-6</v>
      </c>
      <c r="X380">
        <v>1.7536E-2</v>
      </c>
      <c r="Y380">
        <v>1.7536E-2</v>
      </c>
      <c r="Z380">
        <v>-72.697400000000002</v>
      </c>
      <c r="AA380">
        <v>-72.697400000000002</v>
      </c>
      <c r="AB380">
        <v>-104.3466</v>
      </c>
      <c r="AC380">
        <v>-104.3466</v>
      </c>
      <c r="AD380">
        <v>0</v>
      </c>
      <c r="AE380">
        <v>0</v>
      </c>
      <c r="AF380">
        <v>0</v>
      </c>
      <c r="AG380">
        <v>180</v>
      </c>
      <c r="AI380">
        <v>0.93625000000000003</v>
      </c>
      <c r="AJ380">
        <v>0.97718459999999996</v>
      </c>
      <c r="AK380">
        <v>0.97718459999999996</v>
      </c>
      <c r="AL380">
        <v>2.0999999999999998E-6</v>
      </c>
      <c r="AM380">
        <v>2.0999999999999998E-6</v>
      </c>
      <c r="AN380">
        <v>2.2813300000000002E-2</v>
      </c>
      <c r="AO380">
        <v>2.2813300000000002E-2</v>
      </c>
      <c r="AP380">
        <v>-58.522100000000002</v>
      </c>
      <c r="AQ380">
        <v>-58.522100000000002</v>
      </c>
      <c r="AR380">
        <v>-77.464699999999993</v>
      </c>
      <c r="AS380">
        <v>-77.464699999999993</v>
      </c>
      <c r="AT380">
        <v>0</v>
      </c>
      <c r="AU380">
        <v>0</v>
      </c>
      <c r="AV380">
        <v>0</v>
      </c>
      <c r="AW380">
        <v>180</v>
      </c>
      <c r="AY380">
        <v>0.93625000000000003</v>
      </c>
      <c r="AZ380">
        <v>3.1952E-3</v>
      </c>
      <c r="BA380">
        <v>3.1952E-3</v>
      </c>
      <c r="BB380">
        <v>0.99664940000000002</v>
      </c>
      <c r="BC380">
        <v>0.99664940000000002</v>
      </c>
      <c r="BD380">
        <v>1.5540000000000001E-4</v>
      </c>
      <c r="BE380">
        <v>1.5540000000000001E-4</v>
      </c>
      <c r="BF380">
        <v>116.44889999999999</v>
      </c>
      <c r="BG380">
        <v>116.44889999999999</v>
      </c>
      <c r="BH380">
        <v>76.966099999999997</v>
      </c>
      <c r="BI380">
        <v>76.966099999999997</v>
      </c>
      <c r="BJ380">
        <v>0</v>
      </c>
      <c r="BK380">
        <v>0</v>
      </c>
      <c r="BL380">
        <v>0</v>
      </c>
      <c r="BM380">
        <v>180</v>
      </c>
      <c r="BP380">
        <v>0.93625000000000003</v>
      </c>
      <c r="BQ380">
        <v>0.90540529999999997</v>
      </c>
      <c r="BR380">
        <v>0.90540529999999997</v>
      </c>
      <c r="BS380">
        <v>0</v>
      </c>
      <c r="BT380">
        <v>0</v>
      </c>
      <c r="BU380">
        <v>9.4594700000000004E-2</v>
      </c>
      <c r="BV380">
        <v>9.4594700000000004E-2</v>
      </c>
      <c r="BW380">
        <v>-42.165999999999997</v>
      </c>
      <c r="BX380">
        <v>-42.165999999999997</v>
      </c>
      <c r="BY380">
        <v>166.84</v>
      </c>
      <c r="BZ380">
        <v>166.84</v>
      </c>
      <c r="CA380">
        <v>0</v>
      </c>
      <c r="CB380">
        <v>0</v>
      </c>
      <c r="CC380">
        <v>0</v>
      </c>
      <c r="CD380">
        <v>180</v>
      </c>
    </row>
    <row r="381" spans="19:82">
      <c r="S381">
        <v>0.93759999999999999</v>
      </c>
      <c r="T381">
        <v>0.98242249999999998</v>
      </c>
      <c r="U381">
        <v>0.98242249999999998</v>
      </c>
      <c r="V381">
        <v>1.3E-6</v>
      </c>
      <c r="W381">
        <v>1.3E-6</v>
      </c>
      <c r="X381">
        <v>1.7576100000000001E-2</v>
      </c>
      <c r="Y381">
        <v>1.7576100000000001E-2</v>
      </c>
      <c r="Z381">
        <v>-72.511600000000001</v>
      </c>
      <c r="AA381">
        <v>-72.511600000000001</v>
      </c>
      <c r="AB381">
        <v>-104.0163</v>
      </c>
      <c r="AC381">
        <v>-104.0163</v>
      </c>
      <c r="AD381">
        <v>0</v>
      </c>
      <c r="AE381">
        <v>0</v>
      </c>
      <c r="AF381">
        <v>0</v>
      </c>
      <c r="AG381">
        <v>180</v>
      </c>
      <c r="AI381">
        <v>0.93759999999999999</v>
      </c>
      <c r="AJ381">
        <v>0.97713649999999996</v>
      </c>
      <c r="AK381">
        <v>0.97713649999999996</v>
      </c>
      <c r="AL381">
        <v>2.0999999999999998E-6</v>
      </c>
      <c r="AM381">
        <v>2.0999999999999998E-6</v>
      </c>
      <c r="AN381">
        <v>2.28614E-2</v>
      </c>
      <c r="AO381">
        <v>2.28614E-2</v>
      </c>
      <c r="AP381">
        <v>-58.3063</v>
      </c>
      <c r="AQ381">
        <v>-58.3063</v>
      </c>
      <c r="AR381">
        <v>-77.070599999999999</v>
      </c>
      <c r="AS381">
        <v>-77.070599999999999</v>
      </c>
      <c r="AT381">
        <v>0</v>
      </c>
      <c r="AU381">
        <v>0</v>
      </c>
      <c r="AV381">
        <v>0</v>
      </c>
      <c r="AW381">
        <v>180</v>
      </c>
      <c r="AY381">
        <v>0.93759999999999999</v>
      </c>
      <c r="AZ381">
        <v>3.3113000000000001E-3</v>
      </c>
      <c r="BA381">
        <v>3.3113000000000001E-3</v>
      </c>
      <c r="BB381">
        <v>0.99653369999999997</v>
      </c>
      <c r="BC381">
        <v>0.99653369999999997</v>
      </c>
      <c r="BD381">
        <v>1.55E-4</v>
      </c>
      <c r="BE381">
        <v>1.55E-4</v>
      </c>
      <c r="BF381">
        <v>116.81699999999999</v>
      </c>
      <c r="BG381">
        <v>116.81699999999999</v>
      </c>
      <c r="BH381">
        <v>76.624799999999993</v>
      </c>
      <c r="BI381">
        <v>76.624799999999993</v>
      </c>
      <c r="BJ381">
        <v>0</v>
      </c>
      <c r="BK381">
        <v>0</v>
      </c>
      <c r="BL381">
        <v>0</v>
      </c>
      <c r="BM381">
        <v>180</v>
      </c>
      <c r="BP381">
        <v>0.93759999999999999</v>
      </c>
      <c r="BQ381">
        <v>0.90610279999999999</v>
      </c>
      <c r="BR381">
        <v>0.90610279999999999</v>
      </c>
      <c r="BS381">
        <v>0</v>
      </c>
      <c r="BT381">
        <v>0</v>
      </c>
      <c r="BU381">
        <v>9.3897099999999997E-2</v>
      </c>
      <c r="BV381">
        <v>9.3897099999999997E-2</v>
      </c>
      <c r="BW381">
        <v>-41.592500000000001</v>
      </c>
      <c r="BX381">
        <v>-41.592500000000001</v>
      </c>
      <c r="BY381">
        <v>166.8673</v>
      </c>
      <c r="BZ381">
        <v>166.8673</v>
      </c>
      <c r="CA381">
        <v>0</v>
      </c>
      <c r="CB381">
        <v>0</v>
      </c>
      <c r="CC381">
        <v>0</v>
      </c>
      <c r="CD381">
        <v>180</v>
      </c>
    </row>
    <row r="382" spans="19:82">
      <c r="S382">
        <v>0.93894999999999995</v>
      </c>
      <c r="T382">
        <v>0.98238230000000004</v>
      </c>
      <c r="U382">
        <v>0.98238230000000004</v>
      </c>
      <c r="V382">
        <v>1.3E-6</v>
      </c>
      <c r="W382">
        <v>1.3E-6</v>
      </c>
      <c r="X382">
        <v>1.7616300000000001E-2</v>
      </c>
      <c r="Y382">
        <v>1.7616300000000001E-2</v>
      </c>
      <c r="Z382">
        <v>-72.325599999999994</v>
      </c>
      <c r="AA382">
        <v>-72.325599999999994</v>
      </c>
      <c r="AB382">
        <v>-103.68559999999999</v>
      </c>
      <c r="AC382">
        <v>-103.68559999999999</v>
      </c>
      <c r="AD382">
        <v>0</v>
      </c>
      <c r="AE382">
        <v>0</v>
      </c>
      <c r="AF382">
        <v>0</v>
      </c>
      <c r="AG382">
        <v>180</v>
      </c>
      <c r="AI382">
        <v>0.93894999999999995</v>
      </c>
      <c r="AJ382">
        <v>0.97708859999999997</v>
      </c>
      <c r="AK382">
        <v>0.97708859999999997</v>
      </c>
      <c r="AL382">
        <v>2.0999999999999998E-6</v>
      </c>
      <c r="AM382">
        <v>2.0999999999999998E-6</v>
      </c>
      <c r="AN382">
        <v>2.29093E-2</v>
      </c>
      <c r="AO382">
        <v>2.29093E-2</v>
      </c>
      <c r="AP382">
        <v>-58.090299999999999</v>
      </c>
      <c r="AQ382">
        <v>-58.090299999999999</v>
      </c>
      <c r="AR382">
        <v>-76.676000000000002</v>
      </c>
      <c r="AS382">
        <v>-76.676000000000002</v>
      </c>
      <c r="AT382">
        <v>0</v>
      </c>
      <c r="AU382">
        <v>0</v>
      </c>
      <c r="AV382">
        <v>0</v>
      </c>
      <c r="AW382">
        <v>180</v>
      </c>
      <c r="AY382">
        <v>0.93894999999999995</v>
      </c>
      <c r="AZ382">
        <v>3.4304000000000001E-3</v>
      </c>
      <c r="BA382">
        <v>3.4304000000000001E-3</v>
      </c>
      <c r="BB382">
        <v>0.9964151</v>
      </c>
      <c r="BC382">
        <v>0.9964151</v>
      </c>
      <c r="BD382">
        <v>1.5449999999999999E-4</v>
      </c>
      <c r="BE382">
        <v>1.5449999999999999E-4</v>
      </c>
      <c r="BF382">
        <v>117.1841</v>
      </c>
      <c r="BG382">
        <v>117.1841</v>
      </c>
      <c r="BH382">
        <v>76.303200000000004</v>
      </c>
      <c r="BI382">
        <v>76.303200000000004</v>
      </c>
      <c r="BJ382">
        <v>0</v>
      </c>
      <c r="BK382">
        <v>0</v>
      </c>
      <c r="BL382">
        <v>0</v>
      </c>
      <c r="BM382">
        <v>180</v>
      </c>
      <c r="BP382">
        <v>0.93894999999999995</v>
      </c>
      <c r="BQ382">
        <v>0.90679569999999998</v>
      </c>
      <c r="BR382">
        <v>0.90679569999999998</v>
      </c>
      <c r="BS382">
        <v>0</v>
      </c>
      <c r="BT382">
        <v>0</v>
      </c>
      <c r="BU382">
        <v>9.3204300000000004E-2</v>
      </c>
      <c r="BV382">
        <v>9.3204300000000004E-2</v>
      </c>
      <c r="BW382">
        <v>-41.020600000000002</v>
      </c>
      <c r="BX382">
        <v>-41.020600000000002</v>
      </c>
      <c r="BY382">
        <v>166.89449999999999</v>
      </c>
      <c r="BZ382">
        <v>166.89449999999999</v>
      </c>
      <c r="CA382">
        <v>0</v>
      </c>
      <c r="CB382">
        <v>0</v>
      </c>
      <c r="CC382">
        <v>0</v>
      </c>
      <c r="CD382">
        <v>180</v>
      </c>
    </row>
    <row r="383" spans="19:82">
      <c r="S383">
        <v>0.94030000000000002</v>
      </c>
      <c r="T383">
        <v>0.98234350000000004</v>
      </c>
      <c r="U383">
        <v>0.98234350000000004</v>
      </c>
      <c r="V383">
        <v>1.3E-6</v>
      </c>
      <c r="W383">
        <v>1.3E-6</v>
      </c>
      <c r="X383">
        <v>1.76551E-2</v>
      </c>
      <c r="Y383">
        <v>1.76551E-2</v>
      </c>
      <c r="Z383">
        <v>-72.139200000000002</v>
      </c>
      <c r="AA383">
        <v>-72.139200000000002</v>
      </c>
      <c r="AB383">
        <v>-103.3544</v>
      </c>
      <c r="AC383">
        <v>-103.3544</v>
      </c>
      <c r="AD383">
        <v>0</v>
      </c>
      <c r="AE383">
        <v>0</v>
      </c>
      <c r="AF383">
        <v>0</v>
      </c>
      <c r="AG383">
        <v>180</v>
      </c>
      <c r="AI383">
        <v>0.94030000000000002</v>
      </c>
      <c r="AJ383">
        <v>0.97704199999999997</v>
      </c>
      <c r="AK383">
        <v>0.97704199999999997</v>
      </c>
      <c r="AL383">
        <v>2.0999999999999998E-6</v>
      </c>
      <c r="AM383">
        <v>2.0999999999999998E-6</v>
      </c>
      <c r="AN383">
        <v>2.2956000000000001E-2</v>
      </c>
      <c r="AO383">
        <v>2.2956000000000001E-2</v>
      </c>
      <c r="AP383">
        <v>-57.874200000000002</v>
      </c>
      <c r="AQ383">
        <v>-57.874200000000002</v>
      </c>
      <c r="AR383">
        <v>-76.281099999999995</v>
      </c>
      <c r="AS383">
        <v>-76.281099999999995</v>
      </c>
      <c r="AT383">
        <v>0</v>
      </c>
      <c r="AU383">
        <v>0</v>
      </c>
      <c r="AV383">
        <v>0</v>
      </c>
      <c r="AW383">
        <v>180</v>
      </c>
      <c r="AY383">
        <v>0.94030000000000002</v>
      </c>
      <c r="AZ383">
        <v>3.5523999999999998E-3</v>
      </c>
      <c r="BA383">
        <v>3.5523999999999998E-3</v>
      </c>
      <c r="BB383">
        <v>0.99629350000000005</v>
      </c>
      <c r="BC383">
        <v>0.99629350000000005</v>
      </c>
      <c r="BD383">
        <v>1.5410000000000001E-4</v>
      </c>
      <c r="BE383">
        <v>1.5410000000000001E-4</v>
      </c>
      <c r="BF383">
        <v>117.5502</v>
      </c>
      <c r="BG383">
        <v>117.5502</v>
      </c>
      <c r="BH383">
        <v>76.000600000000006</v>
      </c>
      <c r="BI383">
        <v>76.000600000000006</v>
      </c>
      <c r="BJ383">
        <v>0</v>
      </c>
      <c r="BK383">
        <v>0</v>
      </c>
      <c r="BL383">
        <v>0</v>
      </c>
      <c r="BM383">
        <v>180</v>
      </c>
      <c r="BP383">
        <v>0.94030000000000002</v>
      </c>
      <c r="BQ383">
        <v>0.90748390000000001</v>
      </c>
      <c r="BR383">
        <v>0.90748390000000001</v>
      </c>
      <c r="BS383">
        <v>0</v>
      </c>
      <c r="BT383">
        <v>0</v>
      </c>
      <c r="BU383">
        <v>9.2516100000000004E-2</v>
      </c>
      <c r="BV383">
        <v>9.2516100000000004E-2</v>
      </c>
      <c r="BW383">
        <v>-40.450499999999998</v>
      </c>
      <c r="BX383">
        <v>-40.450499999999998</v>
      </c>
      <c r="BY383">
        <v>166.92169999999999</v>
      </c>
      <c r="BZ383">
        <v>166.92169999999999</v>
      </c>
      <c r="CA383">
        <v>0</v>
      </c>
      <c r="CB383">
        <v>0</v>
      </c>
      <c r="CC383">
        <v>0</v>
      </c>
      <c r="CD383">
        <v>180</v>
      </c>
    </row>
    <row r="384" spans="19:82">
      <c r="S384">
        <v>0.94164999999999999</v>
      </c>
      <c r="T384">
        <v>0.98230519999999999</v>
      </c>
      <c r="U384">
        <v>0.98230519999999999</v>
      </c>
      <c r="V384">
        <v>1.3E-6</v>
      </c>
      <c r="W384">
        <v>1.3E-6</v>
      </c>
      <c r="X384">
        <v>1.7693500000000001E-2</v>
      </c>
      <c r="Y384">
        <v>1.7693500000000001E-2</v>
      </c>
      <c r="Z384">
        <v>-71.952600000000004</v>
      </c>
      <c r="AA384">
        <v>-71.952600000000004</v>
      </c>
      <c r="AB384">
        <v>-103.0228</v>
      </c>
      <c r="AC384">
        <v>-103.0228</v>
      </c>
      <c r="AD384">
        <v>0</v>
      </c>
      <c r="AE384">
        <v>0</v>
      </c>
      <c r="AF384">
        <v>0</v>
      </c>
      <c r="AG384">
        <v>180</v>
      </c>
      <c r="AI384">
        <v>0.94164999999999999</v>
      </c>
      <c r="AJ384">
        <v>0.97699590000000003</v>
      </c>
      <c r="AK384">
        <v>0.97699590000000003</v>
      </c>
      <c r="AL384">
        <v>2.0999999999999998E-6</v>
      </c>
      <c r="AM384">
        <v>2.0999999999999998E-6</v>
      </c>
      <c r="AN384">
        <v>2.3002100000000001E-2</v>
      </c>
      <c r="AO384">
        <v>2.3002100000000001E-2</v>
      </c>
      <c r="AP384">
        <v>-57.658000000000001</v>
      </c>
      <c r="AQ384">
        <v>-57.658000000000001</v>
      </c>
      <c r="AR384">
        <v>-75.885800000000003</v>
      </c>
      <c r="AS384">
        <v>-75.885800000000003</v>
      </c>
      <c r="AT384">
        <v>0</v>
      </c>
      <c r="AU384">
        <v>0</v>
      </c>
      <c r="AV384">
        <v>0</v>
      </c>
      <c r="AW384">
        <v>180</v>
      </c>
      <c r="AY384">
        <v>0.94164999999999999</v>
      </c>
      <c r="AZ384">
        <v>3.6773999999999999E-3</v>
      </c>
      <c r="BA384">
        <v>3.6773999999999999E-3</v>
      </c>
      <c r="BB384">
        <v>0.99616899999999997</v>
      </c>
      <c r="BC384">
        <v>0.99616899999999997</v>
      </c>
      <c r="BD384">
        <v>1.5359999999999999E-4</v>
      </c>
      <c r="BE384">
        <v>1.5359999999999999E-4</v>
      </c>
      <c r="BF384">
        <v>117.9153</v>
      </c>
      <c r="BG384">
        <v>117.9153</v>
      </c>
      <c r="BH384">
        <v>75.716099999999997</v>
      </c>
      <c r="BI384">
        <v>75.716099999999997</v>
      </c>
      <c r="BJ384">
        <v>0</v>
      </c>
      <c r="BK384">
        <v>0</v>
      </c>
      <c r="BL384">
        <v>0</v>
      </c>
      <c r="BM384">
        <v>180</v>
      </c>
      <c r="BP384">
        <v>0.94164999999999999</v>
      </c>
      <c r="BQ384">
        <v>0.90816750000000002</v>
      </c>
      <c r="BR384">
        <v>0.90816750000000002</v>
      </c>
      <c r="BS384">
        <v>0</v>
      </c>
      <c r="BT384">
        <v>0</v>
      </c>
      <c r="BU384">
        <v>9.1832499999999997E-2</v>
      </c>
      <c r="BV384">
        <v>9.1832499999999997E-2</v>
      </c>
      <c r="BW384">
        <v>-39.882199999999997</v>
      </c>
      <c r="BX384">
        <v>-39.882199999999997</v>
      </c>
      <c r="BY384">
        <v>166.94880000000001</v>
      </c>
      <c r="BZ384">
        <v>166.94880000000001</v>
      </c>
      <c r="CA384">
        <v>0</v>
      </c>
      <c r="CB384">
        <v>0</v>
      </c>
      <c r="CC384">
        <v>0</v>
      </c>
      <c r="CD384">
        <v>180</v>
      </c>
    </row>
    <row r="385" spans="19:82">
      <c r="S385">
        <v>0.94299999999999995</v>
      </c>
      <c r="T385">
        <v>0.98226670000000005</v>
      </c>
      <c r="U385">
        <v>0.98226670000000005</v>
      </c>
      <c r="V385">
        <v>1.3E-6</v>
      </c>
      <c r="W385">
        <v>1.3E-6</v>
      </c>
      <c r="X385">
        <v>1.7731899999999998E-2</v>
      </c>
      <c r="Y385">
        <v>1.7731899999999998E-2</v>
      </c>
      <c r="Z385">
        <v>-71.765799999999999</v>
      </c>
      <c r="AA385">
        <v>-71.765799999999999</v>
      </c>
      <c r="AB385">
        <v>-102.6908</v>
      </c>
      <c r="AC385">
        <v>-102.6908</v>
      </c>
      <c r="AD385">
        <v>0</v>
      </c>
      <c r="AE385">
        <v>0</v>
      </c>
      <c r="AF385">
        <v>0</v>
      </c>
      <c r="AG385">
        <v>180</v>
      </c>
      <c r="AI385">
        <v>0.94299999999999995</v>
      </c>
      <c r="AJ385">
        <v>0.97694990000000004</v>
      </c>
      <c r="AK385">
        <v>0.97694990000000004</v>
      </c>
      <c r="AL385">
        <v>2.0999999999999998E-6</v>
      </c>
      <c r="AM385">
        <v>2.0999999999999998E-6</v>
      </c>
      <c r="AN385">
        <v>2.3047999999999999E-2</v>
      </c>
      <c r="AO385">
        <v>2.3047999999999999E-2</v>
      </c>
      <c r="AP385">
        <v>-57.441600000000001</v>
      </c>
      <c r="AQ385">
        <v>-57.441600000000001</v>
      </c>
      <c r="AR385">
        <v>-75.490099999999998</v>
      </c>
      <c r="AS385">
        <v>-75.490099999999998</v>
      </c>
      <c r="AT385">
        <v>0</v>
      </c>
      <c r="AU385">
        <v>0</v>
      </c>
      <c r="AV385">
        <v>0</v>
      </c>
      <c r="AW385">
        <v>180</v>
      </c>
      <c r="AY385">
        <v>0.94299999999999995</v>
      </c>
      <c r="AZ385">
        <v>3.8054E-3</v>
      </c>
      <c r="BA385">
        <v>3.8054E-3</v>
      </c>
      <c r="BB385">
        <v>0.99604139999999997</v>
      </c>
      <c r="BC385">
        <v>0.99604139999999997</v>
      </c>
      <c r="BD385">
        <v>1.5310000000000001E-4</v>
      </c>
      <c r="BE385">
        <v>1.5310000000000001E-4</v>
      </c>
      <c r="BF385">
        <v>118.2794</v>
      </c>
      <c r="BG385">
        <v>118.2794</v>
      </c>
      <c r="BH385">
        <v>75.448999999999998</v>
      </c>
      <c r="BI385">
        <v>75.448999999999998</v>
      </c>
      <c r="BJ385">
        <v>0</v>
      </c>
      <c r="BK385">
        <v>0</v>
      </c>
      <c r="BL385">
        <v>0</v>
      </c>
      <c r="BM385">
        <v>180</v>
      </c>
      <c r="BP385">
        <v>0.94299999999999995</v>
      </c>
      <c r="BQ385">
        <v>0.9088465</v>
      </c>
      <c r="BR385">
        <v>0.9088465</v>
      </c>
      <c r="BS385">
        <v>0</v>
      </c>
      <c r="BT385">
        <v>0</v>
      </c>
      <c r="BU385">
        <v>9.1153499999999998E-2</v>
      </c>
      <c r="BV385">
        <v>9.1153499999999998E-2</v>
      </c>
      <c r="BW385">
        <v>-39.3155</v>
      </c>
      <c r="BX385">
        <v>-39.3155</v>
      </c>
      <c r="BY385">
        <v>166.97579999999999</v>
      </c>
      <c r="BZ385">
        <v>166.97579999999999</v>
      </c>
      <c r="CA385">
        <v>0</v>
      </c>
      <c r="CB385">
        <v>0</v>
      </c>
      <c r="CC385">
        <v>0</v>
      </c>
      <c r="CD385">
        <v>180</v>
      </c>
    </row>
    <row r="386" spans="19:82">
      <c r="S386">
        <v>0.94435000000000002</v>
      </c>
      <c r="T386">
        <v>0.9822282</v>
      </c>
      <c r="U386">
        <v>0.9822282</v>
      </c>
      <c r="V386">
        <v>1.3E-6</v>
      </c>
      <c r="W386">
        <v>1.3E-6</v>
      </c>
      <c r="X386">
        <v>1.7770399999999999E-2</v>
      </c>
      <c r="Y386">
        <v>1.7770399999999999E-2</v>
      </c>
      <c r="Z386">
        <v>-71.578900000000004</v>
      </c>
      <c r="AA386">
        <v>-71.578900000000004</v>
      </c>
      <c r="AB386">
        <v>-102.3584</v>
      </c>
      <c r="AC386">
        <v>-102.3584</v>
      </c>
      <c r="AD386">
        <v>0</v>
      </c>
      <c r="AE386">
        <v>0</v>
      </c>
      <c r="AF386">
        <v>0</v>
      </c>
      <c r="AG386">
        <v>180</v>
      </c>
      <c r="AI386">
        <v>0.94435000000000002</v>
      </c>
      <c r="AJ386">
        <v>0.9769042</v>
      </c>
      <c r="AK386">
        <v>0.9769042</v>
      </c>
      <c r="AL386">
        <v>2.0999999999999998E-6</v>
      </c>
      <c r="AM386">
        <v>2.0999999999999998E-6</v>
      </c>
      <c r="AN386">
        <v>2.3093700000000002E-2</v>
      </c>
      <c r="AO386">
        <v>2.3093700000000002E-2</v>
      </c>
      <c r="AP386">
        <v>-57.225099999999998</v>
      </c>
      <c r="AQ386">
        <v>-57.225099999999998</v>
      </c>
      <c r="AR386">
        <v>-75.094099999999997</v>
      </c>
      <c r="AS386">
        <v>-75.094099999999997</v>
      </c>
      <c r="AT386">
        <v>0</v>
      </c>
      <c r="AU386">
        <v>0</v>
      </c>
      <c r="AV386">
        <v>0</v>
      </c>
      <c r="AW386">
        <v>180</v>
      </c>
      <c r="AY386">
        <v>0.94435000000000002</v>
      </c>
      <c r="AZ386">
        <v>3.9363999999999996E-3</v>
      </c>
      <c r="BA386">
        <v>3.9363999999999996E-3</v>
      </c>
      <c r="BB386">
        <v>0.99591090000000004</v>
      </c>
      <c r="BC386">
        <v>0.99591090000000004</v>
      </c>
      <c r="BD386">
        <v>1.527E-4</v>
      </c>
      <c r="BE386">
        <v>1.527E-4</v>
      </c>
      <c r="BF386">
        <v>118.6425</v>
      </c>
      <c r="BG386">
        <v>118.6425</v>
      </c>
      <c r="BH386">
        <v>75.198499999999996</v>
      </c>
      <c r="BI386">
        <v>75.198499999999996</v>
      </c>
      <c r="BJ386">
        <v>0</v>
      </c>
      <c r="BK386">
        <v>0</v>
      </c>
      <c r="BL386">
        <v>0</v>
      </c>
      <c r="BM386">
        <v>180</v>
      </c>
      <c r="BP386">
        <v>0.94435000000000002</v>
      </c>
      <c r="BQ386">
        <v>0.90952089999999997</v>
      </c>
      <c r="BR386">
        <v>0.90952089999999997</v>
      </c>
      <c r="BS386">
        <v>0</v>
      </c>
      <c r="BT386">
        <v>0</v>
      </c>
      <c r="BU386">
        <v>9.0479100000000007E-2</v>
      </c>
      <c r="BV386">
        <v>9.0479100000000007E-2</v>
      </c>
      <c r="BW386">
        <v>-38.750500000000002</v>
      </c>
      <c r="BX386">
        <v>-38.750500000000002</v>
      </c>
      <c r="BY386">
        <v>167.0027</v>
      </c>
      <c r="BZ386">
        <v>167.0027</v>
      </c>
      <c r="CA386">
        <v>0</v>
      </c>
      <c r="CB386">
        <v>0</v>
      </c>
      <c r="CC386">
        <v>0</v>
      </c>
      <c r="CD386">
        <v>180</v>
      </c>
    </row>
    <row r="387" spans="19:82">
      <c r="S387">
        <v>0.94569999999999999</v>
      </c>
      <c r="T387">
        <v>0.98218970000000005</v>
      </c>
      <c r="U387">
        <v>0.98218970000000005</v>
      </c>
      <c r="V387">
        <v>1.3E-6</v>
      </c>
      <c r="W387">
        <v>1.3E-6</v>
      </c>
      <c r="X387">
        <v>1.7808999999999998E-2</v>
      </c>
      <c r="Y387">
        <v>1.7808999999999998E-2</v>
      </c>
      <c r="Z387">
        <v>-71.391900000000007</v>
      </c>
      <c r="AA387">
        <v>-71.391900000000007</v>
      </c>
      <c r="AB387">
        <v>-102.0256</v>
      </c>
      <c r="AC387">
        <v>-102.0256</v>
      </c>
      <c r="AD387">
        <v>0</v>
      </c>
      <c r="AE387">
        <v>0</v>
      </c>
      <c r="AF387">
        <v>0</v>
      </c>
      <c r="AG387">
        <v>180</v>
      </c>
      <c r="AI387">
        <v>0.94569999999999999</v>
      </c>
      <c r="AJ387">
        <v>0.97685860000000002</v>
      </c>
      <c r="AK387">
        <v>0.97685860000000002</v>
      </c>
      <c r="AL387">
        <v>2.0999999999999998E-6</v>
      </c>
      <c r="AM387">
        <v>2.0999999999999998E-6</v>
      </c>
      <c r="AN387">
        <v>2.3139300000000002E-2</v>
      </c>
      <c r="AO387">
        <v>2.3139300000000002E-2</v>
      </c>
      <c r="AP387">
        <v>-57.008499999999998</v>
      </c>
      <c r="AQ387">
        <v>-57.008499999999998</v>
      </c>
      <c r="AR387">
        <v>-74.697699999999998</v>
      </c>
      <c r="AS387">
        <v>-74.697699999999998</v>
      </c>
      <c r="AT387">
        <v>0</v>
      </c>
      <c r="AU387">
        <v>0</v>
      </c>
      <c r="AV387">
        <v>0</v>
      </c>
      <c r="AW387">
        <v>180</v>
      </c>
      <c r="AY387">
        <v>0.94569999999999999</v>
      </c>
      <c r="AZ387">
        <v>4.0702999999999998E-3</v>
      </c>
      <c r="BA387">
        <v>4.0702999999999998E-3</v>
      </c>
      <c r="BB387">
        <v>0.99577740000000003</v>
      </c>
      <c r="BC387">
        <v>0.99577740000000003</v>
      </c>
      <c r="BD387">
        <v>1.5220000000000001E-4</v>
      </c>
      <c r="BE387">
        <v>1.5220000000000001E-4</v>
      </c>
      <c r="BF387">
        <v>119.0046</v>
      </c>
      <c r="BG387">
        <v>119.0046</v>
      </c>
      <c r="BH387">
        <v>74.963800000000006</v>
      </c>
      <c r="BI387">
        <v>74.963800000000006</v>
      </c>
      <c r="BJ387">
        <v>0</v>
      </c>
      <c r="BK387">
        <v>0</v>
      </c>
      <c r="BL387">
        <v>0</v>
      </c>
      <c r="BM387">
        <v>180</v>
      </c>
      <c r="BP387">
        <v>0.94569999999999999</v>
      </c>
      <c r="BQ387">
        <v>0.91019070000000002</v>
      </c>
      <c r="BR387">
        <v>0.91019070000000002</v>
      </c>
      <c r="BS387">
        <v>0</v>
      </c>
      <c r="BT387">
        <v>0</v>
      </c>
      <c r="BU387">
        <v>8.9809299999999995E-2</v>
      </c>
      <c r="BV387">
        <v>8.9809299999999995E-2</v>
      </c>
      <c r="BW387">
        <v>-38.1873</v>
      </c>
      <c r="BX387">
        <v>-38.1873</v>
      </c>
      <c r="BY387">
        <v>167.02950000000001</v>
      </c>
      <c r="BZ387">
        <v>167.02950000000001</v>
      </c>
      <c r="CA387">
        <v>0</v>
      </c>
      <c r="CB387">
        <v>0</v>
      </c>
      <c r="CC387">
        <v>0</v>
      </c>
      <c r="CD387">
        <v>180</v>
      </c>
    </row>
    <row r="388" spans="19:82">
      <c r="S388">
        <v>0.94704999999999995</v>
      </c>
      <c r="T388">
        <v>0.98215110000000005</v>
      </c>
      <c r="U388">
        <v>0.98215110000000005</v>
      </c>
      <c r="V388">
        <v>1.3E-6</v>
      </c>
      <c r="W388">
        <v>1.3E-6</v>
      </c>
      <c r="X388">
        <v>1.7847600000000002E-2</v>
      </c>
      <c r="Y388">
        <v>1.7847600000000002E-2</v>
      </c>
      <c r="Z388">
        <v>-71.204800000000006</v>
      </c>
      <c r="AA388">
        <v>-71.204800000000006</v>
      </c>
      <c r="AB388">
        <v>-101.69240000000001</v>
      </c>
      <c r="AC388">
        <v>-101.69240000000001</v>
      </c>
      <c r="AD388">
        <v>0</v>
      </c>
      <c r="AE388">
        <v>0</v>
      </c>
      <c r="AF388">
        <v>0</v>
      </c>
      <c r="AG388">
        <v>180</v>
      </c>
      <c r="AI388">
        <v>0.94704999999999995</v>
      </c>
      <c r="AJ388">
        <v>0.97681320000000005</v>
      </c>
      <c r="AK388">
        <v>0.97681320000000005</v>
      </c>
      <c r="AL388">
        <v>2.0999999999999998E-6</v>
      </c>
      <c r="AM388">
        <v>2.0999999999999998E-6</v>
      </c>
      <c r="AN388">
        <v>2.3184699999999999E-2</v>
      </c>
      <c r="AO388">
        <v>2.3184699999999999E-2</v>
      </c>
      <c r="AP388">
        <v>-56.791800000000002</v>
      </c>
      <c r="AQ388">
        <v>-56.791800000000002</v>
      </c>
      <c r="AR388">
        <v>-74.301000000000002</v>
      </c>
      <c r="AS388">
        <v>-74.301000000000002</v>
      </c>
      <c r="AT388">
        <v>0</v>
      </c>
      <c r="AU388">
        <v>0</v>
      </c>
      <c r="AV388">
        <v>0</v>
      </c>
      <c r="AW388">
        <v>180</v>
      </c>
      <c r="AY388">
        <v>0.94704999999999995</v>
      </c>
      <c r="AZ388">
        <v>4.2072999999999998E-3</v>
      </c>
      <c r="BA388">
        <v>4.2072999999999998E-3</v>
      </c>
      <c r="BB388">
        <v>0.99564090000000005</v>
      </c>
      <c r="BC388">
        <v>0.99564090000000005</v>
      </c>
      <c r="BD388">
        <v>1.518E-4</v>
      </c>
      <c r="BE388">
        <v>1.518E-4</v>
      </c>
      <c r="BF388">
        <v>119.3657</v>
      </c>
      <c r="BG388">
        <v>119.3657</v>
      </c>
      <c r="BH388">
        <v>74.744399999999999</v>
      </c>
      <c r="BI388">
        <v>74.744399999999999</v>
      </c>
      <c r="BJ388">
        <v>0</v>
      </c>
      <c r="BK388">
        <v>0</v>
      </c>
      <c r="BL388">
        <v>0</v>
      </c>
      <c r="BM388">
        <v>180</v>
      </c>
      <c r="BP388">
        <v>0.94704999999999995</v>
      </c>
      <c r="BQ388">
        <v>0.91085609999999995</v>
      </c>
      <c r="BR388">
        <v>0.91085609999999995</v>
      </c>
      <c r="BS388">
        <v>0</v>
      </c>
      <c r="BT388">
        <v>0</v>
      </c>
      <c r="BU388">
        <v>8.9143899999999998E-2</v>
      </c>
      <c r="BV388">
        <v>8.9143899999999998E-2</v>
      </c>
      <c r="BW388">
        <v>-37.625700000000002</v>
      </c>
      <c r="BX388">
        <v>-37.625700000000002</v>
      </c>
      <c r="BY388">
        <v>167.05629999999999</v>
      </c>
      <c r="BZ388">
        <v>167.05629999999999</v>
      </c>
      <c r="CA388">
        <v>0</v>
      </c>
      <c r="CB388">
        <v>0</v>
      </c>
      <c r="CC388">
        <v>0</v>
      </c>
      <c r="CD388">
        <v>180</v>
      </c>
    </row>
    <row r="389" spans="19:82">
      <c r="S389">
        <v>0.94840000000000002</v>
      </c>
      <c r="T389">
        <v>0.9821124</v>
      </c>
      <c r="U389">
        <v>0.9821124</v>
      </c>
      <c r="V389">
        <v>1.3999999999999999E-6</v>
      </c>
      <c r="W389">
        <v>1.3999999999999999E-6</v>
      </c>
      <c r="X389">
        <v>1.7886200000000001E-2</v>
      </c>
      <c r="Y389">
        <v>1.7886200000000001E-2</v>
      </c>
      <c r="Z389">
        <v>-71.017499999999998</v>
      </c>
      <c r="AA389">
        <v>-71.017499999999998</v>
      </c>
      <c r="AB389">
        <v>-101.3588</v>
      </c>
      <c r="AC389">
        <v>-101.3588</v>
      </c>
      <c r="AD389">
        <v>0</v>
      </c>
      <c r="AE389">
        <v>0</v>
      </c>
      <c r="AF389">
        <v>0</v>
      </c>
      <c r="AG389">
        <v>180</v>
      </c>
      <c r="AI389">
        <v>0.94840000000000002</v>
      </c>
      <c r="AJ389">
        <v>0.97676799999999997</v>
      </c>
      <c r="AK389">
        <v>0.97676799999999997</v>
      </c>
      <c r="AL389">
        <v>2.0999999999999998E-6</v>
      </c>
      <c r="AM389">
        <v>2.0999999999999998E-6</v>
      </c>
      <c r="AN389">
        <v>2.3229900000000001E-2</v>
      </c>
      <c r="AO389">
        <v>2.3229900000000001E-2</v>
      </c>
      <c r="AP389">
        <v>-56.575000000000003</v>
      </c>
      <c r="AQ389">
        <v>-56.575000000000003</v>
      </c>
      <c r="AR389">
        <v>-73.903899999999993</v>
      </c>
      <c r="AS389">
        <v>-73.903899999999993</v>
      </c>
      <c r="AT389">
        <v>0</v>
      </c>
      <c r="AU389">
        <v>0</v>
      </c>
      <c r="AV389">
        <v>0</v>
      </c>
      <c r="AW389">
        <v>180</v>
      </c>
      <c r="AY389">
        <v>0.94840000000000002</v>
      </c>
      <c r="AZ389">
        <v>4.3471999999999998E-3</v>
      </c>
      <c r="BA389">
        <v>4.3471999999999998E-3</v>
      </c>
      <c r="BB389">
        <v>0.99550150000000004</v>
      </c>
      <c r="BC389">
        <v>0.99550150000000004</v>
      </c>
      <c r="BD389">
        <v>1.5129999999999999E-4</v>
      </c>
      <c r="BE389">
        <v>1.5129999999999999E-4</v>
      </c>
      <c r="BF389">
        <v>119.7259</v>
      </c>
      <c r="BG389">
        <v>119.7259</v>
      </c>
      <c r="BH389">
        <v>74.539599999999993</v>
      </c>
      <c r="BI389">
        <v>74.539599999999993</v>
      </c>
      <c r="BJ389">
        <v>0</v>
      </c>
      <c r="BK389">
        <v>0</v>
      </c>
      <c r="BL389">
        <v>0</v>
      </c>
      <c r="BM389">
        <v>180</v>
      </c>
      <c r="BP389">
        <v>0.94840000000000002</v>
      </c>
      <c r="BQ389">
        <v>0.91151700000000002</v>
      </c>
      <c r="BR389">
        <v>0.91151700000000002</v>
      </c>
      <c r="BS389">
        <v>0</v>
      </c>
      <c r="BT389">
        <v>0</v>
      </c>
      <c r="BU389">
        <v>8.8483000000000006E-2</v>
      </c>
      <c r="BV389">
        <v>8.8483000000000006E-2</v>
      </c>
      <c r="BW389">
        <v>-37.065800000000003</v>
      </c>
      <c r="BX389">
        <v>-37.065800000000003</v>
      </c>
      <c r="BY389">
        <v>167.083</v>
      </c>
      <c r="BZ389">
        <v>167.083</v>
      </c>
      <c r="CA389">
        <v>0</v>
      </c>
      <c r="CB389">
        <v>0</v>
      </c>
      <c r="CC389">
        <v>0</v>
      </c>
      <c r="CD389">
        <v>180</v>
      </c>
    </row>
    <row r="390" spans="19:82">
      <c r="S390">
        <v>0.94974999999999998</v>
      </c>
      <c r="T390">
        <v>0.98207370000000005</v>
      </c>
      <c r="U390">
        <v>0.98207370000000005</v>
      </c>
      <c r="V390">
        <v>1.3999999999999999E-6</v>
      </c>
      <c r="W390">
        <v>1.3999999999999999E-6</v>
      </c>
      <c r="X390">
        <v>1.7925E-2</v>
      </c>
      <c r="Y390">
        <v>1.7925E-2</v>
      </c>
      <c r="Z390">
        <v>-70.83</v>
      </c>
      <c r="AA390">
        <v>-70.83</v>
      </c>
      <c r="AB390">
        <v>-101.0247</v>
      </c>
      <c r="AC390">
        <v>-101.0247</v>
      </c>
      <c r="AD390">
        <v>0</v>
      </c>
      <c r="AE390">
        <v>0</v>
      </c>
      <c r="AF390">
        <v>0</v>
      </c>
      <c r="AG390">
        <v>180</v>
      </c>
      <c r="AI390">
        <v>0.94974999999999998</v>
      </c>
      <c r="AJ390">
        <v>0.97672300000000001</v>
      </c>
      <c r="AK390">
        <v>0.97672300000000001</v>
      </c>
      <c r="AL390">
        <v>2.0999999999999998E-6</v>
      </c>
      <c r="AM390">
        <v>2.0999999999999998E-6</v>
      </c>
      <c r="AN390">
        <v>2.3275000000000001E-2</v>
      </c>
      <c r="AO390">
        <v>2.3275000000000001E-2</v>
      </c>
      <c r="AP390">
        <v>-56.357999999999997</v>
      </c>
      <c r="AQ390">
        <v>-56.357999999999997</v>
      </c>
      <c r="AR390">
        <v>-73.506500000000003</v>
      </c>
      <c r="AS390">
        <v>-73.506500000000003</v>
      </c>
      <c r="AT390">
        <v>0</v>
      </c>
      <c r="AU390">
        <v>0</v>
      </c>
      <c r="AV390">
        <v>0</v>
      </c>
      <c r="AW390">
        <v>180</v>
      </c>
      <c r="AY390">
        <v>0.94974999999999998</v>
      </c>
      <c r="AZ390">
        <v>4.4901000000000003E-3</v>
      </c>
      <c r="BA390">
        <v>4.4901000000000003E-3</v>
      </c>
      <c r="BB390">
        <v>0.99535899999999999</v>
      </c>
      <c r="BC390">
        <v>0.99535899999999999</v>
      </c>
      <c r="BD390">
        <v>1.5090000000000001E-4</v>
      </c>
      <c r="BE390">
        <v>1.5090000000000001E-4</v>
      </c>
      <c r="BF390">
        <v>120.08499999999999</v>
      </c>
      <c r="BG390">
        <v>120.08499999999999</v>
      </c>
      <c r="BH390">
        <v>74.348699999999994</v>
      </c>
      <c r="BI390">
        <v>74.348699999999994</v>
      </c>
      <c r="BJ390">
        <v>0</v>
      </c>
      <c r="BK390">
        <v>0</v>
      </c>
      <c r="BL390">
        <v>0</v>
      </c>
      <c r="BM390">
        <v>180</v>
      </c>
      <c r="BP390">
        <v>0.94974999999999998</v>
      </c>
      <c r="BQ390">
        <v>0.91217340000000002</v>
      </c>
      <c r="BR390">
        <v>0.91217340000000002</v>
      </c>
      <c r="BS390">
        <v>0</v>
      </c>
      <c r="BT390">
        <v>0</v>
      </c>
      <c r="BU390">
        <v>8.7826600000000005E-2</v>
      </c>
      <c r="BV390">
        <v>8.7826600000000005E-2</v>
      </c>
      <c r="BW390">
        <v>-36.507599999999996</v>
      </c>
      <c r="BX390">
        <v>-36.507599999999996</v>
      </c>
      <c r="BY390">
        <v>167.1096</v>
      </c>
      <c r="BZ390">
        <v>167.1096</v>
      </c>
      <c r="CA390">
        <v>0</v>
      </c>
      <c r="CB390">
        <v>0</v>
      </c>
      <c r="CC390">
        <v>0</v>
      </c>
      <c r="CD390">
        <v>180</v>
      </c>
    </row>
    <row r="391" spans="19:82">
      <c r="S391">
        <v>0.95109999999999995</v>
      </c>
      <c r="T391">
        <v>0.98199440000000005</v>
      </c>
      <c r="U391">
        <v>0.98199440000000005</v>
      </c>
      <c r="V391">
        <v>1.3999999999999999E-6</v>
      </c>
      <c r="W391">
        <v>1.3999999999999999E-6</v>
      </c>
      <c r="X391">
        <v>1.8004300000000001E-2</v>
      </c>
      <c r="Y391">
        <v>1.8004300000000001E-2</v>
      </c>
      <c r="Z391">
        <v>-70.667400000000001</v>
      </c>
      <c r="AA391">
        <v>-70.667400000000001</v>
      </c>
      <c r="AB391">
        <v>-100.6952</v>
      </c>
      <c r="AC391">
        <v>-100.6952</v>
      </c>
      <c r="AD391">
        <v>0</v>
      </c>
      <c r="AE391">
        <v>0</v>
      </c>
      <c r="AF391">
        <v>0</v>
      </c>
      <c r="AG391">
        <v>180</v>
      </c>
      <c r="AI391">
        <v>0.95109999999999995</v>
      </c>
      <c r="AJ391">
        <v>0.97661739999999997</v>
      </c>
      <c r="AK391">
        <v>0.97661739999999997</v>
      </c>
      <c r="AL391">
        <v>2.0999999999999998E-6</v>
      </c>
      <c r="AM391">
        <v>2.0999999999999998E-6</v>
      </c>
      <c r="AN391">
        <v>2.3380499999999999E-2</v>
      </c>
      <c r="AO391">
        <v>2.3380499999999999E-2</v>
      </c>
      <c r="AP391">
        <v>-56.167200000000001</v>
      </c>
      <c r="AQ391">
        <v>-56.167200000000001</v>
      </c>
      <c r="AR391">
        <v>-73.116399999999999</v>
      </c>
      <c r="AS391">
        <v>-73.116399999999999</v>
      </c>
      <c r="AT391">
        <v>0</v>
      </c>
      <c r="AU391">
        <v>0</v>
      </c>
      <c r="AV391">
        <v>0</v>
      </c>
      <c r="AW391">
        <v>180</v>
      </c>
      <c r="AY391">
        <v>0.95109999999999995</v>
      </c>
      <c r="AZ391">
        <v>4.6360000000000004E-3</v>
      </c>
      <c r="BA391">
        <v>4.6360000000000004E-3</v>
      </c>
      <c r="BB391">
        <v>0.99521360000000003</v>
      </c>
      <c r="BC391">
        <v>0.99521360000000003</v>
      </c>
      <c r="BD391">
        <v>1.504E-4</v>
      </c>
      <c r="BE391">
        <v>1.504E-4</v>
      </c>
      <c r="BF391">
        <v>120.4432</v>
      </c>
      <c r="BG391">
        <v>120.4432</v>
      </c>
      <c r="BH391">
        <v>74.171199999999999</v>
      </c>
      <c r="BI391">
        <v>74.171199999999999</v>
      </c>
      <c r="BJ391">
        <v>0</v>
      </c>
      <c r="BK391">
        <v>0</v>
      </c>
      <c r="BL391">
        <v>0</v>
      </c>
      <c r="BM391">
        <v>180</v>
      </c>
      <c r="BP391">
        <v>0.95109999999999995</v>
      </c>
      <c r="BQ391">
        <v>0.9124255</v>
      </c>
      <c r="BR391">
        <v>0.9124255</v>
      </c>
      <c r="BS391">
        <v>0</v>
      </c>
      <c r="BT391">
        <v>0</v>
      </c>
      <c r="BU391">
        <v>8.75745E-2</v>
      </c>
      <c r="BV391">
        <v>8.75745E-2</v>
      </c>
      <c r="BW391">
        <v>-36.301099999999998</v>
      </c>
      <c r="BX391">
        <v>-36.301099999999998</v>
      </c>
      <c r="BY391">
        <v>167.12649999999999</v>
      </c>
      <c r="BZ391">
        <v>167.12649999999999</v>
      </c>
      <c r="CA391">
        <v>0</v>
      </c>
      <c r="CB391">
        <v>0</v>
      </c>
      <c r="CC391">
        <v>0</v>
      </c>
      <c r="CD391">
        <v>180</v>
      </c>
    </row>
    <row r="392" spans="19:82">
      <c r="S392">
        <v>0.95245000000000002</v>
      </c>
      <c r="T392">
        <v>0.98190560000000005</v>
      </c>
      <c r="U392">
        <v>0.98190560000000005</v>
      </c>
      <c r="V392">
        <v>1.3999999999999999E-6</v>
      </c>
      <c r="W392">
        <v>1.3999999999999999E-6</v>
      </c>
      <c r="X392">
        <v>1.8093000000000001E-2</v>
      </c>
      <c r="Y392">
        <v>1.8093000000000001E-2</v>
      </c>
      <c r="Z392">
        <v>-70.510300000000001</v>
      </c>
      <c r="AA392">
        <v>-70.510300000000001</v>
      </c>
      <c r="AB392">
        <v>-100.3664</v>
      </c>
      <c r="AC392">
        <v>-100.3664</v>
      </c>
      <c r="AD392">
        <v>0</v>
      </c>
      <c r="AE392">
        <v>0</v>
      </c>
      <c r="AF392">
        <v>0</v>
      </c>
      <c r="AG392">
        <v>180</v>
      </c>
      <c r="AI392">
        <v>0.95245000000000002</v>
      </c>
      <c r="AJ392">
        <v>0.97649810000000004</v>
      </c>
      <c r="AK392">
        <v>0.97649810000000004</v>
      </c>
      <c r="AL392">
        <v>2.0999999999999998E-6</v>
      </c>
      <c r="AM392">
        <v>2.0999999999999998E-6</v>
      </c>
      <c r="AN392">
        <v>2.3499800000000001E-2</v>
      </c>
      <c r="AO392">
        <v>2.3499800000000001E-2</v>
      </c>
      <c r="AP392">
        <v>-55.982100000000003</v>
      </c>
      <c r="AQ392">
        <v>-55.982100000000003</v>
      </c>
      <c r="AR392">
        <v>-72.727699999999999</v>
      </c>
      <c r="AS392">
        <v>-72.727699999999999</v>
      </c>
      <c r="AT392">
        <v>0</v>
      </c>
      <c r="AU392">
        <v>0</v>
      </c>
      <c r="AV392">
        <v>0</v>
      </c>
      <c r="AW392">
        <v>180</v>
      </c>
      <c r="AY392">
        <v>0.95245000000000002</v>
      </c>
      <c r="AZ392">
        <v>4.7848999999999999E-3</v>
      </c>
      <c r="BA392">
        <v>4.7848999999999999E-3</v>
      </c>
      <c r="BB392">
        <v>0.99506510000000004</v>
      </c>
      <c r="BC392">
        <v>0.99506510000000004</v>
      </c>
      <c r="BD392">
        <v>1.4999999999999999E-4</v>
      </c>
      <c r="BE392">
        <v>1.4999999999999999E-4</v>
      </c>
      <c r="BF392">
        <v>120.8004</v>
      </c>
      <c r="BG392">
        <v>120.8004</v>
      </c>
      <c r="BH392">
        <v>74.006600000000006</v>
      </c>
      <c r="BI392">
        <v>74.006600000000006</v>
      </c>
      <c r="BJ392">
        <v>0</v>
      </c>
      <c r="BK392">
        <v>0</v>
      </c>
      <c r="BL392">
        <v>0</v>
      </c>
      <c r="BM392">
        <v>180</v>
      </c>
      <c r="BP392">
        <v>0.95245000000000002</v>
      </c>
      <c r="BQ392">
        <v>0.9125858</v>
      </c>
      <c r="BR392">
        <v>0.9125858</v>
      </c>
      <c r="BS392">
        <v>0</v>
      </c>
      <c r="BT392">
        <v>0</v>
      </c>
      <c r="BU392">
        <v>8.7414199999999997E-2</v>
      </c>
      <c r="BV392">
        <v>8.7414199999999997E-2</v>
      </c>
      <c r="BW392">
        <v>-36.174799999999998</v>
      </c>
      <c r="BX392">
        <v>-36.174799999999998</v>
      </c>
      <c r="BY392">
        <v>167.14109999999999</v>
      </c>
      <c r="BZ392">
        <v>167.14109999999999</v>
      </c>
      <c r="CA392">
        <v>0</v>
      </c>
      <c r="CB392">
        <v>0</v>
      </c>
      <c r="CC392">
        <v>0</v>
      </c>
      <c r="CD392">
        <v>180</v>
      </c>
    </row>
    <row r="393" spans="19:82">
      <c r="S393">
        <v>0.95379999999999998</v>
      </c>
      <c r="T393">
        <v>0.98181660000000004</v>
      </c>
      <c r="U393">
        <v>0.98181660000000004</v>
      </c>
      <c r="V393">
        <v>1.3999999999999999E-6</v>
      </c>
      <c r="W393">
        <v>1.3999999999999999E-6</v>
      </c>
      <c r="X393">
        <v>1.8182E-2</v>
      </c>
      <c r="Y393">
        <v>1.8182E-2</v>
      </c>
      <c r="Z393">
        <v>-70.352999999999994</v>
      </c>
      <c r="AA393">
        <v>-70.352999999999994</v>
      </c>
      <c r="AB393">
        <v>-100.0373</v>
      </c>
      <c r="AC393">
        <v>-100.0373</v>
      </c>
      <c r="AD393">
        <v>0</v>
      </c>
      <c r="AE393">
        <v>0</v>
      </c>
      <c r="AF393">
        <v>0</v>
      </c>
      <c r="AG393">
        <v>180</v>
      </c>
      <c r="AI393">
        <v>0.95379999999999998</v>
      </c>
      <c r="AJ393">
        <v>0.97637879999999999</v>
      </c>
      <c r="AK393">
        <v>0.97637879999999999</v>
      </c>
      <c r="AL393">
        <v>2.0999999999999998E-6</v>
      </c>
      <c r="AM393">
        <v>2.0999999999999998E-6</v>
      </c>
      <c r="AN393">
        <v>2.3619100000000001E-2</v>
      </c>
      <c r="AO393">
        <v>2.3619100000000001E-2</v>
      </c>
      <c r="AP393">
        <v>-55.796799999999998</v>
      </c>
      <c r="AQ393">
        <v>-55.796799999999998</v>
      </c>
      <c r="AR393">
        <v>-72.338700000000003</v>
      </c>
      <c r="AS393">
        <v>-72.338700000000003</v>
      </c>
      <c r="AT393">
        <v>0</v>
      </c>
      <c r="AU393">
        <v>0</v>
      </c>
      <c r="AV393">
        <v>0</v>
      </c>
      <c r="AW393">
        <v>180</v>
      </c>
      <c r="AY393">
        <v>0.95379999999999998</v>
      </c>
      <c r="AZ393">
        <v>4.9367999999999999E-3</v>
      </c>
      <c r="BA393">
        <v>4.9367999999999999E-3</v>
      </c>
      <c r="BB393">
        <v>0.99491370000000001</v>
      </c>
      <c r="BC393">
        <v>0.99491370000000001</v>
      </c>
      <c r="BD393">
        <v>1.495E-4</v>
      </c>
      <c r="BE393">
        <v>1.495E-4</v>
      </c>
      <c r="BF393">
        <v>121.1566</v>
      </c>
      <c r="BG393">
        <v>121.1566</v>
      </c>
      <c r="BH393">
        <v>73.854200000000006</v>
      </c>
      <c r="BI393">
        <v>73.854200000000006</v>
      </c>
      <c r="BJ393">
        <v>0</v>
      </c>
      <c r="BK393">
        <v>0</v>
      </c>
      <c r="BL393">
        <v>0</v>
      </c>
      <c r="BM393">
        <v>180</v>
      </c>
      <c r="BP393">
        <v>0.95379999999999998</v>
      </c>
      <c r="BQ393">
        <v>0.91274569999999999</v>
      </c>
      <c r="BR393">
        <v>0.91274569999999999</v>
      </c>
      <c r="BS393">
        <v>0</v>
      </c>
      <c r="BT393">
        <v>0</v>
      </c>
      <c r="BU393">
        <v>8.7254300000000007E-2</v>
      </c>
      <c r="BV393">
        <v>8.7254300000000007E-2</v>
      </c>
      <c r="BW393">
        <v>-36.048699999999997</v>
      </c>
      <c r="BX393">
        <v>-36.048699999999997</v>
      </c>
      <c r="BY393">
        <v>167.15559999999999</v>
      </c>
      <c r="BZ393">
        <v>167.15559999999999</v>
      </c>
      <c r="CA393">
        <v>0</v>
      </c>
      <c r="CB393">
        <v>0</v>
      </c>
      <c r="CC393">
        <v>0</v>
      </c>
      <c r="CD393">
        <v>180</v>
      </c>
    </row>
    <row r="394" spans="19:82">
      <c r="S394">
        <v>0.95515000000000005</v>
      </c>
      <c r="T394">
        <v>0.98172740000000003</v>
      </c>
      <c r="U394">
        <v>0.98172740000000003</v>
      </c>
      <c r="V394">
        <v>1.3999999999999999E-6</v>
      </c>
      <c r="W394">
        <v>1.3999999999999999E-6</v>
      </c>
      <c r="X394">
        <v>1.8271300000000001E-2</v>
      </c>
      <c r="Y394">
        <v>1.8271300000000001E-2</v>
      </c>
      <c r="Z394">
        <v>-70.195400000000006</v>
      </c>
      <c r="AA394">
        <v>-70.195400000000006</v>
      </c>
      <c r="AB394">
        <v>-99.707700000000003</v>
      </c>
      <c r="AC394">
        <v>-99.707700000000003</v>
      </c>
      <c r="AD394">
        <v>0</v>
      </c>
      <c r="AE394">
        <v>0</v>
      </c>
      <c r="AF394">
        <v>0</v>
      </c>
      <c r="AG394">
        <v>180</v>
      </c>
      <c r="AI394">
        <v>0.95515000000000005</v>
      </c>
      <c r="AJ394">
        <v>0.9762594</v>
      </c>
      <c r="AK394">
        <v>0.9762594</v>
      </c>
      <c r="AL394">
        <v>2.0999999999999998E-6</v>
      </c>
      <c r="AM394">
        <v>2.0999999999999998E-6</v>
      </c>
      <c r="AN394">
        <v>2.3738499999999999E-2</v>
      </c>
      <c r="AO394">
        <v>2.3738499999999999E-2</v>
      </c>
      <c r="AP394">
        <v>-55.611400000000003</v>
      </c>
      <c r="AQ394">
        <v>-55.611400000000003</v>
      </c>
      <c r="AR394">
        <v>-71.949399999999997</v>
      </c>
      <c r="AS394">
        <v>-71.949399999999997</v>
      </c>
      <c r="AT394">
        <v>0</v>
      </c>
      <c r="AU394">
        <v>0</v>
      </c>
      <c r="AV394">
        <v>0</v>
      </c>
      <c r="AW394">
        <v>180</v>
      </c>
      <c r="AY394">
        <v>0.95515000000000005</v>
      </c>
      <c r="AZ394">
        <v>5.0917000000000002E-3</v>
      </c>
      <c r="BA394">
        <v>5.0917000000000002E-3</v>
      </c>
      <c r="BB394">
        <v>0.99475930000000001</v>
      </c>
      <c r="BC394">
        <v>0.99475930000000001</v>
      </c>
      <c r="BD394">
        <v>1.4909999999999999E-4</v>
      </c>
      <c r="BE394">
        <v>1.4909999999999999E-4</v>
      </c>
      <c r="BF394">
        <v>121.51179999999999</v>
      </c>
      <c r="BG394">
        <v>121.51179999999999</v>
      </c>
      <c r="BH394">
        <v>73.7136</v>
      </c>
      <c r="BI394">
        <v>73.7136</v>
      </c>
      <c r="BJ394">
        <v>0</v>
      </c>
      <c r="BK394">
        <v>0</v>
      </c>
      <c r="BL394">
        <v>0</v>
      </c>
      <c r="BM394">
        <v>180</v>
      </c>
      <c r="BP394">
        <v>0.95515000000000005</v>
      </c>
      <c r="BQ394">
        <v>0.91290510000000002</v>
      </c>
      <c r="BR394">
        <v>0.91290510000000002</v>
      </c>
      <c r="BS394">
        <v>0</v>
      </c>
      <c r="BT394">
        <v>0</v>
      </c>
      <c r="BU394">
        <v>8.7094900000000003E-2</v>
      </c>
      <c r="BV394">
        <v>8.7094900000000003E-2</v>
      </c>
      <c r="BW394">
        <v>-35.923000000000002</v>
      </c>
      <c r="BX394">
        <v>-35.923000000000002</v>
      </c>
      <c r="BY394">
        <v>167.17019999999999</v>
      </c>
      <c r="BZ394">
        <v>167.17019999999999</v>
      </c>
      <c r="CA394">
        <v>0</v>
      </c>
      <c r="CB394">
        <v>0</v>
      </c>
      <c r="CC394">
        <v>0</v>
      </c>
      <c r="CD394">
        <v>180</v>
      </c>
    </row>
    <row r="395" spans="19:82">
      <c r="S395">
        <v>0.95650000000000002</v>
      </c>
      <c r="T395">
        <v>0.98163789999999995</v>
      </c>
      <c r="U395">
        <v>0.98163789999999995</v>
      </c>
      <c r="V395">
        <v>1.3999999999999999E-6</v>
      </c>
      <c r="W395">
        <v>1.3999999999999999E-6</v>
      </c>
      <c r="X395">
        <v>1.8360700000000001E-2</v>
      </c>
      <c r="Y395">
        <v>1.8360700000000001E-2</v>
      </c>
      <c r="Z395">
        <v>-70.037700000000001</v>
      </c>
      <c r="AA395">
        <v>-70.037700000000001</v>
      </c>
      <c r="AB395">
        <v>-99.377799999999993</v>
      </c>
      <c r="AC395">
        <v>-99.377799999999993</v>
      </c>
      <c r="AD395">
        <v>0</v>
      </c>
      <c r="AE395">
        <v>0</v>
      </c>
      <c r="AF395">
        <v>0</v>
      </c>
      <c r="AG395">
        <v>180</v>
      </c>
      <c r="AI395">
        <v>0.95650000000000002</v>
      </c>
      <c r="AJ395">
        <v>0.97614000000000001</v>
      </c>
      <c r="AK395">
        <v>0.97614000000000001</v>
      </c>
      <c r="AL395">
        <v>2.2000000000000001E-6</v>
      </c>
      <c r="AM395">
        <v>2.2000000000000001E-6</v>
      </c>
      <c r="AN395">
        <v>2.3857799999999998E-2</v>
      </c>
      <c r="AO395">
        <v>2.3857799999999998E-2</v>
      </c>
      <c r="AP395">
        <v>-55.425800000000002</v>
      </c>
      <c r="AQ395">
        <v>-55.425800000000002</v>
      </c>
      <c r="AR395">
        <v>-71.559799999999996</v>
      </c>
      <c r="AS395">
        <v>-71.559799999999996</v>
      </c>
      <c r="AT395">
        <v>0</v>
      </c>
      <c r="AU395">
        <v>0</v>
      </c>
      <c r="AV395">
        <v>0</v>
      </c>
      <c r="AW395">
        <v>180</v>
      </c>
      <c r="AY395">
        <v>0.95650000000000002</v>
      </c>
      <c r="AZ395">
        <v>5.2496000000000001E-3</v>
      </c>
      <c r="BA395">
        <v>5.2496000000000001E-3</v>
      </c>
      <c r="BB395">
        <v>0.99460179999999998</v>
      </c>
      <c r="BC395">
        <v>0.99460179999999998</v>
      </c>
      <c r="BD395">
        <v>1.4860000000000001E-4</v>
      </c>
      <c r="BE395">
        <v>1.4860000000000001E-4</v>
      </c>
      <c r="BF395">
        <v>121.8661</v>
      </c>
      <c r="BG395">
        <v>121.8661</v>
      </c>
      <c r="BH395">
        <v>73.584299999999999</v>
      </c>
      <c r="BI395">
        <v>73.584299999999999</v>
      </c>
      <c r="BJ395">
        <v>0</v>
      </c>
      <c r="BK395">
        <v>0</v>
      </c>
      <c r="BL395">
        <v>0</v>
      </c>
      <c r="BM395">
        <v>180</v>
      </c>
      <c r="BP395">
        <v>0.95650000000000002</v>
      </c>
      <c r="BQ395">
        <v>0.91306399999999999</v>
      </c>
      <c r="BR395">
        <v>0.91306399999999999</v>
      </c>
      <c r="BS395">
        <v>0</v>
      </c>
      <c r="BT395">
        <v>0</v>
      </c>
      <c r="BU395">
        <v>8.6935999999999999E-2</v>
      </c>
      <c r="BV395">
        <v>8.6935999999999999E-2</v>
      </c>
      <c r="BW395">
        <v>-35.797699999999999</v>
      </c>
      <c r="BX395">
        <v>-35.797699999999999</v>
      </c>
      <c r="BY395">
        <v>167.18469999999999</v>
      </c>
      <c r="BZ395">
        <v>167.18469999999999</v>
      </c>
      <c r="CA395">
        <v>0</v>
      </c>
      <c r="CB395">
        <v>0</v>
      </c>
      <c r="CC395">
        <v>0</v>
      </c>
      <c r="CD395">
        <v>180</v>
      </c>
    </row>
    <row r="396" spans="19:82">
      <c r="S396">
        <v>0.95784999999999998</v>
      </c>
      <c r="T396">
        <v>0.98154810000000003</v>
      </c>
      <c r="U396">
        <v>0.98154810000000003</v>
      </c>
      <c r="V396">
        <v>1.3999999999999999E-6</v>
      </c>
      <c r="W396">
        <v>1.3999999999999999E-6</v>
      </c>
      <c r="X396">
        <v>1.8450500000000002E-2</v>
      </c>
      <c r="Y396">
        <v>1.8450500000000002E-2</v>
      </c>
      <c r="Z396">
        <v>-69.8797</v>
      </c>
      <c r="AA396">
        <v>-69.8797</v>
      </c>
      <c r="AB396">
        <v>-99.047499999999999</v>
      </c>
      <c r="AC396">
        <v>-99.047499999999999</v>
      </c>
      <c r="AD396">
        <v>0</v>
      </c>
      <c r="AE396">
        <v>0</v>
      </c>
      <c r="AF396">
        <v>0</v>
      </c>
      <c r="AG396">
        <v>180</v>
      </c>
      <c r="AI396">
        <v>0.95784999999999998</v>
      </c>
      <c r="AJ396">
        <v>0.97602060000000002</v>
      </c>
      <c r="AK396">
        <v>0.97602060000000002</v>
      </c>
      <c r="AL396">
        <v>2.2000000000000001E-6</v>
      </c>
      <c r="AM396">
        <v>2.2000000000000001E-6</v>
      </c>
      <c r="AN396">
        <v>2.3977200000000001E-2</v>
      </c>
      <c r="AO396">
        <v>2.3977200000000001E-2</v>
      </c>
      <c r="AP396">
        <v>-55.240099999999998</v>
      </c>
      <c r="AQ396">
        <v>-55.240099999999998</v>
      </c>
      <c r="AR396">
        <v>-71.169899999999998</v>
      </c>
      <c r="AS396">
        <v>-71.169899999999998</v>
      </c>
      <c r="AT396">
        <v>0</v>
      </c>
      <c r="AU396">
        <v>0</v>
      </c>
      <c r="AV396">
        <v>0</v>
      </c>
      <c r="AW396">
        <v>180</v>
      </c>
      <c r="AY396">
        <v>0.95784999999999998</v>
      </c>
      <c r="AZ396">
        <v>5.4104000000000001E-3</v>
      </c>
      <c r="BA396">
        <v>5.4104000000000001E-3</v>
      </c>
      <c r="BB396">
        <v>0.99444140000000003</v>
      </c>
      <c r="BC396">
        <v>0.99444140000000003</v>
      </c>
      <c r="BD396">
        <v>1.482E-4</v>
      </c>
      <c r="BE396">
        <v>1.482E-4</v>
      </c>
      <c r="BF396">
        <v>122.21939999999999</v>
      </c>
      <c r="BG396">
        <v>122.21939999999999</v>
      </c>
      <c r="BH396">
        <v>73.465800000000002</v>
      </c>
      <c r="BI396">
        <v>73.465800000000002</v>
      </c>
      <c r="BJ396">
        <v>0</v>
      </c>
      <c r="BK396">
        <v>0</v>
      </c>
      <c r="BL396">
        <v>0</v>
      </c>
      <c r="BM396">
        <v>180</v>
      </c>
      <c r="BP396">
        <v>0.95784999999999998</v>
      </c>
      <c r="BQ396">
        <v>0.91322239999999999</v>
      </c>
      <c r="BR396">
        <v>0.91322239999999999</v>
      </c>
      <c r="BS396">
        <v>0</v>
      </c>
      <c r="BT396">
        <v>0</v>
      </c>
      <c r="BU396">
        <v>8.6777599999999996E-2</v>
      </c>
      <c r="BV396">
        <v>8.6777599999999996E-2</v>
      </c>
      <c r="BW396">
        <v>-35.672600000000003</v>
      </c>
      <c r="BX396">
        <v>-35.672600000000003</v>
      </c>
      <c r="BY396">
        <v>167.19919999999999</v>
      </c>
      <c r="BZ396">
        <v>167.19919999999999</v>
      </c>
      <c r="CA396">
        <v>0</v>
      </c>
      <c r="CB396">
        <v>0</v>
      </c>
      <c r="CC396">
        <v>0</v>
      </c>
      <c r="CD396">
        <v>180</v>
      </c>
    </row>
    <row r="397" spans="19:82">
      <c r="S397">
        <v>0.95920000000000005</v>
      </c>
      <c r="T397">
        <v>0.98145819999999995</v>
      </c>
      <c r="U397">
        <v>0.98145819999999995</v>
      </c>
      <c r="V397">
        <v>1.3999999999999999E-6</v>
      </c>
      <c r="W397">
        <v>1.3999999999999999E-6</v>
      </c>
      <c r="X397">
        <v>1.8540399999999999E-2</v>
      </c>
      <c r="Y397">
        <v>1.8540399999999999E-2</v>
      </c>
      <c r="Z397">
        <v>-69.721500000000006</v>
      </c>
      <c r="AA397">
        <v>-69.721500000000006</v>
      </c>
      <c r="AB397">
        <v>-98.716800000000006</v>
      </c>
      <c r="AC397">
        <v>-98.716800000000006</v>
      </c>
      <c r="AD397">
        <v>0</v>
      </c>
      <c r="AE397">
        <v>0</v>
      </c>
      <c r="AF397">
        <v>0</v>
      </c>
      <c r="AG397">
        <v>180</v>
      </c>
      <c r="AI397">
        <v>0.95920000000000005</v>
      </c>
      <c r="AJ397">
        <v>0.97590120000000002</v>
      </c>
      <c r="AK397">
        <v>0.97590120000000002</v>
      </c>
      <c r="AL397">
        <v>2.2000000000000001E-6</v>
      </c>
      <c r="AM397">
        <v>2.2000000000000001E-6</v>
      </c>
      <c r="AN397">
        <v>2.4096599999999999E-2</v>
      </c>
      <c r="AO397">
        <v>2.4096599999999999E-2</v>
      </c>
      <c r="AP397">
        <v>-55.054200000000002</v>
      </c>
      <c r="AQ397">
        <v>-55.054200000000002</v>
      </c>
      <c r="AR397">
        <v>-70.779799999999994</v>
      </c>
      <c r="AS397">
        <v>-70.779799999999994</v>
      </c>
      <c r="AT397">
        <v>0</v>
      </c>
      <c r="AU397">
        <v>0</v>
      </c>
      <c r="AV397">
        <v>0</v>
      </c>
      <c r="AW397">
        <v>180</v>
      </c>
      <c r="AY397">
        <v>0.95920000000000005</v>
      </c>
      <c r="AZ397">
        <v>5.5742999999999999E-3</v>
      </c>
      <c r="BA397">
        <v>5.5742999999999999E-3</v>
      </c>
      <c r="BB397">
        <v>0.994278</v>
      </c>
      <c r="BC397">
        <v>0.994278</v>
      </c>
      <c r="BD397">
        <v>1.4770000000000001E-4</v>
      </c>
      <c r="BE397">
        <v>1.4770000000000001E-4</v>
      </c>
      <c r="BF397">
        <v>122.5718</v>
      </c>
      <c r="BG397">
        <v>122.5718</v>
      </c>
      <c r="BH397">
        <v>73.357799999999997</v>
      </c>
      <c r="BI397">
        <v>73.357799999999997</v>
      </c>
      <c r="BJ397">
        <v>0</v>
      </c>
      <c r="BK397">
        <v>0</v>
      </c>
      <c r="BL397">
        <v>0</v>
      </c>
      <c r="BM397">
        <v>180</v>
      </c>
      <c r="BP397">
        <v>0.95920000000000005</v>
      </c>
      <c r="BQ397">
        <v>0.91338030000000003</v>
      </c>
      <c r="BR397">
        <v>0.91338030000000003</v>
      </c>
      <c r="BS397">
        <v>0</v>
      </c>
      <c r="BT397">
        <v>0</v>
      </c>
      <c r="BU397">
        <v>8.6619699999999994E-2</v>
      </c>
      <c r="BV397">
        <v>8.6619699999999994E-2</v>
      </c>
      <c r="BW397">
        <v>-35.547899999999998</v>
      </c>
      <c r="BX397">
        <v>-35.547899999999998</v>
      </c>
      <c r="BY397">
        <v>167.21360000000001</v>
      </c>
      <c r="BZ397">
        <v>167.21360000000001</v>
      </c>
      <c r="CA397">
        <v>0</v>
      </c>
      <c r="CB397">
        <v>0</v>
      </c>
      <c r="CC397">
        <v>0</v>
      </c>
      <c r="CD397">
        <v>180</v>
      </c>
    </row>
    <row r="398" spans="19:82">
      <c r="S398">
        <v>0.96055000000000001</v>
      </c>
      <c r="T398">
        <v>0.98136800000000002</v>
      </c>
      <c r="U398">
        <v>0.98136800000000002</v>
      </c>
      <c r="V398">
        <v>1.3999999999999999E-6</v>
      </c>
      <c r="W398">
        <v>1.3999999999999999E-6</v>
      </c>
      <c r="X398">
        <v>1.8630600000000001E-2</v>
      </c>
      <c r="Y398">
        <v>1.8630600000000001E-2</v>
      </c>
      <c r="Z398">
        <v>-69.563100000000006</v>
      </c>
      <c r="AA398">
        <v>-69.563100000000006</v>
      </c>
      <c r="AB398">
        <v>-98.3857</v>
      </c>
      <c r="AC398">
        <v>-98.3857</v>
      </c>
      <c r="AD398">
        <v>0</v>
      </c>
      <c r="AE398">
        <v>0</v>
      </c>
      <c r="AF398">
        <v>0</v>
      </c>
      <c r="AG398">
        <v>180</v>
      </c>
      <c r="AI398">
        <v>0.96055000000000001</v>
      </c>
      <c r="AJ398">
        <v>0.97578180000000003</v>
      </c>
      <c r="AK398">
        <v>0.97578180000000003</v>
      </c>
      <c r="AL398">
        <v>2.2000000000000001E-6</v>
      </c>
      <c r="AM398">
        <v>2.2000000000000001E-6</v>
      </c>
      <c r="AN398">
        <v>2.4216000000000001E-2</v>
      </c>
      <c r="AO398">
        <v>2.4216000000000001E-2</v>
      </c>
      <c r="AP398">
        <v>-54.868099999999998</v>
      </c>
      <c r="AQ398">
        <v>-54.868099999999998</v>
      </c>
      <c r="AR398">
        <v>-70.389300000000006</v>
      </c>
      <c r="AS398">
        <v>-70.389300000000006</v>
      </c>
      <c r="AT398">
        <v>0</v>
      </c>
      <c r="AU398">
        <v>0</v>
      </c>
      <c r="AV398">
        <v>0</v>
      </c>
      <c r="AW398">
        <v>180</v>
      </c>
      <c r="AY398">
        <v>0.96055000000000001</v>
      </c>
      <c r="AZ398">
        <v>5.7412000000000001E-3</v>
      </c>
      <c r="BA398">
        <v>5.7412000000000001E-3</v>
      </c>
      <c r="BB398">
        <v>0.99411159999999998</v>
      </c>
      <c r="BC398">
        <v>0.99411159999999998</v>
      </c>
      <c r="BD398">
        <v>1.473E-4</v>
      </c>
      <c r="BE398">
        <v>1.473E-4</v>
      </c>
      <c r="BF398">
        <v>122.92319999999999</v>
      </c>
      <c r="BG398">
        <v>122.92319999999999</v>
      </c>
      <c r="BH398">
        <v>73.259699999999995</v>
      </c>
      <c r="BI398">
        <v>73.259699999999995</v>
      </c>
      <c r="BJ398">
        <v>0</v>
      </c>
      <c r="BK398">
        <v>0</v>
      </c>
      <c r="BL398">
        <v>0</v>
      </c>
      <c r="BM398">
        <v>180</v>
      </c>
      <c r="BP398">
        <v>0.96055000000000001</v>
      </c>
      <c r="BQ398">
        <v>0.91353779999999996</v>
      </c>
      <c r="BR398">
        <v>0.91353779999999996</v>
      </c>
      <c r="BS398">
        <v>0</v>
      </c>
      <c r="BT398">
        <v>0</v>
      </c>
      <c r="BU398">
        <v>8.6462200000000003E-2</v>
      </c>
      <c r="BV398">
        <v>8.6462200000000003E-2</v>
      </c>
      <c r="BW398">
        <v>-35.4236</v>
      </c>
      <c r="BX398">
        <v>-35.4236</v>
      </c>
      <c r="BY398">
        <v>167.22800000000001</v>
      </c>
      <c r="BZ398">
        <v>167.22800000000001</v>
      </c>
      <c r="CA398">
        <v>0</v>
      </c>
      <c r="CB398">
        <v>0</v>
      </c>
      <c r="CC398">
        <v>0</v>
      </c>
      <c r="CD398">
        <v>180</v>
      </c>
    </row>
    <row r="399" spans="19:82">
      <c r="S399">
        <v>0.96189999999999998</v>
      </c>
      <c r="T399">
        <v>0.98127759999999997</v>
      </c>
      <c r="U399">
        <v>0.98127759999999997</v>
      </c>
      <c r="V399">
        <v>1.3999999999999999E-6</v>
      </c>
      <c r="W399">
        <v>1.3999999999999999E-6</v>
      </c>
      <c r="X399">
        <v>1.8721000000000002E-2</v>
      </c>
      <c r="Y399">
        <v>1.8721000000000002E-2</v>
      </c>
      <c r="Z399">
        <v>-69.404499999999999</v>
      </c>
      <c r="AA399">
        <v>-69.404499999999999</v>
      </c>
      <c r="AB399">
        <v>-98.054299999999998</v>
      </c>
      <c r="AC399">
        <v>-98.054299999999998</v>
      </c>
      <c r="AD399">
        <v>0</v>
      </c>
      <c r="AE399">
        <v>0</v>
      </c>
      <c r="AF399">
        <v>0</v>
      </c>
      <c r="AG399">
        <v>180</v>
      </c>
      <c r="AI399">
        <v>0.96189999999999998</v>
      </c>
      <c r="AJ399">
        <v>0.97566249999999999</v>
      </c>
      <c r="AK399">
        <v>0.97566249999999999</v>
      </c>
      <c r="AL399">
        <v>2.2000000000000001E-6</v>
      </c>
      <c r="AM399">
        <v>2.2000000000000001E-6</v>
      </c>
      <c r="AN399">
        <v>2.4335300000000001E-2</v>
      </c>
      <c r="AO399">
        <v>2.4335300000000001E-2</v>
      </c>
      <c r="AP399">
        <v>-54.681899999999999</v>
      </c>
      <c r="AQ399">
        <v>-54.681899999999999</v>
      </c>
      <c r="AR399">
        <v>-69.998599999999996</v>
      </c>
      <c r="AS399">
        <v>-69.998599999999996</v>
      </c>
      <c r="AT399">
        <v>0</v>
      </c>
      <c r="AU399">
        <v>0</v>
      </c>
      <c r="AV399">
        <v>0</v>
      </c>
      <c r="AW399">
        <v>180</v>
      </c>
      <c r="AY399">
        <v>0.96189999999999998</v>
      </c>
      <c r="AZ399">
        <v>5.9109999999999996E-3</v>
      </c>
      <c r="BA399">
        <v>5.9109999999999996E-3</v>
      </c>
      <c r="BB399">
        <v>0.9939422</v>
      </c>
      <c r="BC399">
        <v>0.9939422</v>
      </c>
      <c r="BD399">
        <v>1.4679999999999999E-4</v>
      </c>
      <c r="BE399">
        <v>1.4679999999999999E-4</v>
      </c>
      <c r="BF399">
        <v>123.2736</v>
      </c>
      <c r="BG399">
        <v>123.2736</v>
      </c>
      <c r="BH399">
        <v>73.171199999999999</v>
      </c>
      <c r="BI399">
        <v>73.171199999999999</v>
      </c>
      <c r="BJ399">
        <v>0</v>
      </c>
      <c r="BK399">
        <v>0</v>
      </c>
      <c r="BL399">
        <v>0</v>
      </c>
      <c r="BM399">
        <v>180</v>
      </c>
      <c r="BP399">
        <v>0.96189999999999998</v>
      </c>
      <c r="BQ399">
        <v>0.91369480000000003</v>
      </c>
      <c r="BR399">
        <v>0.91369480000000003</v>
      </c>
      <c r="BS399">
        <v>0</v>
      </c>
      <c r="BT399">
        <v>0</v>
      </c>
      <c r="BU399">
        <v>8.6305199999999999E-2</v>
      </c>
      <c r="BV399">
        <v>8.6305199999999999E-2</v>
      </c>
      <c r="BW399">
        <v>-35.299500000000002</v>
      </c>
      <c r="BX399">
        <v>-35.299500000000002</v>
      </c>
      <c r="BY399">
        <v>167.2424</v>
      </c>
      <c r="BZ399">
        <v>167.2424</v>
      </c>
      <c r="CA399">
        <v>0</v>
      </c>
      <c r="CB399">
        <v>0</v>
      </c>
      <c r="CC399">
        <v>0</v>
      </c>
      <c r="CD399">
        <v>180</v>
      </c>
    </row>
    <row r="400" spans="19:82">
      <c r="S400">
        <v>0.96325000000000005</v>
      </c>
      <c r="T400">
        <v>0.98118689999999997</v>
      </c>
      <c r="U400">
        <v>0.98118689999999997</v>
      </c>
      <c r="V400">
        <v>1.3999999999999999E-6</v>
      </c>
      <c r="W400">
        <v>1.3999999999999999E-6</v>
      </c>
      <c r="X400">
        <v>1.8811600000000001E-2</v>
      </c>
      <c r="Y400">
        <v>1.8811600000000001E-2</v>
      </c>
      <c r="Z400">
        <v>-69.245699999999999</v>
      </c>
      <c r="AA400">
        <v>-69.245699999999999</v>
      </c>
      <c r="AB400">
        <v>-97.722499999999997</v>
      </c>
      <c r="AC400">
        <v>-97.722499999999997</v>
      </c>
      <c r="AD400">
        <v>0</v>
      </c>
      <c r="AE400">
        <v>0</v>
      </c>
      <c r="AF400">
        <v>0</v>
      </c>
      <c r="AG400">
        <v>180</v>
      </c>
      <c r="AI400">
        <v>0.96325000000000005</v>
      </c>
      <c r="AJ400">
        <v>0.9755431</v>
      </c>
      <c r="AK400">
        <v>0.9755431</v>
      </c>
      <c r="AL400">
        <v>2.2000000000000001E-6</v>
      </c>
      <c r="AM400">
        <v>2.2000000000000001E-6</v>
      </c>
      <c r="AN400">
        <v>2.4454699999999999E-2</v>
      </c>
      <c r="AO400">
        <v>2.4454699999999999E-2</v>
      </c>
      <c r="AP400">
        <v>-54.4955</v>
      </c>
      <c r="AQ400">
        <v>-54.4955</v>
      </c>
      <c r="AR400">
        <v>-69.607600000000005</v>
      </c>
      <c r="AS400">
        <v>-69.607600000000005</v>
      </c>
      <c r="AT400">
        <v>0</v>
      </c>
      <c r="AU400">
        <v>0</v>
      </c>
      <c r="AV400">
        <v>0</v>
      </c>
      <c r="AW400">
        <v>180</v>
      </c>
      <c r="AY400">
        <v>0.96325000000000005</v>
      </c>
      <c r="AZ400">
        <v>6.0838000000000003E-3</v>
      </c>
      <c r="BA400">
        <v>6.0838000000000003E-3</v>
      </c>
      <c r="BB400">
        <v>0.99376980000000004</v>
      </c>
      <c r="BC400">
        <v>0.99376980000000004</v>
      </c>
      <c r="BD400">
        <v>1.4640000000000001E-4</v>
      </c>
      <c r="BE400">
        <v>1.4640000000000001E-4</v>
      </c>
      <c r="BF400">
        <v>123.62309999999999</v>
      </c>
      <c r="BG400">
        <v>123.62309999999999</v>
      </c>
      <c r="BH400">
        <v>73.091899999999995</v>
      </c>
      <c r="BI400">
        <v>73.091899999999995</v>
      </c>
      <c r="BJ400">
        <v>0</v>
      </c>
      <c r="BK400">
        <v>0</v>
      </c>
      <c r="BL400">
        <v>0</v>
      </c>
      <c r="BM400">
        <v>180</v>
      </c>
      <c r="BP400">
        <v>0.96325000000000005</v>
      </c>
      <c r="BQ400">
        <v>0.91385130000000003</v>
      </c>
      <c r="BR400">
        <v>0.91385130000000003</v>
      </c>
      <c r="BS400">
        <v>0</v>
      </c>
      <c r="BT400">
        <v>0</v>
      </c>
      <c r="BU400">
        <v>8.6148699999999995E-2</v>
      </c>
      <c r="BV400">
        <v>8.6148699999999995E-2</v>
      </c>
      <c r="BW400">
        <v>-35.175800000000002</v>
      </c>
      <c r="BX400">
        <v>-35.175800000000002</v>
      </c>
      <c r="BY400">
        <v>167.2568</v>
      </c>
      <c r="BZ400">
        <v>167.2568</v>
      </c>
      <c r="CA400">
        <v>0</v>
      </c>
      <c r="CB400">
        <v>0</v>
      </c>
      <c r="CC400">
        <v>0</v>
      </c>
      <c r="CD400">
        <v>180</v>
      </c>
    </row>
    <row r="401" spans="19:82">
      <c r="S401">
        <v>0.96460000000000001</v>
      </c>
      <c r="T401">
        <v>0.98109610000000003</v>
      </c>
      <c r="U401">
        <v>0.98109610000000003</v>
      </c>
      <c r="V401">
        <v>1.3999999999999999E-6</v>
      </c>
      <c r="W401">
        <v>1.3999999999999999E-6</v>
      </c>
      <c r="X401">
        <v>1.8902499999999999E-2</v>
      </c>
      <c r="Y401">
        <v>1.8902499999999999E-2</v>
      </c>
      <c r="Z401">
        <v>-69.086699999999993</v>
      </c>
      <c r="AA401">
        <v>-69.086699999999993</v>
      </c>
      <c r="AB401">
        <v>-97.390299999999996</v>
      </c>
      <c r="AC401">
        <v>-97.390299999999996</v>
      </c>
      <c r="AD401">
        <v>0</v>
      </c>
      <c r="AE401">
        <v>0</v>
      </c>
      <c r="AF401">
        <v>0</v>
      </c>
      <c r="AG401">
        <v>180</v>
      </c>
      <c r="AI401">
        <v>0.96460000000000001</v>
      </c>
      <c r="AJ401">
        <v>0.97542379999999995</v>
      </c>
      <c r="AK401">
        <v>0.97542379999999995</v>
      </c>
      <c r="AL401">
        <v>2.2000000000000001E-6</v>
      </c>
      <c r="AM401">
        <v>2.2000000000000001E-6</v>
      </c>
      <c r="AN401">
        <v>2.4573999999999999E-2</v>
      </c>
      <c r="AO401">
        <v>2.4573999999999999E-2</v>
      </c>
      <c r="AP401">
        <v>-54.308900000000001</v>
      </c>
      <c r="AQ401">
        <v>-54.308900000000001</v>
      </c>
      <c r="AR401">
        <v>-69.216399999999993</v>
      </c>
      <c r="AS401">
        <v>-69.216399999999993</v>
      </c>
      <c r="AT401">
        <v>0</v>
      </c>
      <c r="AU401">
        <v>0</v>
      </c>
      <c r="AV401">
        <v>0</v>
      </c>
      <c r="AW401">
        <v>180</v>
      </c>
      <c r="AY401">
        <v>0.96460000000000001</v>
      </c>
      <c r="AZ401">
        <v>6.2595999999999997E-3</v>
      </c>
      <c r="BA401">
        <v>6.2595999999999997E-3</v>
      </c>
      <c r="BB401">
        <v>0.99359439999999999</v>
      </c>
      <c r="BC401">
        <v>0.99359439999999999</v>
      </c>
      <c r="BD401">
        <v>1.459E-4</v>
      </c>
      <c r="BE401">
        <v>1.459E-4</v>
      </c>
      <c r="BF401">
        <v>123.9717</v>
      </c>
      <c r="BG401">
        <v>123.9717</v>
      </c>
      <c r="BH401">
        <v>73.0214</v>
      </c>
      <c r="BI401">
        <v>73.0214</v>
      </c>
      <c r="BJ401">
        <v>0</v>
      </c>
      <c r="BK401">
        <v>0</v>
      </c>
      <c r="BL401">
        <v>0</v>
      </c>
      <c r="BM401">
        <v>180</v>
      </c>
      <c r="BP401">
        <v>0.96460000000000001</v>
      </c>
      <c r="BQ401">
        <v>0.91400740000000003</v>
      </c>
      <c r="BR401">
        <v>0.91400740000000003</v>
      </c>
      <c r="BS401">
        <v>0</v>
      </c>
      <c r="BT401">
        <v>0</v>
      </c>
      <c r="BU401">
        <v>8.5992600000000002E-2</v>
      </c>
      <c r="BV401">
        <v>8.5992600000000002E-2</v>
      </c>
      <c r="BW401">
        <v>-35.052500000000002</v>
      </c>
      <c r="BX401">
        <v>-35.052500000000002</v>
      </c>
      <c r="BY401">
        <v>167.27109999999999</v>
      </c>
      <c r="BZ401">
        <v>167.27109999999999</v>
      </c>
      <c r="CA401">
        <v>0</v>
      </c>
      <c r="CB401">
        <v>0</v>
      </c>
      <c r="CC401">
        <v>0</v>
      </c>
      <c r="CD401">
        <v>180</v>
      </c>
    </row>
    <row r="402" spans="19:82">
      <c r="S402">
        <v>0.96594999999999998</v>
      </c>
      <c r="T402">
        <v>0.98100500000000002</v>
      </c>
      <c r="U402">
        <v>0.98100500000000002</v>
      </c>
      <c r="V402">
        <v>1.5E-6</v>
      </c>
      <c r="W402">
        <v>1.5E-6</v>
      </c>
      <c r="X402">
        <v>1.8993599999999999E-2</v>
      </c>
      <c r="Y402">
        <v>1.8993599999999999E-2</v>
      </c>
      <c r="Z402">
        <v>-68.927499999999995</v>
      </c>
      <c r="AA402">
        <v>-68.927499999999995</v>
      </c>
      <c r="AB402">
        <v>-97.057699999999997</v>
      </c>
      <c r="AC402">
        <v>-97.057699999999997</v>
      </c>
      <c r="AD402">
        <v>0</v>
      </c>
      <c r="AE402">
        <v>0</v>
      </c>
      <c r="AF402">
        <v>0</v>
      </c>
      <c r="AG402">
        <v>180</v>
      </c>
      <c r="AI402">
        <v>0.96594999999999998</v>
      </c>
      <c r="AJ402">
        <v>0.97530450000000002</v>
      </c>
      <c r="AK402">
        <v>0.97530450000000002</v>
      </c>
      <c r="AL402">
        <v>2.2000000000000001E-6</v>
      </c>
      <c r="AM402">
        <v>2.2000000000000001E-6</v>
      </c>
      <c r="AN402">
        <v>2.4693300000000001E-2</v>
      </c>
      <c r="AO402">
        <v>2.4693300000000001E-2</v>
      </c>
      <c r="AP402">
        <v>-54.122199999999999</v>
      </c>
      <c r="AQ402">
        <v>-54.122199999999999</v>
      </c>
      <c r="AR402">
        <v>-68.8249</v>
      </c>
      <c r="AS402">
        <v>-68.8249</v>
      </c>
      <c r="AT402">
        <v>0</v>
      </c>
      <c r="AU402">
        <v>0</v>
      </c>
      <c r="AV402">
        <v>0</v>
      </c>
      <c r="AW402">
        <v>180</v>
      </c>
      <c r="AY402">
        <v>0.96594999999999998</v>
      </c>
      <c r="AZ402">
        <v>6.4384000000000004E-3</v>
      </c>
      <c r="BA402">
        <v>6.4384000000000004E-3</v>
      </c>
      <c r="BB402">
        <v>0.99341610000000002</v>
      </c>
      <c r="BC402">
        <v>0.99341610000000002</v>
      </c>
      <c r="BD402">
        <v>1.4550000000000001E-4</v>
      </c>
      <c r="BE402">
        <v>1.4550000000000001E-4</v>
      </c>
      <c r="BF402">
        <v>124.3193</v>
      </c>
      <c r="BG402">
        <v>124.3193</v>
      </c>
      <c r="BH402">
        <v>72.959500000000006</v>
      </c>
      <c r="BI402">
        <v>72.959500000000006</v>
      </c>
      <c r="BJ402">
        <v>0</v>
      </c>
      <c r="BK402">
        <v>0</v>
      </c>
      <c r="BL402">
        <v>0</v>
      </c>
      <c r="BM402">
        <v>180</v>
      </c>
      <c r="BP402">
        <v>0.96594999999999998</v>
      </c>
      <c r="BQ402">
        <v>0.91416299999999995</v>
      </c>
      <c r="BR402">
        <v>0.91416299999999995</v>
      </c>
      <c r="BS402">
        <v>0</v>
      </c>
      <c r="BT402">
        <v>0</v>
      </c>
      <c r="BU402">
        <v>8.5836999999999997E-2</v>
      </c>
      <c r="BV402">
        <v>8.5836999999999997E-2</v>
      </c>
      <c r="BW402">
        <v>-34.929400000000001</v>
      </c>
      <c r="BX402">
        <v>-34.929400000000001</v>
      </c>
      <c r="BY402">
        <v>167.28540000000001</v>
      </c>
      <c r="BZ402">
        <v>167.28540000000001</v>
      </c>
      <c r="CA402">
        <v>0</v>
      </c>
      <c r="CB402">
        <v>0</v>
      </c>
      <c r="CC402">
        <v>0</v>
      </c>
      <c r="CD402">
        <v>180</v>
      </c>
    </row>
    <row r="403" spans="19:82">
      <c r="S403">
        <v>0.96730000000000005</v>
      </c>
      <c r="T403">
        <v>0.9809137</v>
      </c>
      <c r="U403">
        <v>0.9809137</v>
      </c>
      <c r="V403">
        <v>1.5E-6</v>
      </c>
      <c r="W403">
        <v>1.5E-6</v>
      </c>
      <c r="X403">
        <v>1.9084899999999998E-2</v>
      </c>
      <c r="Y403">
        <v>1.9084899999999998E-2</v>
      </c>
      <c r="Z403">
        <v>-68.768000000000001</v>
      </c>
      <c r="AA403">
        <v>-68.768000000000001</v>
      </c>
      <c r="AB403">
        <v>-96.724699999999999</v>
      </c>
      <c r="AC403">
        <v>-96.724699999999999</v>
      </c>
      <c r="AD403">
        <v>0</v>
      </c>
      <c r="AE403">
        <v>0</v>
      </c>
      <c r="AF403">
        <v>0</v>
      </c>
      <c r="AG403">
        <v>180</v>
      </c>
      <c r="AI403">
        <v>0.96730000000000005</v>
      </c>
      <c r="AJ403">
        <v>0.97518519999999997</v>
      </c>
      <c r="AK403">
        <v>0.97518519999999997</v>
      </c>
      <c r="AL403">
        <v>2.3E-6</v>
      </c>
      <c r="AM403">
        <v>2.3E-6</v>
      </c>
      <c r="AN403">
        <v>2.4812500000000001E-2</v>
      </c>
      <c r="AO403">
        <v>2.4812500000000001E-2</v>
      </c>
      <c r="AP403">
        <v>-53.935400000000001</v>
      </c>
      <c r="AQ403">
        <v>-53.935400000000001</v>
      </c>
      <c r="AR403">
        <v>-68.433199999999999</v>
      </c>
      <c r="AS403">
        <v>-68.433199999999999</v>
      </c>
      <c r="AT403">
        <v>0</v>
      </c>
      <c r="AU403">
        <v>0</v>
      </c>
      <c r="AV403">
        <v>0</v>
      </c>
      <c r="AW403">
        <v>180</v>
      </c>
      <c r="AY403">
        <v>0.96730000000000005</v>
      </c>
      <c r="AZ403">
        <v>6.6201999999999997E-3</v>
      </c>
      <c r="BA403">
        <v>6.6201999999999997E-3</v>
      </c>
      <c r="BB403">
        <v>0.99323470000000003</v>
      </c>
      <c r="BC403">
        <v>0.99323470000000003</v>
      </c>
      <c r="BD403">
        <v>1.451E-4</v>
      </c>
      <c r="BE403">
        <v>1.451E-4</v>
      </c>
      <c r="BF403">
        <v>124.66589999999999</v>
      </c>
      <c r="BG403">
        <v>124.66589999999999</v>
      </c>
      <c r="BH403">
        <v>72.905699999999996</v>
      </c>
      <c r="BI403">
        <v>72.905699999999996</v>
      </c>
      <c r="BJ403">
        <v>0</v>
      </c>
      <c r="BK403">
        <v>0</v>
      </c>
      <c r="BL403">
        <v>0</v>
      </c>
      <c r="BM403">
        <v>180</v>
      </c>
      <c r="BP403">
        <v>0.96730000000000005</v>
      </c>
      <c r="BQ403">
        <v>0.91431810000000002</v>
      </c>
      <c r="BR403">
        <v>0.91431810000000002</v>
      </c>
      <c r="BS403">
        <v>0</v>
      </c>
      <c r="BT403">
        <v>0</v>
      </c>
      <c r="BU403">
        <v>8.5681900000000005E-2</v>
      </c>
      <c r="BV403">
        <v>8.5681900000000005E-2</v>
      </c>
      <c r="BW403">
        <v>-34.806699999999999</v>
      </c>
      <c r="BX403">
        <v>-34.806699999999999</v>
      </c>
      <c r="BY403">
        <v>167.2996</v>
      </c>
      <c r="BZ403">
        <v>167.2996</v>
      </c>
      <c r="CA403">
        <v>0</v>
      </c>
      <c r="CB403">
        <v>0</v>
      </c>
      <c r="CC403">
        <v>0</v>
      </c>
      <c r="CD403">
        <v>180</v>
      </c>
    </row>
    <row r="404" spans="19:82">
      <c r="S404">
        <v>0.96865000000000001</v>
      </c>
      <c r="T404">
        <v>0.98082210000000003</v>
      </c>
      <c r="U404">
        <v>0.98082210000000003</v>
      </c>
      <c r="V404">
        <v>1.5E-6</v>
      </c>
      <c r="W404">
        <v>1.5E-6</v>
      </c>
      <c r="X404">
        <v>1.91764E-2</v>
      </c>
      <c r="Y404">
        <v>1.91764E-2</v>
      </c>
      <c r="Z404">
        <v>-68.608400000000003</v>
      </c>
      <c r="AA404">
        <v>-68.608400000000003</v>
      </c>
      <c r="AB404">
        <v>-96.391400000000004</v>
      </c>
      <c r="AC404">
        <v>-96.391400000000004</v>
      </c>
      <c r="AD404">
        <v>0</v>
      </c>
      <c r="AE404">
        <v>0</v>
      </c>
      <c r="AF404">
        <v>0</v>
      </c>
      <c r="AG404">
        <v>180</v>
      </c>
      <c r="AI404">
        <v>0.96865000000000001</v>
      </c>
      <c r="AJ404">
        <v>0.97506599999999999</v>
      </c>
      <c r="AK404">
        <v>0.97506599999999999</v>
      </c>
      <c r="AL404">
        <v>2.3E-6</v>
      </c>
      <c r="AM404">
        <v>2.3E-6</v>
      </c>
      <c r="AN404">
        <v>2.4931700000000001E-2</v>
      </c>
      <c r="AO404">
        <v>2.4931700000000001E-2</v>
      </c>
      <c r="AP404">
        <v>-53.748399999999997</v>
      </c>
      <c r="AQ404">
        <v>-53.748399999999997</v>
      </c>
      <c r="AR404">
        <v>-68.0411</v>
      </c>
      <c r="AS404">
        <v>-68.0411</v>
      </c>
      <c r="AT404">
        <v>0</v>
      </c>
      <c r="AU404">
        <v>0</v>
      </c>
      <c r="AV404">
        <v>0</v>
      </c>
      <c r="AW404">
        <v>180</v>
      </c>
      <c r="AY404">
        <v>0.96865000000000001</v>
      </c>
      <c r="AZ404">
        <v>6.8049E-3</v>
      </c>
      <c r="BA404">
        <v>6.8049E-3</v>
      </c>
      <c r="BB404">
        <v>0.9930504</v>
      </c>
      <c r="BC404">
        <v>0.9930504</v>
      </c>
      <c r="BD404">
        <v>1.4459999999999999E-4</v>
      </c>
      <c r="BE404">
        <v>1.4459999999999999E-4</v>
      </c>
      <c r="BF404">
        <v>125.0117</v>
      </c>
      <c r="BG404">
        <v>125.0117</v>
      </c>
      <c r="BH404">
        <v>72.859700000000004</v>
      </c>
      <c r="BI404">
        <v>72.859700000000004</v>
      </c>
      <c r="BJ404">
        <v>0</v>
      </c>
      <c r="BK404">
        <v>0</v>
      </c>
      <c r="BL404">
        <v>0</v>
      </c>
      <c r="BM404">
        <v>180</v>
      </c>
      <c r="BP404">
        <v>0.96865000000000001</v>
      </c>
      <c r="BQ404">
        <v>0.91447279999999997</v>
      </c>
      <c r="BR404">
        <v>0.91447279999999997</v>
      </c>
      <c r="BS404">
        <v>0</v>
      </c>
      <c r="BT404">
        <v>0</v>
      </c>
      <c r="BU404">
        <v>8.5527199999999998E-2</v>
      </c>
      <c r="BV404">
        <v>8.5527199999999998E-2</v>
      </c>
      <c r="BW404">
        <v>-34.6843</v>
      </c>
      <c r="BX404">
        <v>-34.6843</v>
      </c>
      <c r="BY404">
        <v>167.31389999999999</v>
      </c>
      <c r="BZ404">
        <v>167.31389999999999</v>
      </c>
      <c r="CA404">
        <v>0</v>
      </c>
      <c r="CB404">
        <v>0</v>
      </c>
      <c r="CC404">
        <v>0</v>
      </c>
      <c r="CD404">
        <v>180</v>
      </c>
    </row>
    <row r="405" spans="19:82">
      <c r="S405">
        <v>0.97</v>
      </c>
      <c r="T405">
        <v>0.9807304</v>
      </c>
      <c r="U405">
        <v>0.9807304</v>
      </c>
      <c r="V405">
        <v>1.5E-6</v>
      </c>
      <c r="W405">
        <v>1.5E-6</v>
      </c>
      <c r="X405">
        <v>1.92681E-2</v>
      </c>
      <c r="Y405">
        <v>1.92681E-2</v>
      </c>
      <c r="Z405">
        <v>-68.448499999999996</v>
      </c>
      <c r="AA405">
        <v>-68.448499999999996</v>
      </c>
      <c r="AB405">
        <v>-96.057599999999994</v>
      </c>
      <c r="AC405">
        <v>-96.057599999999994</v>
      </c>
      <c r="AD405">
        <v>0</v>
      </c>
      <c r="AE405">
        <v>0</v>
      </c>
      <c r="AF405">
        <v>0</v>
      </c>
      <c r="AG405">
        <v>180</v>
      </c>
      <c r="AI405">
        <v>0.97</v>
      </c>
      <c r="AJ405">
        <v>0.97494689999999995</v>
      </c>
      <c r="AK405">
        <v>0.97494689999999995</v>
      </c>
      <c r="AL405">
        <v>2.3E-6</v>
      </c>
      <c r="AM405">
        <v>2.3E-6</v>
      </c>
      <c r="AN405">
        <v>2.5050900000000001E-2</v>
      </c>
      <c r="AO405">
        <v>2.5050900000000001E-2</v>
      </c>
      <c r="AP405">
        <v>-53.561300000000003</v>
      </c>
      <c r="AQ405">
        <v>-53.561300000000003</v>
      </c>
      <c r="AR405">
        <v>-67.648899999999998</v>
      </c>
      <c r="AS405">
        <v>-67.648899999999998</v>
      </c>
      <c r="AT405">
        <v>0</v>
      </c>
      <c r="AU405">
        <v>0</v>
      </c>
      <c r="AV405">
        <v>0</v>
      </c>
      <c r="AW405">
        <v>180</v>
      </c>
      <c r="AY405">
        <v>0.97</v>
      </c>
      <c r="AZ405">
        <v>6.9927000000000001E-3</v>
      </c>
      <c r="BA405">
        <v>6.9927000000000001E-3</v>
      </c>
      <c r="BB405">
        <v>0.99286319999999995</v>
      </c>
      <c r="BC405">
        <v>0.99286319999999995</v>
      </c>
      <c r="BD405">
        <v>1.4420000000000001E-4</v>
      </c>
      <c r="BE405">
        <v>1.4420000000000001E-4</v>
      </c>
      <c r="BF405">
        <v>125.35639999999999</v>
      </c>
      <c r="BG405">
        <v>125.35639999999999</v>
      </c>
      <c r="BH405">
        <v>72.821200000000005</v>
      </c>
      <c r="BI405">
        <v>72.821200000000005</v>
      </c>
      <c r="BJ405">
        <v>0</v>
      </c>
      <c r="BK405">
        <v>0</v>
      </c>
      <c r="BL405">
        <v>0</v>
      </c>
      <c r="BM405">
        <v>180</v>
      </c>
      <c r="BP405">
        <v>0.97</v>
      </c>
      <c r="BQ405">
        <v>0.91462699999999997</v>
      </c>
      <c r="BR405">
        <v>0.91462699999999997</v>
      </c>
      <c r="BS405">
        <v>0</v>
      </c>
      <c r="BT405">
        <v>0</v>
      </c>
      <c r="BU405">
        <v>8.5373000000000004E-2</v>
      </c>
      <c r="BV405">
        <v>8.5373000000000004E-2</v>
      </c>
      <c r="BW405">
        <v>-34.5623</v>
      </c>
      <c r="BX405">
        <v>-34.5623</v>
      </c>
      <c r="BY405">
        <v>167.32810000000001</v>
      </c>
      <c r="BZ405">
        <v>167.32810000000001</v>
      </c>
      <c r="CA405">
        <v>0</v>
      </c>
      <c r="CB405">
        <v>0</v>
      </c>
      <c r="CC405">
        <v>0</v>
      </c>
      <c r="CD405">
        <v>180</v>
      </c>
    </row>
  </sheetData>
  <mergeCells count="20">
    <mergeCell ref="O71:P71"/>
    <mergeCell ref="D67:E67"/>
    <mergeCell ref="F67:G67"/>
    <mergeCell ref="H67:I67"/>
    <mergeCell ref="K67:L67"/>
    <mergeCell ref="M67:N67"/>
    <mergeCell ref="O67:P67"/>
    <mergeCell ref="D71:E71"/>
    <mergeCell ref="F71:G71"/>
    <mergeCell ref="H71:I71"/>
    <mergeCell ref="K71:L71"/>
    <mergeCell ref="M71:N71"/>
    <mergeCell ref="D11:I11"/>
    <mergeCell ref="K11:P11"/>
    <mergeCell ref="D12:E12"/>
    <mergeCell ref="F12:G12"/>
    <mergeCell ref="H12:I12"/>
    <mergeCell ref="K12:L12"/>
    <mergeCell ref="M12:N12"/>
    <mergeCell ref="O12:P12"/>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87</vt:i4>
      </vt:variant>
    </vt:vector>
  </HeadingPairs>
  <TitlesOfParts>
    <vt:vector size="96" baseType="lpstr">
      <vt:lpstr>Version Log</vt:lpstr>
      <vt:lpstr>BDE</vt:lpstr>
      <vt:lpstr>CG</vt:lpstr>
      <vt:lpstr>Planets</vt:lpstr>
      <vt:lpstr>Detector Reqs</vt:lpstr>
      <vt:lpstr>L3</vt:lpstr>
      <vt:lpstr>Graphics</vt:lpstr>
      <vt:lpstr>Contast Fits</vt:lpstr>
      <vt:lpstr>Throughput</vt:lpstr>
      <vt:lpstr>Acol</vt:lpstr>
      <vt:lpstr>Al</vt:lpstr>
      <vt:lpstr>arcsec</vt:lpstr>
      <vt:lpstr>AU</vt:lpstr>
      <vt:lpstr>B22_FIT_565</vt:lpstr>
      <vt:lpstr>B22_REQ_565</vt:lpstr>
      <vt:lpstr>B25_FIT_660</vt:lpstr>
      <vt:lpstr>B25_FIT_770</vt:lpstr>
      <vt:lpstr>B25_REQ_660</vt:lpstr>
      <vt:lpstr>B25_REQ_770</vt:lpstr>
      <vt:lpstr>BBARx2</vt:lpstr>
      <vt:lpstr>c_light</vt:lpstr>
      <vt:lpstr>CCDQEcoatings</vt:lpstr>
      <vt:lpstr>CCDQEno</vt:lpstr>
      <vt:lpstr>CG_Specs</vt:lpstr>
      <vt:lpstr>CG_Type</vt:lpstr>
      <vt:lpstr>CGcase</vt:lpstr>
      <vt:lpstr>CGtable</vt:lpstr>
      <vt:lpstr>CICnoiseRate</vt:lpstr>
      <vt:lpstr>Color_filter</vt:lpstr>
      <vt:lpstr>D_PM</vt:lpstr>
      <vt:lpstr>darkCurrent</vt:lpstr>
      <vt:lpstr>darkNoiseRate</vt:lpstr>
      <vt:lpstr>ENF</vt:lpstr>
      <vt:lpstr>f_pp</vt:lpstr>
      <vt:lpstr>f_SR</vt:lpstr>
      <vt:lpstr>fluxTable</vt:lpstr>
      <vt:lpstr>FPattributes</vt:lpstr>
      <vt:lpstr>frameTime</vt:lpstr>
      <vt:lpstr>FSS99_600</vt:lpstr>
      <vt:lpstr>G22_FIT_565</vt:lpstr>
      <vt:lpstr>G22_REQ_565</vt:lpstr>
      <vt:lpstr>G25_FIT_660</vt:lpstr>
      <vt:lpstr>G25_FIT_770</vt:lpstr>
      <vt:lpstr>G25_REQ_660</vt:lpstr>
      <vt:lpstr>G25_REQ_770</vt:lpstr>
      <vt:lpstr>h_planck</vt:lpstr>
      <vt:lpstr>HLC_CG</vt:lpstr>
      <vt:lpstr>HRC</vt:lpstr>
      <vt:lpstr>HRC_R</vt:lpstr>
      <vt:lpstr>ifs_fsr</vt:lpstr>
      <vt:lpstr>inBWflux0</vt:lpstr>
      <vt:lpstr>integTime</vt:lpstr>
      <vt:lpstr>Kappa</vt:lpstr>
      <vt:lpstr>lam_over_D</vt:lpstr>
      <vt:lpstr>lambda</vt:lpstr>
      <vt:lpstr>mas</vt:lpstr>
      <vt:lpstr>MissionLifeEpoch</vt:lpstr>
      <vt:lpstr>MissionLifeFraction</vt:lpstr>
      <vt:lpstr>mpix</vt:lpstr>
      <vt:lpstr>Msun</vt:lpstr>
      <vt:lpstr>nm</vt:lpstr>
      <vt:lpstr>pc</vt:lpstr>
      <vt:lpstr>phFun</vt:lpstr>
      <vt:lpstr>pl_convertRate</vt:lpstr>
      <vt:lpstr>pl_signalRate</vt:lpstr>
      <vt:lpstr>planetFlux</vt:lpstr>
      <vt:lpstr>planetNo</vt:lpstr>
      <vt:lpstr>planetTable</vt:lpstr>
      <vt:lpstr>planetWA</vt:lpstr>
      <vt:lpstr>Polarizer</vt:lpstr>
      <vt:lpstr>QE</vt:lpstr>
      <vt:lpstr>QEcurves</vt:lpstr>
      <vt:lpstr>R_earth</vt:lpstr>
      <vt:lpstr>R_jupiter</vt:lpstr>
      <vt:lpstr>R_sun</vt:lpstr>
      <vt:lpstr>readNoiseRate</vt:lpstr>
      <vt:lpstr>RVPrime</vt:lpstr>
      <vt:lpstr>scenarios</vt:lpstr>
      <vt:lpstr>ScenarioSelected</vt:lpstr>
      <vt:lpstr>scenarioTable</vt:lpstr>
      <vt:lpstr>signalQE</vt:lpstr>
      <vt:lpstr>SNRtarget</vt:lpstr>
      <vt:lpstr>SNRtimeMargin</vt:lpstr>
      <vt:lpstr>sp_bkgRate</vt:lpstr>
      <vt:lpstr>SPC_CG</vt:lpstr>
      <vt:lpstr>starFlux</vt:lpstr>
      <vt:lpstr>stellarClass</vt:lpstr>
      <vt:lpstr>t_pl</vt:lpstr>
      <vt:lpstr>t_speckle</vt:lpstr>
      <vt:lpstr>t_zodi</vt:lpstr>
      <vt:lpstr>Throughput_types</vt:lpstr>
      <vt:lpstr>timeToSNR</vt:lpstr>
      <vt:lpstr>totNoiseVarRate</vt:lpstr>
      <vt:lpstr>um</vt:lpstr>
      <vt:lpstr>WAplanet</vt:lpstr>
      <vt:lpstr>zo_bkgRate</vt:lpstr>
    </vt:vector>
  </TitlesOfParts>
  <Company>JPL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Nemati, Bijan (383B)</dc:creator>
  <cp:lastModifiedBy>Bijan Nemati</cp:lastModifiedBy>
  <dcterms:created xsi:type="dcterms:W3CDTF">2016-10-25T17:55:56Z</dcterms:created>
  <dcterms:modified xsi:type="dcterms:W3CDTF">2017-04-20T18:52:12Z</dcterms:modified>
</cp:coreProperties>
</file>