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an\Desktop\SNR\"/>
    </mc:Choice>
  </mc:AlternateContent>
  <bookViews>
    <workbookView xWindow="0" yWindow="0" windowWidth="18048" windowHeight="5916" tabRatio="987" activeTab="2"/>
  </bookViews>
  <sheets>
    <sheet name="Log" sheetId="1" r:id="rId1"/>
    <sheet name="Modes" sheetId="2" r:id="rId2"/>
    <sheet name="Rates and Times" sheetId="3" r:id="rId3"/>
    <sheet name="Parameters" sheetId="4" r:id="rId4"/>
  </sheets>
  <externalReferences>
    <externalReference r:id="rId5"/>
  </externalReferences>
  <definedNames>
    <definedName name="Acol">'Rates and Times'!$Q$9</definedName>
    <definedName name="clight">'Rates and Times'!$Q$16</definedName>
    <definedName name="Dcol">'Rates and Times'!$Q$7</definedName>
    <definedName name="E_ph">'Rates and Times'!$Q$11</definedName>
    <definedName name="FWC">'Rates and Times'!$Q$14</definedName>
    <definedName name="hplanck">'Rates and Times'!$Q$15</definedName>
    <definedName name="lambda">'Rates and Times'!$Q$10</definedName>
    <definedName name="Mas">'Rates and Times'!$Q$29</definedName>
    <definedName name="MegaByte">[1]Auxiliary!$C$9</definedName>
    <definedName name="Mpix">'Rates and Times'!$Q$13</definedName>
    <definedName name="QE">'Rates and Times'!$Q$26</definedName>
    <definedName name="zeroMagFlux">'Rates and Times'!$Q$17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" i="4" l="1"/>
  <c r="C8" i="4"/>
  <c r="S36" i="3"/>
  <c r="R36" i="3"/>
  <c r="Q36" i="3"/>
  <c r="Q28" i="3"/>
  <c r="Q29" i="3" s="1"/>
  <c r="G20" i="3"/>
  <c r="G19" i="3"/>
  <c r="G18" i="3"/>
  <c r="G17" i="3"/>
  <c r="G16" i="3"/>
  <c r="G15" i="3"/>
  <c r="G14" i="3"/>
  <c r="Q13" i="3"/>
  <c r="G13" i="3"/>
  <c r="G12" i="3"/>
  <c r="Q11" i="3"/>
  <c r="E19" i="3" s="1"/>
  <c r="H19" i="3" s="1"/>
  <c r="I19" i="3" s="1"/>
  <c r="G11" i="3"/>
  <c r="G10" i="3"/>
  <c r="Q9" i="3"/>
  <c r="G9" i="3"/>
  <c r="G8" i="3"/>
  <c r="G7" i="3"/>
  <c r="E7" i="3"/>
  <c r="H7" i="3" s="1"/>
  <c r="I7" i="3" s="1"/>
  <c r="G6" i="3"/>
  <c r="G5" i="3"/>
  <c r="G10" i="2"/>
  <c r="G5" i="2"/>
  <c r="G4" i="2"/>
  <c r="J7" i="3" l="1"/>
  <c r="L7" i="3"/>
  <c r="M7" i="3" s="1"/>
  <c r="J19" i="3"/>
  <c r="L19" i="3"/>
  <c r="E13" i="3"/>
  <c r="H13" i="3" s="1"/>
  <c r="I13" i="3" s="1"/>
  <c r="E14" i="3"/>
  <c r="H14" i="3" s="1"/>
  <c r="I14" i="3" s="1"/>
  <c r="E18" i="3"/>
  <c r="H18" i="3" s="1"/>
  <c r="I18" i="3" s="1"/>
  <c r="E6" i="3"/>
  <c r="H6" i="3" s="1"/>
  <c r="I6" i="3" s="1"/>
  <c r="E11" i="3"/>
  <c r="H11" i="3" s="1"/>
  <c r="I11" i="3" s="1"/>
  <c r="E12" i="3"/>
  <c r="H12" i="3" s="1"/>
  <c r="I12" i="3" s="1"/>
  <c r="E17" i="3"/>
  <c r="H17" i="3" s="1"/>
  <c r="I17" i="3" s="1"/>
  <c r="M19" i="3"/>
  <c r="M26" i="3"/>
  <c r="E5" i="3"/>
  <c r="H5" i="3" s="1"/>
  <c r="I5" i="3" s="1"/>
  <c r="E9" i="3"/>
  <c r="H9" i="3" s="1"/>
  <c r="I9" i="3" s="1"/>
  <c r="E10" i="3"/>
  <c r="H10" i="3" s="1"/>
  <c r="I10" i="3" s="1"/>
  <c r="E16" i="3"/>
  <c r="H16" i="3" s="1"/>
  <c r="I16" i="3" s="1"/>
  <c r="E20" i="3"/>
  <c r="H20" i="3" s="1"/>
  <c r="I20" i="3" s="1"/>
  <c r="E8" i="3"/>
  <c r="H8" i="3" s="1"/>
  <c r="I8" i="3" s="1"/>
  <c r="E15" i="3"/>
  <c r="H15" i="3" s="1"/>
  <c r="I15" i="3" s="1"/>
  <c r="J8" i="3" l="1"/>
  <c r="L8" i="3"/>
  <c r="M8" i="3" s="1"/>
  <c r="L20" i="3"/>
  <c r="M20" i="3" s="1"/>
  <c r="J20" i="3"/>
  <c r="L12" i="3"/>
  <c r="M12" i="3" s="1"/>
  <c r="J12" i="3"/>
  <c r="J14" i="3"/>
  <c r="L14" i="3"/>
  <c r="M14" i="3" s="1"/>
  <c r="L18" i="3"/>
  <c r="M18" i="3" s="1"/>
  <c r="J18" i="3"/>
  <c r="L10" i="3"/>
  <c r="M10" i="3" s="1"/>
  <c r="J10" i="3"/>
  <c r="L11" i="3"/>
  <c r="M11" i="3" s="1"/>
  <c r="J11" i="3"/>
  <c r="J13" i="3"/>
  <c r="L13" i="3"/>
  <c r="M13" i="3" s="1"/>
  <c r="L5" i="3"/>
  <c r="M5" i="3" s="1"/>
  <c r="J5" i="3"/>
  <c r="J15" i="3"/>
  <c r="L15" i="3"/>
  <c r="M15" i="3" s="1"/>
  <c r="L16" i="3"/>
  <c r="M16" i="3" s="1"/>
  <c r="J16" i="3"/>
  <c r="L9" i="3"/>
  <c r="M9" i="3" s="1"/>
  <c r="J9" i="3"/>
  <c r="L17" i="3"/>
  <c r="M17" i="3" s="1"/>
  <c r="J17" i="3"/>
  <c r="L6" i="3"/>
  <c r="M6" i="3" s="1"/>
  <c r="J6" i="3"/>
</calcChain>
</file>

<file path=xl/sharedStrings.xml><?xml version="1.0" encoding="utf-8"?>
<sst xmlns="http://schemas.openxmlformats.org/spreadsheetml/2006/main" count="129" uniqueCount="101">
  <si>
    <t xml:space="preserve">Luis: can you please make the Vflux function work again as a private function and let me know what was wrong? Thanks. </t>
  </si>
  <si>
    <t>Observing Step</t>
  </si>
  <si>
    <t>Short Name</t>
  </si>
  <si>
    <t>Sensing</t>
  </si>
  <si>
    <t>Control</t>
  </si>
  <si>
    <t>Comments</t>
  </si>
  <si>
    <t>Parameter</t>
  </si>
  <si>
    <t>Units</t>
  </si>
  <si>
    <t>ACS brings star to within imager FOV</t>
  </si>
  <si>
    <t>ACS Bright ACQ</t>
  </si>
  <si>
    <t>ST + FGS?</t>
  </si>
  <si>
    <t>S/C via FSM</t>
  </si>
  <si>
    <t>Imager FOV has diameter:</t>
  </si>
  <si>
    <t>arcsec</t>
  </si>
  <si>
    <t>Bring star to within LOWFS capture range</t>
  </si>
  <si>
    <t>IMG ACQ</t>
  </si>
  <si>
    <t>Imager</t>
  </si>
  <si>
    <t>LOWFS capture range diameter:</t>
  </si>
  <si>
    <t>mas</t>
  </si>
  <si>
    <t>LOWFS/C finalizes pointing</t>
  </si>
  <si>
    <t>LOWFS ACQ</t>
  </si>
  <si>
    <t>LOWFS</t>
  </si>
  <si>
    <t>FSM</t>
  </si>
  <si>
    <t>Range: 300mas LOWFS,  3as FSM</t>
  </si>
  <si>
    <t>Dark Hole Generation</t>
  </si>
  <si>
    <t>DARK HOLE</t>
  </si>
  <si>
    <t>DM1 DM2</t>
  </si>
  <si>
    <t>(poke, integrate, actuate) x N</t>
  </si>
  <si>
    <t>Star Tracker brings science star to imager FOV</t>
  </si>
  <si>
    <t>ST Sci ACQ</t>
  </si>
  <si>
    <t>Star Trk Cam</t>
  </si>
  <si>
    <t>S/C</t>
  </si>
  <si>
    <t>Frame times and Centroiding Precision</t>
  </si>
  <si>
    <t>&gt; 10 msec</t>
  </si>
  <si>
    <t>&lt; FWC</t>
  </si>
  <si>
    <t>&lt; 30 mas</t>
  </si>
  <si>
    <t>Star Mag</t>
  </si>
  <si>
    <t>FS Filter</t>
  </si>
  <si>
    <t>Bandpass</t>
  </si>
  <si>
    <r>
      <rPr>
        <sz val="12"/>
        <color rgb="FF000000"/>
        <rFont val="Calibri"/>
        <family val="2"/>
      </rPr>
      <t xml:space="preserve">Flux, </t>
    </r>
    <r>
      <rPr>
        <sz val="9"/>
        <color rgb="FF000000"/>
        <rFont val="Calibri"/>
        <family val="2"/>
      </rPr>
      <t>ph/m2/s</t>
    </r>
  </si>
  <si>
    <t>Filter Trans.</t>
  </si>
  <si>
    <t>Transm</t>
  </si>
  <si>
    <t>Ph/s/pix</t>
  </si>
  <si>
    <t>elec. rate</t>
  </si>
  <si>
    <t>t_fullwell, s</t>
  </si>
  <si>
    <t>t_frame, s</t>
  </si>
  <si>
    <t>e-/pix/frm</t>
  </si>
  <si>
    <r>
      <rPr>
        <sz val="12"/>
        <color rgb="FF000000"/>
        <rFont val="Calibri"/>
        <family val="2"/>
      </rPr>
      <t xml:space="preserve">Centroid, </t>
    </r>
    <r>
      <rPr>
        <i/>
        <sz val="12"/>
        <color rgb="FF000000"/>
        <rFont val="Calibri"/>
        <family val="2"/>
      </rPr>
      <t>mas</t>
    </r>
  </si>
  <si>
    <t>ND4</t>
  </si>
  <si>
    <t>Item</t>
  </si>
  <si>
    <t xml:space="preserve">Value </t>
  </si>
  <si>
    <t>Cog E</t>
  </si>
  <si>
    <t>Tel Prim D</t>
  </si>
  <si>
    <t>m</t>
  </si>
  <si>
    <t>Hong/Gary K</t>
  </si>
  <si>
    <t>Obsc</t>
  </si>
  <si>
    <t>Area</t>
  </si>
  <si>
    <t>m2</t>
  </si>
  <si>
    <t>Acol</t>
  </si>
  <si>
    <t>lambda</t>
  </si>
  <si>
    <t>Photon Energy</t>
  </si>
  <si>
    <t>J</t>
  </si>
  <si>
    <t>sampling</t>
  </si>
  <si>
    <t>pix/lam/D</t>
  </si>
  <si>
    <t>mpix</t>
  </si>
  <si>
    <t>pixels in core</t>
  </si>
  <si>
    <t>full well</t>
  </si>
  <si>
    <t>FWC</t>
  </si>
  <si>
    <t>Leon Harding</t>
  </si>
  <si>
    <t>Open</t>
  </si>
  <si>
    <t>planck constant</t>
  </si>
  <si>
    <t>Js</t>
  </si>
  <si>
    <t>speed of light</t>
  </si>
  <si>
    <t>m/s</t>
  </si>
  <si>
    <t>E0V</t>
  </si>
  <si>
    <t>W/(m2 * m)</t>
  </si>
  <si>
    <t>Milan</t>
  </si>
  <si>
    <t>Electron Conversion Efficiency</t>
  </si>
  <si>
    <t>ND3 config</t>
  </si>
  <si>
    <t>open config</t>
  </si>
  <si>
    <t>QE</t>
  </si>
  <si>
    <t>rad</t>
  </si>
  <si>
    <t>HLC</t>
  </si>
  <si>
    <t>SPC</t>
  </si>
  <si>
    <t>PIAA</t>
  </si>
  <si>
    <t>Optical Transm.</t>
  </si>
  <si>
    <t>Polarizer</t>
  </si>
  <si>
    <t>Occ Transmission</t>
  </si>
  <si>
    <t>3 CG masks</t>
  </si>
  <si>
    <t>PSF encl. energy</t>
  </si>
  <si>
    <t>within Core</t>
  </si>
  <si>
    <t>Tot Thput to Core</t>
  </si>
  <si>
    <t>lam/D</t>
  </si>
  <si>
    <t>Imager Region Width</t>
  </si>
  <si>
    <t>pix</t>
  </si>
  <si>
    <t>LOWFS pickoff radius</t>
  </si>
  <si>
    <t xml:space="preserve">Sampling </t>
  </si>
  <si>
    <t>mas/pix</t>
  </si>
  <si>
    <t>Imager FOV</t>
  </si>
  <si>
    <t>Sampling of PSF</t>
  </si>
  <si>
    <t>pix/(lam/D)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</si>
</sst>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E+00"/>
    <numFmt numFmtId="165" formatCode="#,##0.0"/>
    <numFmt numFmtId="166" formatCode="0.0E+00"/>
    <numFmt numFmtId="167" formatCode="0.000"/>
    <numFmt numFmtId="168" formatCode="0.0%"/>
  </numFmts>
  <fonts count="12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0066CC"/>
      <name val="Arial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3"/>
      <color rgb="FF800000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i/>
      <sz val="12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CC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EEF4D9"/>
      </patternFill>
    </fill>
    <fill>
      <patternFill patternType="solid">
        <fgColor rgb="FFEEF4D9"/>
        <bgColor rgb="FFEEEEEE"/>
      </patternFill>
    </fill>
    <fill>
      <patternFill patternType="solid">
        <fgColor rgb="FFE7E2CF"/>
        <bgColor rgb="FFDDDDDD"/>
      </patternFill>
    </fill>
    <fill>
      <patternFill patternType="solid">
        <fgColor rgb="FFFFFF99"/>
        <bgColor rgb="FFEEF4D9"/>
      </patternFill>
    </fill>
    <fill>
      <patternFill patternType="solid">
        <fgColor rgb="FFD9E9F4"/>
        <bgColor rgb="FFDDDDDD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7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9" fontId="0" fillId="0" borderId="0" xfId="0" applyNumberFormat="1" applyAlignment="1">
      <alignment horizontal="center"/>
    </xf>
    <xf numFmtId="9" fontId="0" fillId="7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8" borderId="1" xfId="0" applyFont="1" applyFill="1" applyBorder="1" applyAlignment="1">
      <alignment horizontal="center"/>
    </xf>
    <xf numFmtId="168" fontId="11" fillId="0" borderId="0" xfId="0" applyNumberFormat="1" applyFont="1" applyAlignment="1">
      <alignment horizontal="left"/>
    </xf>
    <xf numFmtId="10" fontId="11" fillId="0" borderId="0" xfId="0" applyNumberFormat="1" applyFont="1" applyAlignment="1">
      <alignment horizontal="left"/>
    </xf>
    <xf numFmtId="11" fontId="0" fillId="0" borderId="0" xfId="0" applyNumberFormat="1"/>
    <xf numFmtId="168" fontId="0" fillId="0" borderId="0" xfId="0" applyNumberFormat="1" applyAlignment="1">
      <alignment horizontal="center"/>
    </xf>
    <xf numFmtId="168" fontId="10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F4D9"/>
      <rgbColor rgb="FFD9E9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7E2C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</xdr:row>
      <xdr:rowOff>0</xdr:rowOff>
    </xdr:from>
    <xdr:to>
      <xdr:col>7</xdr:col>
      <xdr:colOff>39240</xdr:colOff>
      <xdr:row>34</xdr:row>
      <xdr:rowOff>74520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2520" y="4592880"/>
          <a:ext cx="7705800" cy="2482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182160</xdr:colOff>
      <xdr:row>24</xdr:row>
      <xdr:rowOff>44640</xdr:rowOff>
    </xdr:from>
    <xdr:to>
      <xdr:col>8</xdr:col>
      <xdr:colOff>460440</xdr:colOff>
      <xdr:row>38</xdr:row>
      <xdr:rowOff>82800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7840" y="4957560"/>
          <a:ext cx="5742360" cy="2847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ftaim\collab\00_Presentations\20151106%20Nemati%20Computing%20Resources%20Needed%20for%20CGI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ry"/>
      <sheetName val="Scenario"/>
      <sheetName val="Auxiliar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defaultGridColor="0" topLeftCell="A7" colorId="31" zoomScale="120" zoomScaleNormal="120" workbookViewId="0">
      <selection activeCell="B40" sqref="B40"/>
    </sheetView>
  </sheetViews>
  <sheetFormatPr defaultRowHeight="14.4" x14ac:dyDescent="0.3"/>
  <cols>
    <col min="1" max="1" width="11.5546875"/>
    <col min="2" max="2" width="51" style="1"/>
    <col min="3" max="1025" width="11.5546875"/>
  </cols>
  <sheetData>
    <row r="2" spans="2:2" ht="28.8" x14ac:dyDescent="0.3">
      <c r="B2" s="1" t="s">
        <v>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10"/>
  <sheetViews>
    <sheetView defaultGridColor="0" colorId="31" zoomScale="120" zoomScaleNormal="120" workbookViewId="0">
      <selection activeCell="G11" sqref="G11"/>
    </sheetView>
  </sheetViews>
  <sheetFormatPr defaultRowHeight="14.4" x14ac:dyDescent="0.3"/>
  <cols>
    <col min="1" max="1" width="4.21875" style="2"/>
    <col min="2" max="2" width="45.77734375" style="2"/>
    <col min="3" max="5" width="18.33203125" style="2"/>
    <col min="6" max="6" width="41" style="2"/>
    <col min="7" max="8" width="18.33203125" style="2"/>
    <col min="9" max="1025" width="11.5546875" style="2"/>
  </cols>
  <sheetData>
    <row r="3" spans="2:8" x14ac:dyDescent="0.3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2:8" x14ac:dyDescent="0.3">
      <c r="B4" s="2" t="s">
        <v>8</v>
      </c>
      <c r="C4" s="5" t="s">
        <v>9</v>
      </c>
      <c r="D4" s="6" t="s">
        <v>10</v>
      </c>
      <c r="E4" s="6" t="s">
        <v>11</v>
      </c>
      <c r="F4" s="6" t="s">
        <v>12</v>
      </c>
      <c r="G4" s="6">
        <f>Parameters!C8/1000</f>
        <v>5.12</v>
      </c>
      <c r="H4" s="6" t="s">
        <v>13</v>
      </c>
    </row>
    <row r="5" spans="2:8" x14ac:dyDescent="0.3">
      <c r="B5" s="2" t="s">
        <v>14</v>
      </c>
      <c r="C5" s="5" t="s">
        <v>15</v>
      </c>
      <c r="D5" s="6" t="s">
        <v>16</v>
      </c>
      <c r="E5" s="6" t="s">
        <v>11</v>
      </c>
      <c r="F5" s="6" t="s">
        <v>17</v>
      </c>
      <c r="G5" s="6">
        <f>2*Parameters!C6*Parameters!C4</f>
        <v>300</v>
      </c>
      <c r="H5" s="6" t="s">
        <v>18</v>
      </c>
    </row>
    <row r="6" spans="2:8" x14ac:dyDescent="0.3">
      <c r="B6" s="2" t="s">
        <v>19</v>
      </c>
      <c r="C6" s="5" t="s">
        <v>20</v>
      </c>
      <c r="D6" s="6" t="s">
        <v>21</v>
      </c>
      <c r="E6" s="6" t="s">
        <v>22</v>
      </c>
      <c r="F6" s="6" t="s">
        <v>23</v>
      </c>
      <c r="G6" s="6"/>
      <c r="H6" s="6"/>
    </row>
    <row r="7" spans="2:8" x14ac:dyDescent="0.3">
      <c r="B7" s="2" t="s">
        <v>24</v>
      </c>
      <c r="C7" s="5" t="s">
        <v>25</v>
      </c>
      <c r="D7" s="6" t="s">
        <v>16</v>
      </c>
      <c r="E7" s="6" t="s">
        <v>26</v>
      </c>
      <c r="F7" s="6" t="s">
        <v>27</v>
      </c>
      <c r="G7" s="6"/>
      <c r="H7" s="6"/>
    </row>
    <row r="8" spans="2:8" x14ac:dyDescent="0.3">
      <c r="B8" s="2" t="s">
        <v>28</v>
      </c>
      <c r="C8" s="5" t="s">
        <v>29</v>
      </c>
      <c r="D8" s="6" t="s">
        <v>30</v>
      </c>
      <c r="E8" s="6" t="s">
        <v>31</v>
      </c>
      <c r="F8" s="6"/>
      <c r="G8" s="6"/>
      <c r="H8" s="6"/>
    </row>
    <row r="10" spans="2:8" x14ac:dyDescent="0.3">
      <c r="G10" s="2">
        <f>0.3/5</f>
        <v>0.06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abSelected="1" defaultGridColor="0" colorId="31" zoomScale="120" zoomScaleNormal="120" workbookViewId="0">
      <selection activeCell="H42" sqref="H42"/>
    </sheetView>
  </sheetViews>
  <sheetFormatPr defaultRowHeight="14.4" x14ac:dyDescent="0.3"/>
  <cols>
    <col min="1" max="1" width="1.21875"/>
    <col min="2" max="2" width="9.77734375"/>
    <col min="3" max="3" width="10.109375"/>
    <col min="4" max="12" width="11.5546875"/>
    <col min="13" max="13" width="13.77734375"/>
    <col min="14" max="14" width="4.77734375"/>
    <col min="15" max="15" width="11.5546875"/>
    <col min="16" max="16" width="16.5546875"/>
    <col min="17" max="1025" width="11.5546875"/>
  </cols>
  <sheetData>
    <row r="1" spans="1:1024" s="7" customFormat="1" ht="18" x14ac:dyDescent="0.35">
      <c r="B1" s="7" t="s">
        <v>32</v>
      </c>
      <c r="AMJ1"/>
    </row>
    <row r="2" spans="1:1024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9"/>
      <c r="L2" s="9"/>
      <c r="M2" s="8"/>
      <c r="N2" s="8"/>
    </row>
    <row r="3" spans="1:1024" ht="17.399999999999999" x14ac:dyDescent="0.35">
      <c r="A3" s="8"/>
      <c r="B3" s="10" t="s">
        <v>32</v>
      </c>
      <c r="C3" s="8"/>
      <c r="D3" s="8"/>
      <c r="E3" s="8"/>
      <c r="F3" s="8"/>
      <c r="G3" s="8"/>
      <c r="H3" s="8"/>
      <c r="I3" s="8"/>
      <c r="J3" s="8"/>
      <c r="K3" s="9" t="s">
        <v>33</v>
      </c>
      <c r="L3" s="9" t="s">
        <v>34</v>
      </c>
      <c r="M3" s="9" t="s">
        <v>35</v>
      </c>
      <c r="N3" s="8"/>
    </row>
    <row r="4" spans="1:1024" ht="15.6" x14ac:dyDescent="0.3">
      <c r="A4" s="8"/>
      <c r="B4" s="11" t="s">
        <v>36</v>
      </c>
      <c r="C4" s="11" t="s">
        <v>37</v>
      </c>
      <c r="D4" s="11" t="s">
        <v>38</v>
      </c>
      <c r="E4" s="11" t="s">
        <v>39</v>
      </c>
      <c r="F4" s="11" t="s">
        <v>40</v>
      </c>
      <c r="G4" s="11" t="s">
        <v>41</v>
      </c>
      <c r="H4" s="11" t="s">
        <v>42</v>
      </c>
      <c r="I4" s="11" t="s">
        <v>43</v>
      </c>
      <c r="J4" s="11" t="s">
        <v>44</v>
      </c>
      <c r="K4" s="11" t="s">
        <v>45</v>
      </c>
      <c r="L4" s="11" t="s">
        <v>46</v>
      </c>
      <c r="M4" s="11" t="s">
        <v>47</v>
      </c>
      <c r="N4" s="8"/>
    </row>
    <row r="5" spans="1:1024" x14ac:dyDescent="0.3">
      <c r="A5" s="8"/>
      <c r="B5" s="12">
        <v>-1</v>
      </c>
      <c r="C5" s="13" t="s">
        <v>48</v>
      </c>
      <c r="D5" s="14">
        <v>0.05</v>
      </c>
      <c r="E5" s="15">
        <f t="shared" ref="E5:E20" si="0">(zeroMagFlux/E_ph)*10^(-0.4*B5)*(lambda*D5)</f>
        <v>7497324739.714386</v>
      </c>
      <c r="F5" s="16">
        <v>1E-4</v>
      </c>
      <c r="G5" s="15">
        <f t="shared" ref="G5:G20" si="1">$Q$36*F5</f>
        <v>1.0297793999999999E-6</v>
      </c>
      <c r="H5" s="15">
        <f t="shared" ref="H5:H20" si="2">E5*G5*Acol/Mpix</f>
        <v>5723.5520288054549</v>
      </c>
      <c r="I5" s="15">
        <f t="shared" ref="I5:I20" si="3">H5*QE</f>
        <v>5151.1968259249097</v>
      </c>
      <c r="J5" s="17">
        <f t="shared" ref="J5:J20" si="4">FWC/I5</f>
        <v>0.19412964283702119</v>
      </c>
      <c r="K5" s="12">
        <v>0.1</v>
      </c>
      <c r="L5" s="18">
        <f t="shared" ref="L5:L20" si="5">K5*I5</f>
        <v>515.11968259249102</v>
      </c>
      <c r="M5" s="19">
        <f t="shared" ref="M5:M20" si="6">lambda/Dcol/SQRT(Mpix*L5)/Mas</f>
        <v>0.95595356713458002</v>
      </c>
      <c r="N5" s="8"/>
    </row>
    <row r="6" spans="1:1024" x14ac:dyDescent="0.3">
      <c r="A6" s="8"/>
      <c r="B6" s="12">
        <v>0</v>
      </c>
      <c r="C6" s="13" t="s">
        <v>48</v>
      </c>
      <c r="D6" s="14">
        <v>0.05</v>
      </c>
      <c r="E6" s="15">
        <f t="shared" si="0"/>
        <v>2984738738.8484287</v>
      </c>
      <c r="F6" s="16">
        <v>1E-4</v>
      </c>
      <c r="G6" s="15">
        <f t="shared" si="1"/>
        <v>1.0297793999999999E-6</v>
      </c>
      <c r="H6" s="15">
        <f t="shared" si="2"/>
        <v>2278.5871037034681</v>
      </c>
      <c r="I6" s="15">
        <f t="shared" si="3"/>
        <v>2050.7283933331214</v>
      </c>
      <c r="J6" s="17">
        <f t="shared" si="4"/>
        <v>0.48763161579611458</v>
      </c>
      <c r="K6" s="12">
        <v>0.1</v>
      </c>
      <c r="L6" s="18">
        <f t="shared" si="5"/>
        <v>205.07283933331215</v>
      </c>
      <c r="M6" s="19">
        <f t="shared" si="6"/>
        <v>1.5150843008605139</v>
      </c>
      <c r="N6" s="8"/>
      <c r="P6" s="20" t="s">
        <v>49</v>
      </c>
      <c r="Q6" s="21" t="s">
        <v>50</v>
      </c>
      <c r="R6" s="20" t="s">
        <v>7</v>
      </c>
      <c r="S6" s="20" t="s">
        <v>5</v>
      </c>
      <c r="T6" t="s">
        <v>51</v>
      </c>
    </row>
    <row r="7" spans="1:1024" x14ac:dyDescent="0.3">
      <c r="A7" s="8"/>
      <c r="B7" s="12">
        <v>1</v>
      </c>
      <c r="C7" s="13" t="s">
        <v>48</v>
      </c>
      <c r="D7" s="14">
        <v>0.05</v>
      </c>
      <c r="E7" s="15">
        <f t="shared" si="0"/>
        <v>1188245894.1643617</v>
      </c>
      <c r="F7" s="16">
        <v>1E-4</v>
      </c>
      <c r="G7" s="15">
        <f t="shared" si="1"/>
        <v>1.0297793999999999E-6</v>
      </c>
      <c r="H7" s="15">
        <f t="shared" si="2"/>
        <v>907.12186471507596</v>
      </c>
      <c r="I7" s="15">
        <f t="shared" si="3"/>
        <v>816.40967824356835</v>
      </c>
      <c r="J7" s="17">
        <f t="shared" si="4"/>
        <v>1.2248752392933528</v>
      </c>
      <c r="K7" s="12">
        <v>0.1</v>
      </c>
      <c r="L7" s="18">
        <f t="shared" si="5"/>
        <v>81.640967824356835</v>
      </c>
      <c r="M7" s="19">
        <f t="shared" si="6"/>
        <v>2.4012467944385341</v>
      </c>
      <c r="N7" s="8"/>
      <c r="P7" t="s">
        <v>52</v>
      </c>
      <c r="Q7" s="22">
        <v>2.36</v>
      </c>
      <c r="R7" s="23" t="s">
        <v>53</v>
      </c>
      <c r="T7" t="s">
        <v>54</v>
      </c>
    </row>
    <row r="8" spans="1:1024" x14ac:dyDescent="0.3">
      <c r="A8" s="8"/>
      <c r="B8" s="12">
        <v>2</v>
      </c>
      <c r="C8" s="13" t="s">
        <v>48</v>
      </c>
      <c r="D8" s="14">
        <v>0.05</v>
      </c>
      <c r="E8" s="15">
        <f t="shared" si="0"/>
        <v>473049210.84758431</v>
      </c>
      <c r="F8" s="16">
        <v>1E-4</v>
      </c>
      <c r="G8" s="15">
        <f t="shared" si="1"/>
        <v>1.0297793999999999E-6</v>
      </c>
      <c r="H8" s="15">
        <f t="shared" si="2"/>
        <v>361.13171890893113</v>
      </c>
      <c r="I8" s="15">
        <f t="shared" si="3"/>
        <v>325.01854701803802</v>
      </c>
      <c r="J8" s="17">
        <f t="shared" si="4"/>
        <v>3.0767474938730235</v>
      </c>
      <c r="K8" s="12">
        <v>0.1</v>
      </c>
      <c r="L8" s="18">
        <f t="shared" si="5"/>
        <v>32.501854701803801</v>
      </c>
      <c r="M8" s="19">
        <f t="shared" si="6"/>
        <v>3.8057196979247037</v>
      </c>
      <c r="N8" s="8"/>
      <c r="P8" t="s">
        <v>55</v>
      </c>
      <c r="Q8" s="24">
        <v>0.41</v>
      </c>
      <c r="R8" s="23"/>
      <c r="T8" t="s">
        <v>54</v>
      </c>
    </row>
    <row r="9" spans="1:1024" x14ac:dyDescent="0.3">
      <c r="A9" s="8"/>
      <c r="B9" s="12">
        <v>3</v>
      </c>
      <c r="C9" s="13" t="s">
        <v>48</v>
      </c>
      <c r="D9" s="25">
        <v>0.18</v>
      </c>
      <c r="E9" s="15">
        <f t="shared" si="0"/>
        <v>677967418.30714726</v>
      </c>
      <c r="F9" s="16">
        <v>1E-4</v>
      </c>
      <c r="G9" s="15">
        <f t="shared" si="1"/>
        <v>1.0297793999999999E-6</v>
      </c>
      <c r="H9" s="15">
        <f t="shared" si="2"/>
        <v>517.56885652303947</v>
      </c>
      <c r="I9" s="15">
        <f t="shared" si="3"/>
        <v>465.81197087073554</v>
      </c>
      <c r="J9" s="17">
        <f t="shared" si="4"/>
        <v>2.1467889675113212</v>
      </c>
      <c r="K9" s="12">
        <v>0.1</v>
      </c>
      <c r="L9" s="18">
        <f t="shared" si="5"/>
        <v>46.581197087073555</v>
      </c>
      <c r="M9" s="19">
        <f t="shared" si="6"/>
        <v>3.1789635456061687</v>
      </c>
      <c r="N9" s="8"/>
      <c r="P9" t="s">
        <v>56</v>
      </c>
      <c r="Q9" s="26">
        <f>(PI()/4)*(1-'Rates and Times'!Q8^2)*'Rates and Times'!Q7^2</f>
        <v>3.6390247688731261</v>
      </c>
      <c r="R9" s="23" t="s">
        <v>57</v>
      </c>
      <c r="S9" t="s">
        <v>58</v>
      </c>
      <c r="T9" t="s">
        <v>54</v>
      </c>
    </row>
    <row r="10" spans="1:1024" x14ac:dyDescent="0.3">
      <c r="A10" s="8"/>
      <c r="B10" s="12">
        <v>4</v>
      </c>
      <c r="C10" s="13" t="s">
        <v>48</v>
      </c>
      <c r="D10" s="25">
        <v>0.18</v>
      </c>
      <c r="E10" s="15">
        <f t="shared" si="0"/>
        <v>269903690.62971759</v>
      </c>
      <c r="F10" s="16">
        <v>1E-4</v>
      </c>
      <c r="G10" s="15">
        <f t="shared" si="1"/>
        <v>1.0297793999999999E-6</v>
      </c>
      <c r="H10" s="15">
        <f t="shared" si="2"/>
        <v>206.04787303699618</v>
      </c>
      <c r="I10" s="15">
        <f t="shared" si="3"/>
        <v>185.44308573329656</v>
      </c>
      <c r="J10" s="17">
        <f t="shared" si="4"/>
        <v>5.3924900788061505</v>
      </c>
      <c r="K10" s="12">
        <v>0.1</v>
      </c>
      <c r="L10" s="18">
        <f t="shared" si="5"/>
        <v>18.544308573329655</v>
      </c>
      <c r="M10" s="19">
        <f t="shared" si="6"/>
        <v>5.0383176825132621</v>
      </c>
      <c r="N10" s="8"/>
      <c r="P10" t="s">
        <v>59</v>
      </c>
      <c r="Q10" s="27">
        <v>5.5000000000000003E-7</v>
      </c>
      <c r="R10" s="23" t="s">
        <v>53</v>
      </c>
    </row>
    <row r="11" spans="1:1024" x14ac:dyDescent="0.3">
      <c r="A11" s="8"/>
      <c r="B11" s="12">
        <v>5</v>
      </c>
      <c r="C11" s="13" t="s">
        <v>48</v>
      </c>
      <c r="D11" s="25">
        <v>0.18</v>
      </c>
      <c r="E11" s="15">
        <f t="shared" si="0"/>
        <v>107450594.59854344</v>
      </c>
      <c r="F11" s="16">
        <v>1E-4</v>
      </c>
      <c r="G11" s="15">
        <f t="shared" si="1"/>
        <v>1.0297793999999999E-6</v>
      </c>
      <c r="H11" s="15">
        <f t="shared" si="2"/>
        <v>82.02913573332485</v>
      </c>
      <c r="I11" s="15">
        <f t="shared" si="3"/>
        <v>73.826222159992369</v>
      </c>
      <c r="J11" s="17">
        <f t="shared" si="4"/>
        <v>13.545322661003183</v>
      </c>
      <c r="K11" s="12">
        <v>1</v>
      </c>
      <c r="L11" s="18">
        <f t="shared" si="5"/>
        <v>73.826222159992369</v>
      </c>
      <c r="M11" s="19">
        <f t="shared" si="6"/>
        <v>2.5251405014341897</v>
      </c>
      <c r="N11" s="8"/>
      <c r="P11" t="s">
        <v>60</v>
      </c>
      <c r="Q11" s="28">
        <f>Q15*Q16/Q10</f>
        <v>3.6117063981818178E-19</v>
      </c>
      <c r="R11" s="23" t="s">
        <v>61</v>
      </c>
    </row>
    <row r="12" spans="1:1024" x14ac:dyDescent="0.3">
      <c r="A12" s="8"/>
      <c r="B12" s="12">
        <v>6</v>
      </c>
      <c r="C12" s="13" t="s">
        <v>48</v>
      </c>
      <c r="D12" s="25">
        <v>0.18</v>
      </c>
      <c r="E12" s="15">
        <f t="shared" si="0"/>
        <v>42776852.189916976</v>
      </c>
      <c r="F12" s="16">
        <v>1E-4</v>
      </c>
      <c r="G12" s="15">
        <f t="shared" si="1"/>
        <v>1.0297793999999999E-6</v>
      </c>
      <c r="H12" s="15">
        <f t="shared" si="2"/>
        <v>32.656387129742697</v>
      </c>
      <c r="I12" s="15">
        <f t="shared" si="3"/>
        <v>29.390748416768428</v>
      </c>
      <c r="J12" s="17">
        <f t="shared" si="4"/>
        <v>34.024312202593173</v>
      </c>
      <c r="K12" s="12">
        <v>1</v>
      </c>
      <c r="L12" s="18">
        <f t="shared" si="5"/>
        <v>29.390748416768428</v>
      </c>
      <c r="M12" s="19">
        <f t="shared" si="6"/>
        <v>4.0020779907308919</v>
      </c>
      <c r="N12" s="8"/>
      <c r="P12" t="s">
        <v>62</v>
      </c>
      <c r="Q12" s="22">
        <v>2.5</v>
      </c>
      <c r="R12" s="23" t="s">
        <v>63</v>
      </c>
    </row>
    <row r="13" spans="1:1024" x14ac:dyDescent="0.3">
      <c r="A13" s="8"/>
      <c r="B13" s="12">
        <v>7</v>
      </c>
      <c r="C13" s="13" t="s">
        <v>48</v>
      </c>
      <c r="D13" s="25">
        <v>0.18</v>
      </c>
      <c r="E13" s="15">
        <f t="shared" si="0"/>
        <v>17029771.590513024</v>
      </c>
      <c r="F13" s="16">
        <v>1E-4</v>
      </c>
      <c r="G13" s="15">
        <f t="shared" si="1"/>
        <v>1.0297793999999999E-6</v>
      </c>
      <c r="H13" s="15">
        <f t="shared" si="2"/>
        <v>13.000741880721511</v>
      </c>
      <c r="I13" s="15">
        <f t="shared" si="3"/>
        <v>11.700667692649361</v>
      </c>
      <c r="J13" s="17">
        <f t="shared" si="4"/>
        <v>85.465208163139607</v>
      </c>
      <c r="K13" s="12">
        <v>1</v>
      </c>
      <c r="L13" s="18">
        <f t="shared" si="5"/>
        <v>11.700667692649361</v>
      </c>
      <c r="M13" s="19">
        <f t="shared" si="6"/>
        <v>6.3428661632078418</v>
      </c>
      <c r="N13" s="8"/>
      <c r="P13" t="s">
        <v>64</v>
      </c>
      <c r="Q13" s="29">
        <f>(PI()/4)*'Rates and Times'!Q12^2</f>
        <v>4.908738521234052</v>
      </c>
      <c r="R13" s="23"/>
      <c r="S13" t="s">
        <v>65</v>
      </c>
    </row>
    <row r="14" spans="1:1024" x14ac:dyDescent="0.3">
      <c r="A14" s="8"/>
      <c r="B14" s="12">
        <v>8</v>
      </c>
      <c r="C14" s="13" t="s">
        <v>48</v>
      </c>
      <c r="D14" s="25">
        <v>0.18</v>
      </c>
      <c r="E14" s="15">
        <f t="shared" si="0"/>
        <v>6779674.1830714671</v>
      </c>
      <c r="F14" s="16">
        <v>1E-4</v>
      </c>
      <c r="G14" s="15">
        <f t="shared" si="1"/>
        <v>1.0297793999999999E-6</v>
      </c>
      <c r="H14" s="15">
        <f t="shared" si="2"/>
        <v>5.1756885652303906</v>
      </c>
      <c r="I14" s="15">
        <f t="shared" si="3"/>
        <v>4.6581197087073516</v>
      </c>
      <c r="J14" s="17">
        <f t="shared" si="4"/>
        <v>214.6788967511323</v>
      </c>
      <c r="K14" s="12">
        <v>1</v>
      </c>
      <c r="L14" s="18">
        <f t="shared" si="5"/>
        <v>4.6581197087073516</v>
      </c>
      <c r="M14" s="19">
        <f t="shared" si="6"/>
        <v>10.052765402760054</v>
      </c>
      <c r="N14" s="8"/>
      <c r="P14" t="s">
        <v>66</v>
      </c>
      <c r="Q14" s="22">
        <v>1000</v>
      </c>
      <c r="R14" s="23"/>
      <c r="S14" t="s">
        <v>67</v>
      </c>
      <c r="T14" t="s">
        <v>68</v>
      </c>
    </row>
    <row r="15" spans="1:1024" x14ac:dyDescent="0.3">
      <c r="A15" s="8"/>
      <c r="B15" s="12">
        <v>9</v>
      </c>
      <c r="C15" s="30" t="s">
        <v>69</v>
      </c>
      <c r="D15" s="14">
        <v>0.05</v>
      </c>
      <c r="E15" s="15">
        <f t="shared" si="0"/>
        <v>749732.47397143755</v>
      </c>
      <c r="F15" s="18">
        <v>1</v>
      </c>
      <c r="G15" s="15">
        <f t="shared" si="1"/>
        <v>1.0297793999999999E-2</v>
      </c>
      <c r="H15" s="15">
        <f t="shared" si="2"/>
        <v>5723.5520288054477</v>
      </c>
      <c r="I15" s="15">
        <f t="shared" si="3"/>
        <v>5151.1968259249034</v>
      </c>
      <c r="J15" s="17">
        <f t="shared" si="4"/>
        <v>0.19412964283702144</v>
      </c>
      <c r="K15" s="12">
        <v>0.1</v>
      </c>
      <c r="L15" s="18">
        <f t="shared" si="5"/>
        <v>515.11968259249034</v>
      </c>
      <c r="M15" s="19">
        <f t="shared" si="6"/>
        <v>0.95595356713458068</v>
      </c>
      <c r="N15" s="8"/>
      <c r="P15" t="s">
        <v>70</v>
      </c>
      <c r="Q15" s="27">
        <v>6.6261000000000003E-34</v>
      </c>
      <c r="R15" s="23" t="s">
        <v>71</v>
      </c>
    </row>
    <row r="16" spans="1:1024" x14ac:dyDescent="0.3">
      <c r="A16" s="8"/>
      <c r="B16" s="12">
        <v>10</v>
      </c>
      <c r="C16" s="30" t="s">
        <v>69</v>
      </c>
      <c r="D16" s="14">
        <v>0.05</v>
      </c>
      <c r="E16" s="15">
        <f t="shared" si="0"/>
        <v>298473.87388484291</v>
      </c>
      <c r="F16" s="18">
        <v>1</v>
      </c>
      <c r="G16" s="15">
        <f t="shared" si="1"/>
        <v>1.0297793999999999E-2</v>
      </c>
      <c r="H16" s="15">
        <f t="shared" si="2"/>
        <v>2278.5871037034681</v>
      </c>
      <c r="I16" s="15">
        <f t="shared" si="3"/>
        <v>2050.7283933331214</v>
      </c>
      <c r="J16" s="17">
        <f t="shared" si="4"/>
        <v>0.48763161579611458</v>
      </c>
      <c r="K16" s="12">
        <v>0.1</v>
      </c>
      <c r="L16" s="18">
        <f t="shared" si="5"/>
        <v>205.07283933331215</v>
      </c>
      <c r="M16" s="19">
        <f t="shared" si="6"/>
        <v>1.5150843008605139</v>
      </c>
      <c r="N16" s="8"/>
      <c r="P16" t="s">
        <v>72</v>
      </c>
      <c r="Q16" s="27">
        <v>299790000</v>
      </c>
      <c r="R16" s="23" t="s">
        <v>73</v>
      </c>
    </row>
    <row r="17" spans="1:20" x14ac:dyDescent="0.3">
      <c r="A17" s="8"/>
      <c r="B17" s="12">
        <v>11</v>
      </c>
      <c r="C17" s="30" t="s">
        <v>69</v>
      </c>
      <c r="D17" s="14">
        <v>0.05</v>
      </c>
      <c r="E17" s="15">
        <f t="shared" si="0"/>
        <v>118824.58941643591</v>
      </c>
      <c r="F17" s="18">
        <v>1</v>
      </c>
      <c r="G17" s="15">
        <f t="shared" si="1"/>
        <v>1.0297793999999999E-2</v>
      </c>
      <c r="H17" s="15">
        <f t="shared" si="2"/>
        <v>907.12186471507391</v>
      </c>
      <c r="I17" s="15">
        <f t="shared" si="3"/>
        <v>816.40967824356653</v>
      </c>
      <c r="J17" s="17">
        <f t="shared" si="4"/>
        <v>1.2248752392933555</v>
      </c>
      <c r="K17" s="12">
        <v>0.1</v>
      </c>
      <c r="L17" s="18">
        <f t="shared" si="5"/>
        <v>81.640967824356665</v>
      </c>
      <c r="M17" s="19">
        <f t="shared" si="6"/>
        <v>2.4012467944385363</v>
      </c>
      <c r="N17" s="8"/>
      <c r="P17" t="s">
        <v>74</v>
      </c>
      <c r="Q17" s="27">
        <v>3.9199999999999999E-2</v>
      </c>
      <c r="R17" s="23" t="s">
        <v>75</v>
      </c>
    </row>
    <row r="18" spans="1:20" x14ac:dyDescent="0.3">
      <c r="A18" s="8"/>
      <c r="B18" s="12">
        <v>12</v>
      </c>
      <c r="C18" s="30" t="s">
        <v>69</v>
      </c>
      <c r="D18" s="14">
        <v>0.05</v>
      </c>
      <c r="E18" s="15">
        <f t="shared" si="0"/>
        <v>47304.921084758338</v>
      </c>
      <c r="F18" s="18">
        <v>1</v>
      </c>
      <c r="G18" s="15">
        <f t="shared" si="1"/>
        <v>1.0297793999999999E-2</v>
      </c>
      <c r="H18" s="15">
        <f t="shared" si="2"/>
        <v>361.1317189089304</v>
      </c>
      <c r="I18" s="15">
        <f t="shared" si="3"/>
        <v>325.01854701803734</v>
      </c>
      <c r="J18" s="17">
        <f t="shared" si="4"/>
        <v>3.0767474938730301</v>
      </c>
      <c r="K18" s="12">
        <v>0.1</v>
      </c>
      <c r="L18" s="18">
        <f t="shared" si="5"/>
        <v>32.501854701803737</v>
      </c>
      <c r="M18" s="19">
        <f t="shared" si="6"/>
        <v>3.8057196979247077</v>
      </c>
      <c r="N18" s="8"/>
      <c r="Q18" s="22"/>
      <c r="R18" s="23"/>
      <c r="S18" t="s">
        <v>76</v>
      </c>
    </row>
    <row r="19" spans="1:20" x14ac:dyDescent="0.3">
      <c r="A19" s="8"/>
      <c r="B19" s="12">
        <v>13</v>
      </c>
      <c r="C19" s="30" t="s">
        <v>69</v>
      </c>
      <c r="D19" s="14">
        <v>0.05</v>
      </c>
      <c r="E19" s="15">
        <f t="shared" si="0"/>
        <v>18832.428286309623</v>
      </c>
      <c r="F19" s="18">
        <v>1</v>
      </c>
      <c r="G19" s="15">
        <f t="shared" si="1"/>
        <v>1.0297793999999999E-2</v>
      </c>
      <c r="H19" s="15">
        <f t="shared" si="2"/>
        <v>143.76912681195526</v>
      </c>
      <c r="I19" s="15">
        <f t="shared" si="3"/>
        <v>129.39221413075973</v>
      </c>
      <c r="J19" s="17">
        <f t="shared" si="4"/>
        <v>7.728440283040765</v>
      </c>
      <c r="K19" s="12">
        <v>0.1</v>
      </c>
      <c r="L19" s="18">
        <f t="shared" si="5"/>
        <v>12.939221413075973</v>
      </c>
      <c r="M19" s="19">
        <f t="shared" si="6"/>
        <v>6.0316592416560324</v>
      </c>
      <c r="N19" s="8"/>
      <c r="P19" t="s">
        <v>77</v>
      </c>
      <c r="Q19" s="22"/>
      <c r="R19" s="23"/>
      <c r="S19" t="s">
        <v>78</v>
      </c>
      <c r="T19" t="s">
        <v>79</v>
      </c>
    </row>
    <row r="20" spans="1:20" x14ac:dyDescent="0.3">
      <c r="A20" s="8"/>
      <c r="B20" s="12">
        <v>14</v>
      </c>
      <c r="C20" s="30" t="s">
        <v>69</v>
      </c>
      <c r="D20" s="14">
        <v>0.05</v>
      </c>
      <c r="E20" s="15">
        <f t="shared" si="0"/>
        <v>7497.3247397143732</v>
      </c>
      <c r="F20" s="18">
        <v>1</v>
      </c>
      <c r="G20" s="15">
        <f t="shared" si="1"/>
        <v>1.0297793999999999E-2</v>
      </c>
      <c r="H20" s="15">
        <f t="shared" si="2"/>
        <v>57.23552028805446</v>
      </c>
      <c r="I20" s="15">
        <f t="shared" si="3"/>
        <v>51.511968259249016</v>
      </c>
      <c r="J20" s="17">
        <f t="shared" si="4"/>
        <v>19.412964283702152</v>
      </c>
      <c r="K20" s="12">
        <v>0.1</v>
      </c>
      <c r="L20" s="18">
        <f t="shared" si="5"/>
        <v>5.1511968259249024</v>
      </c>
      <c r="M20" s="19">
        <f t="shared" si="6"/>
        <v>9.5595356713458077</v>
      </c>
      <c r="N20" s="8"/>
      <c r="Q20" s="29"/>
      <c r="R20" s="23"/>
    </row>
    <row r="21" spans="1:20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Q21" s="22"/>
      <c r="R21" s="23"/>
    </row>
    <row r="22" spans="1:20" x14ac:dyDescent="0.3">
      <c r="Q22" s="22"/>
      <c r="R22" s="31"/>
    </row>
    <row r="23" spans="1:20" x14ac:dyDescent="0.3">
      <c r="Q23" s="22"/>
      <c r="R23" s="23"/>
    </row>
    <row r="24" spans="1:20" x14ac:dyDescent="0.3">
      <c r="Q24" s="22"/>
      <c r="R24" s="23"/>
    </row>
    <row r="25" spans="1:20" x14ac:dyDescent="0.3">
      <c r="Q25" s="22"/>
      <c r="R25" s="32"/>
    </row>
    <row r="26" spans="1:20" x14ac:dyDescent="0.3">
      <c r="M26" s="33">
        <f>(Q17/E_ph)*(0.000000089)</f>
        <v>9659699918.454916</v>
      </c>
      <c r="P26" t="s">
        <v>80</v>
      </c>
      <c r="Q26" s="24">
        <v>0.9</v>
      </c>
      <c r="R26" s="23"/>
    </row>
    <row r="28" spans="1:20" x14ac:dyDescent="0.3">
      <c r="P28" t="s">
        <v>13</v>
      </c>
      <c r="Q28">
        <f>PI()/180/3600</f>
        <v>4.8481368110953598E-6</v>
      </c>
      <c r="R28" t="s">
        <v>81</v>
      </c>
    </row>
    <row r="29" spans="1:20" x14ac:dyDescent="0.3">
      <c r="P29" t="s">
        <v>18</v>
      </c>
      <c r="Q29">
        <f>Q28/1000</f>
        <v>4.8481368110953602E-9</v>
      </c>
      <c r="R29" t="s">
        <v>81</v>
      </c>
    </row>
    <row r="31" spans="1:20" x14ac:dyDescent="0.3">
      <c r="P31" s="20"/>
      <c r="Q31" s="21" t="s">
        <v>82</v>
      </c>
      <c r="R31" s="21" t="s">
        <v>83</v>
      </c>
      <c r="S31" s="21" t="s">
        <v>84</v>
      </c>
    </row>
    <row r="32" spans="1:20" x14ac:dyDescent="0.3">
      <c r="P32" s="20" t="s">
        <v>85</v>
      </c>
      <c r="Q32" s="34">
        <v>0.53</v>
      </c>
      <c r="R32" s="34">
        <v>0.39</v>
      </c>
      <c r="S32" s="34">
        <v>0.53</v>
      </c>
    </row>
    <row r="33" spans="16:20" x14ac:dyDescent="0.3">
      <c r="P33" s="20" t="s">
        <v>86</v>
      </c>
      <c r="Q33" s="34">
        <v>0.47</v>
      </c>
      <c r="R33" s="34">
        <v>1</v>
      </c>
      <c r="S33" s="34">
        <v>0.57999999999999996</v>
      </c>
    </row>
    <row r="34" spans="16:20" x14ac:dyDescent="0.3">
      <c r="P34" s="20" t="s">
        <v>87</v>
      </c>
      <c r="Q34" s="34">
        <v>0.39</v>
      </c>
      <c r="R34" s="34">
        <v>0.27</v>
      </c>
      <c r="S34" s="34">
        <v>0.47</v>
      </c>
      <c r="T34" t="s">
        <v>88</v>
      </c>
    </row>
    <row r="35" spans="16:20" x14ac:dyDescent="0.3">
      <c r="P35" s="20" t="s">
        <v>89</v>
      </c>
      <c r="Q35" s="34">
        <v>0.106</v>
      </c>
      <c r="R35" s="34">
        <v>0.14000000000000001</v>
      </c>
      <c r="S35" s="34">
        <v>0.22500000000000001</v>
      </c>
      <c r="T35" t="s">
        <v>90</v>
      </c>
    </row>
    <row r="36" spans="16:20" x14ac:dyDescent="0.3">
      <c r="P36" s="20" t="s">
        <v>91</v>
      </c>
      <c r="Q36" s="35">
        <f>PRODUCT(Q32:Q35)</f>
        <v>1.0297793999999999E-2</v>
      </c>
      <c r="R36" s="35">
        <f>PRODUCT(R32:R35)</f>
        <v>1.4742000000000002E-2</v>
      </c>
      <c r="S36" s="35">
        <f>PRODUCT(S32:S35)</f>
        <v>3.2507550000000003E-2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defaultGridColor="0" colorId="31" zoomScale="120" zoomScaleNormal="120" workbookViewId="0">
      <selection activeCell="D24" sqref="D24"/>
    </sheetView>
  </sheetViews>
  <sheetFormatPr defaultRowHeight="14.4" x14ac:dyDescent="0.3"/>
  <cols>
    <col min="1" max="1" width="5.109375"/>
    <col min="2" max="2" width="18.6640625"/>
    <col min="3" max="1025" width="11.5546875"/>
  </cols>
  <sheetData>
    <row r="4" spans="2:4" x14ac:dyDescent="0.3">
      <c r="B4" s="36" t="s">
        <v>92</v>
      </c>
      <c r="C4" s="36">
        <v>50</v>
      </c>
      <c r="D4" s="36" t="s">
        <v>18</v>
      </c>
    </row>
    <row r="5" spans="2:4" x14ac:dyDescent="0.3">
      <c r="B5" s="36" t="s">
        <v>93</v>
      </c>
      <c r="C5" s="36">
        <v>512</v>
      </c>
      <c r="D5" s="36" t="s">
        <v>94</v>
      </c>
    </row>
    <row r="6" spans="2:4" x14ac:dyDescent="0.3">
      <c r="B6" s="36" t="s">
        <v>95</v>
      </c>
      <c r="C6" s="36">
        <v>3</v>
      </c>
      <c r="D6" s="36" t="s">
        <v>92</v>
      </c>
    </row>
    <row r="7" spans="2:4" x14ac:dyDescent="0.3">
      <c r="B7" s="36" t="s">
        <v>96</v>
      </c>
      <c r="C7" s="36">
        <v>10</v>
      </c>
      <c r="D7" s="36" t="s">
        <v>97</v>
      </c>
    </row>
    <row r="8" spans="2:4" x14ac:dyDescent="0.3">
      <c r="B8" s="36" t="s">
        <v>98</v>
      </c>
      <c r="C8" s="36">
        <f>C7*C5</f>
        <v>5120</v>
      </c>
      <c r="D8" s="36" t="s">
        <v>18</v>
      </c>
    </row>
    <row r="9" spans="2:4" x14ac:dyDescent="0.3">
      <c r="B9" s="36" t="s">
        <v>99</v>
      </c>
      <c r="C9" s="36">
        <f>C4/C7</f>
        <v>5</v>
      </c>
      <c r="D9" s="36" t="s">
        <v>100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Log</vt:lpstr>
      <vt:lpstr>Modes</vt:lpstr>
      <vt:lpstr>Rates and Times</vt:lpstr>
      <vt:lpstr>Parameters</vt:lpstr>
      <vt:lpstr>Acol</vt:lpstr>
      <vt:lpstr>clight</vt:lpstr>
      <vt:lpstr>Dcol</vt:lpstr>
      <vt:lpstr>E_ph</vt:lpstr>
      <vt:lpstr>FWC</vt:lpstr>
      <vt:lpstr>hplanck</vt:lpstr>
      <vt:lpstr>lambda</vt:lpstr>
      <vt:lpstr>Mas</vt:lpstr>
      <vt:lpstr>Mpix</vt:lpstr>
      <vt:lpstr>QE</vt:lpstr>
      <vt:lpstr>zeroMagFlux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Bijan</dc:creator>
  <dc:description/>
  <cp:lastModifiedBy>Bijan</cp:lastModifiedBy>
  <cp:revision>22</cp:revision>
  <dcterms:created xsi:type="dcterms:W3CDTF">2015-11-11T15:45:07Z</dcterms:created>
  <dcterms:modified xsi:type="dcterms:W3CDTF">2017-03-26T05:53:45Z</dcterms:modified>
  <dc:language>en-US</dc:language>
</cp:coreProperties>
</file>